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omments4.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trlProps/ctrlProp146.xml" ContentType="application/vnd.ms-excel.controlproperties+xml"/>
  <Override PartName="/xl/ctrlProps/ctrlProp147.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codeName="ThisWorkbook"/>
  <mc:AlternateContent xmlns:mc="http://schemas.openxmlformats.org/markup-compatibility/2006">
    <mc:Choice Requires="x15">
      <x15ac:absPath xmlns:x15ac="http://schemas.microsoft.com/office/spreadsheetml/2010/11/ac" url="G:\共有ドライブ\青少年山の家共有ドライブ（全員）\令和5年度-令和9年度\令和8年度\06　学校・一般　利用相談\09 利用申請関連\03　申請書\"/>
    </mc:Choice>
  </mc:AlternateContent>
  <xr:revisionPtr revIDLastSave="0" documentId="13_ncr:1_{DF00ED51-B809-45C8-98E5-808C63BFD369}" xr6:coauthVersionLast="47" xr6:coauthVersionMax="47" xr10:uidLastSave="{00000000-0000-0000-0000-000000000000}"/>
  <bookViews>
    <workbookView xWindow="-120" yWindow="-120" windowWidth="20730" windowHeight="11040" tabRatio="746" xr2:uid="{00000000-000D-0000-FFFF-FFFF00000000}"/>
  </bookViews>
  <sheets>
    <sheet name="※必ずはじめにお読みください※" sheetId="52" r:id="rId1"/>
    <sheet name="01 使用承認申請書" sheetId="53" r:id="rId2"/>
    <sheet name="02 利用計画書" sheetId="70" r:id="rId3"/>
    <sheet name="03 食事申込書" sheetId="65" r:id="rId4"/>
    <sheet name="04 利用者名簿" sheetId="58" r:id="rId5"/>
    <sheet name="05 人数報告用紙" sheetId="2" r:id="rId6"/>
    <sheet name="06 使用料減免申請書" sheetId="66" r:id="rId7"/>
    <sheet name="07 車両動向報告書" sheetId="68" r:id="rId8"/>
    <sheet name="08 利用日変更（取消）報告書" sheetId="62" r:id="rId9"/>
  </sheets>
  <externalReferences>
    <externalReference r:id="rId10"/>
    <externalReference r:id="rId11"/>
  </externalReferences>
  <definedNames>
    <definedName name="_xlnm._FilterDatabase" localSheetId="1" hidden="1">'01 使用承認申請書'!$A$1:$BA$34</definedName>
    <definedName name="_xlnm.Print_Area" localSheetId="0">※必ずはじめにお読みください※!$A$1:$Z$28</definedName>
    <definedName name="_xlnm.Print_Area" localSheetId="1">'01 使用承認申請書'!$A$1:$AZ$36</definedName>
    <definedName name="_xlnm.Print_Area" localSheetId="3">'03 食事申込書'!$A$1:$BA$50</definedName>
    <definedName name="_xlnm.Print_Area" localSheetId="4">'04 利用者名簿'!$A$1:$AZ$162</definedName>
    <definedName name="_xlnm.Print_Area" localSheetId="5">'05 人数報告用紙'!$A$1:$CY$77</definedName>
    <definedName name="_xlnm.Print_Area" localSheetId="6">'06 使用料減免申請書'!$A$1:$AZ$54</definedName>
    <definedName name="_xlnm.Print_Area" localSheetId="8">'08 利用日変更（取消）報告書'!$A$1:$AZ$29</definedName>
    <definedName name="一">'04 利用者名簿'!$D$252</definedName>
    <definedName name="引">'04 利用者名簿'!$C$252</definedName>
    <definedName name="携帯食">'03 食事申込書'!$BG$89:$BG$97</definedName>
    <definedName name="時機" localSheetId="7">'[1]03 食事申込書'!$BK$56:$BK$58</definedName>
    <definedName name="時機">'03 食事申込書'!$BK$57:$BK$59</definedName>
    <definedName name="小">'04 利用者名簿'!$A$252:$A$276</definedName>
    <definedName name="食事時機">'03 食事申込書'!$BK$57:$BK$59</definedName>
    <definedName name="食堂">'03 食事申込書'!$BG$53:$BG$64</definedName>
    <definedName name="炊事">'03 食事申込書'!$BG$67:$BG$82</definedName>
    <definedName name="中">'04 利用者名簿'!$B$252:$B$276</definedName>
    <definedName name="通常食">'03 食事申込書'!$BG$53:$BG$60</definedName>
    <definedName name="日付">'01 使用承認申請書'!$BE$6:$ADG$6</definedName>
    <definedName name="料金区分" localSheetId="7">'[1]05 利用者名簿'!$A$260:$D$260</definedName>
    <definedName name="料金区分">'04 利用者名簿'!$A$251:$J$251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R38" i="2" l="1"/>
  <c r="P38" i="2"/>
  <c r="O38" i="2"/>
  <c r="N38" i="2"/>
  <c r="M38" i="2"/>
  <c r="L38" i="2"/>
  <c r="J38" i="2"/>
  <c r="V9" i="68"/>
  <c r="AD24" i="2"/>
  <c r="AD23" i="2"/>
  <c r="S19" i="66" l="1"/>
  <c r="K19" i="66"/>
  <c r="N5" i="58"/>
  <c r="C5" i="58"/>
  <c r="D40" i="68"/>
  <c r="D4" i="68"/>
  <c r="M4" i="2"/>
  <c r="E4" i="2"/>
  <c r="N7" i="65"/>
  <c r="D7" i="65"/>
  <c r="L23" i="65" s="1"/>
  <c r="AF44" i="2"/>
  <c r="AH44" i="2"/>
  <c r="AI44" i="2"/>
  <c r="AK44" i="2"/>
  <c r="AL44" i="2"/>
  <c r="AN44" i="2"/>
  <c r="AO44" i="2"/>
  <c r="AQ44" i="2"/>
  <c r="AE44" i="2"/>
  <c r="AC44" i="2"/>
  <c r="Y44" i="2"/>
  <c r="BD138" i="65"/>
  <c r="BE138" i="65" s="1"/>
  <c r="BD122" i="65"/>
  <c r="BE122" i="65" s="1"/>
  <c r="BD110" i="65"/>
  <c r="BE110" i="65" s="1"/>
  <c r="E92" i="70"/>
  <c r="L92" i="70"/>
  <c r="U92" i="70"/>
  <c r="U4" i="70"/>
  <c r="E4" i="70"/>
  <c r="L4" i="70"/>
  <c r="BO47" i="2"/>
  <c r="BK39" i="2"/>
  <c r="BK40" i="2"/>
  <c r="BV40" i="2"/>
  <c r="BK41" i="2"/>
  <c r="BK42" i="2"/>
  <c r="BV42" i="2" s="1"/>
  <c r="BK43" i="2"/>
  <c r="BV43" i="2" s="1"/>
  <c r="BK44" i="2"/>
  <c r="BV44" i="2"/>
  <c r="BK45" i="2"/>
  <c r="BK46" i="2"/>
  <c r="BV46" i="2" s="1"/>
  <c r="R4" i="2" l="1"/>
  <c r="T4" i="2" s="1"/>
  <c r="U23" i="65"/>
  <c r="AE31" i="2"/>
  <c r="AE32" i="2"/>
  <c r="BA32" i="2" s="1"/>
  <c r="R47" i="2"/>
  <c r="P47" i="2"/>
  <c r="O47" i="2"/>
  <c r="N47" i="2"/>
  <c r="M47" i="2"/>
  <c r="L47" i="2"/>
  <c r="J47" i="2"/>
  <c r="I39" i="2" l="1"/>
  <c r="I40" i="2"/>
  <c r="T40" i="2" s="1"/>
  <c r="I41" i="2"/>
  <c r="T41" i="2" s="1"/>
  <c r="I42" i="2"/>
  <c r="T42" i="2" s="1"/>
  <c r="I43" i="2"/>
  <c r="I44" i="2"/>
  <c r="T44" i="2" s="1"/>
  <c r="I45" i="2"/>
  <c r="I46" i="2"/>
  <c r="T46" i="2"/>
  <c r="T47" i="2"/>
  <c r="R30" i="65"/>
  <c r="BN18" i="68"/>
  <c r="BN17" i="68"/>
  <c r="BN16" i="68"/>
  <c r="BN15" i="68"/>
  <c r="BN14" i="68"/>
  <c r="BN13" i="68"/>
  <c r="BN12" i="68"/>
  <c r="BN11" i="68"/>
  <c r="BN10" i="68"/>
  <c r="BN9" i="68"/>
  <c r="BD139" i="65"/>
  <c r="BD135" i="65"/>
  <c r="BD131" i="65"/>
  <c r="BD143" i="65"/>
  <c r="BD151" i="65"/>
  <c r="BD147" i="65"/>
  <c r="R31" i="65"/>
  <c r="I47" i="2" l="1"/>
  <c r="T43" i="2"/>
  <c r="BD127" i="65"/>
  <c r="BD114" i="65"/>
  <c r="R33" i="65"/>
  <c r="R34" i="65"/>
  <c r="R35" i="65"/>
  <c r="R36" i="65"/>
  <c r="BF114" i="65" l="1"/>
  <c r="BE114" i="65"/>
  <c r="BB30" i="65"/>
  <c r="BC30" i="65" s="1"/>
  <c r="BB24" i="2"/>
  <c r="BB23" i="2"/>
  <c r="BD106" i="65"/>
  <c r="BE106" i="65" s="1"/>
  <c r="CC26" i="58"/>
  <c r="CD26" i="58"/>
  <c r="CD16" i="58"/>
  <c r="BG12" i="58"/>
  <c r="M73" i="2"/>
  <c r="M72" i="2"/>
  <c r="M71" i="2"/>
  <c r="M70" i="2"/>
  <c r="M69" i="2"/>
  <c r="M68" i="2"/>
  <c r="D38" i="68"/>
  <c r="D2" i="68"/>
  <c r="D6" i="65"/>
  <c r="V54" i="68"/>
  <c r="V53" i="68"/>
  <c r="V52" i="68"/>
  <c r="V51" i="68"/>
  <c r="V50" i="68"/>
  <c r="V49" i="68"/>
  <c r="V48" i="68"/>
  <c r="V47" i="68"/>
  <c r="V46" i="68"/>
  <c r="V45" i="68"/>
  <c r="V18" i="68"/>
  <c r="V17" i="68"/>
  <c r="V16" i="68"/>
  <c r="V15" i="68"/>
  <c r="V14" i="68"/>
  <c r="V13" i="68"/>
  <c r="V12" i="68"/>
  <c r="V11" i="68"/>
  <c r="V10" i="68"/>
  <c r="CF24" i="2"/>
  <c r="CF23" i="2"/>
  <c r="BG151" i="65"/>
  <c r="BI151" i="65" s="1"/>
  <c r="BG147" i="65"/>
  <c r="BG143" i="65"/>
  <c r="BI143" i="65" s="1"/>
  <c r="BG139" i="65"/>
  <c r="BI139" i="65" s="1"/>
  <c r="BG135" i="65"/>
  <c r="BG131" i="65"/>
  <c r="BG127" i="65"/>
  <c r="BI127" i="65" s="1"/>
  <c r="BG123" i="65"/>
  <c r="BI123" i="65" s="1"/>
  <c r="BG119" i="65"/>
  <c r="BI119" i="65" s="1"/>
  <c r="BG115" i="65"/>
  <c r="BI115" i="65" s="1"/>
  <c r="BD123" i="65"/>
  <c r="BD119" i="65"/>
  <c r="BD115" i="65"/>
  <c r="BD116" i="65"/>
  <c r="BD111" i="65"/>
  <c r="BD107" i="65"/>
  <c r="BD120" i="65"/>
  <c r="W44" i="2"/>
  <c r="AQ43" i="2"/>
  <c r="AO43" i="2"/>
  <c r="AN43" i="2"/>
  <c r="AL43" i="2"/>
  <c r="AK43" i="2"/>
  <c r="AI43" i="2"/>
  <c r="AH43" i="2"/>
  <c r="AF43" i="2"/>
  <c r="AE43" i="2"/>
  <c r="AC43" i="2"/>
  <c r="Y43" i="2"/>
  <c r="W43" i="2"/>
  <c r="AY47" i="65"/>
  <c r="AW47" i="65"/>
  <c r="AY45" i="65"/>
  <c r="AW45" i="65"/>
  <c r="Y47" i="65"/>
  <c r="AT44" i="2" s="1"/>
  <c r="W47" i="65"/>
  <c r="AR44" i="2" s="1"/>
  <c r="Y45" i="65"/>
  <c r="AT43" i="2" s="1"/>
  <c r="W45" i="65"/>
  <c r="AR43" i="2" s="1"/>
  <c r="AE22" i="2"/>
  <c r="BA22" i="2" s="1"/>
  <c r="AE34" i="2"/>
  <c r="BA34" i="2" s="1"/>
  <c r="AE33" i="2"/>
  <c r="BA33" i="2" s="1"/>
  <c r="BA31" i="2"/>
  <c r="AE30" i="2"/>
  <c r="BA30" i="2" s="1"/>
  <c r="AE29" i="2"/>
  <c r="BA29" i="2" s="1"/>
  <c r="AE28" i="2"/>
  <c r="BA28" i="2" s="1"/>
  <c r="AE27" i="2"/>
  <c r="BA27" i="2" s="1"/>
  <c r="AE26" i="2"/>
  <c r="BA26" i="2" s="1"/>
  <c r="AE25" i="2"/>
  <c r="BA25" i="2" s="1"/>
  <c r="AE24" i="2"/>
  <c r="AE23" i="2"/>
  <c r="AC5" i="58"/>
  <c r="AX26" i="58"/>
  <c r="AW26" i="58"/>
  <c r="AV26" i="58"/>
  <c r="AU26" i="58"/>
  <c r="AT26" i="58"/>
  <c r="AS26" i="58"/>
  <c r="AR26" i="58"/>
  <c r="AQ26" i="58"/>
  <c r="AP26" i="58"/>
  <c r="AO26" i="58"/>
  <c r="AX25" i="58"/>
  <c r="AW25" i="58"/>
  <c r="AV25" i="58"/>
  <c r="AT25" i="58"/>
  <c r="AS25" i="58"/>
  <c r="AQ25" i="58"/>
  <c r="AP25" i="58"/>
  <c r="AO25" i="58"/>
  <c r="O26" i="58"/>
  <c r="P26" i="58"/>
  <c r="P25" i="58"/>
  <c r="Q26" i="58"/>
  <c r="R26" i="58"/>
  <c r="S26" i="58"/>
  <c r="T26" i="58"/>
  <c r="T25" i="58"/>
  <c r="U26" i="58"/>
  <c r="V26" i="58"/>
  <c r="W26" i="58"/>
  <c r="X26" i="58"/>
  <c r="X25" i="58"/>
  <c r="W25" i="58"/>
  <c r="V25" i="58"/>
  <c r="U25" i="58"/>
  <c r="S25" i="58"/>
  <c r="R25" i="58"/>
  <c r="Q25" i="58"/>
  <c r="O25" i="58"/>
  <c r="CG34" i="2"/>
  <c r="CY34" i="2" s="1"/>
  <c r="CG33" i="2"/>
  <c r="CY33" i="2" s="1"/>
  <c r="CG31" i="2"/>
  <c r="CY31" i="2" s="1"/>
  <c r="CG30" i="2"/>
  <c r="CY30" i="2" s="1"/>
  <c r="CG29" i="2"/>
  <c r="CY29" i="2" s="1"/>
  <c r="CG28" i="2"/>
  <c r="CY28" i="2" s="1"/>
  <c r="CG27" i="2"/>
  <c r="CY27" i="2" s="1"/>
  <c r="CG26" i="2"/>
  <c r="CY26" i="2" s="1"/>
  <c r="CG25" i="2"/>
  <c r="CY25" i="2" s="1"/>
  <c r="CG24" i="2"/>
  <c r="CG23" i="2"/>
  <c r="C37" i="58"/>
  <c r="Y5" i="58"/>
  <c r="Y38" i="58" s="1"/>
  <c r="Y81" i="58" s="1"/>
  <c r="Y124" i="58" s="1"/>
  <c r="Y167" i="58" s="1"/>
  <c r="Y210" i="58" s="1"/>
  <c r="W5" i="58"/>
  <c r="W38" i="58" s="1"/>
  <c r="W81" i="58" s="1"/>
  <c r="W124" i="58" s="1"/>
  <c r="W167" i="58" s="1"/>
  <c r="W210" i="58" s="1"/>
  <c r="S167" i="58"/>
  <c r="S210" i="58" s="1"/>
  <c r="P38" i="58"/>
  <c r="P81" i="58" s="1"/>
  <c r="N124" i="58"/>
  <c r="K124" i="58"/>
  <c r="H124" i="58"/>
  <c r="F124" i="58"/>
  <c r="C167" i="58"/>
  <c r="C210" i="58" s="1"/>
  <c r="C4" i="58"/>
  <c r="C123" i="58" s="1"/>
  <c r="AS19" i="66"/>
  <c r="AM19" i="66"/>
  <c r="R37" i="66"/>
  <c r="D45" i="66"/>
  <c r="D44" i="66"/>
  <c r="D43" i="66"/>
  <c r="D42" i="66"/>
  <c r="D41" i="66"/>
  <c r="D40" i="66"/>
  <c r="D39" i="66"/>
  <c r="D38" i="66"/>
  <c r="AR41" i="65"/>
  <c r="AR40" i="65"/>
  <c r="AR39" i="65"/>
  <c r="AR38" i="65"/>
  <c r="AR37" i="65"/>
  <c r="AR36" i="65"/>
  <c r="AR35" i="65"/>
  <c r="AR34" i="65"/>
  <c r="AR33" i="65"/>
  <c r="AR32" i="65"/>
  <c r="AR31" i="65"/>
  <c r="AR30" i="65"/>
  <c r="BK38" i="2"/>
  <c r="BK37" i="2"/>
  <c r="BK36" i="2"/>
  <c r="BK35" i="2"/>
  <c r="BV35" i="2" s="1"/>
  <c r="BK34" i="2"/>
  <c r="BV34" i="2" s="1"/>
  <c r="BK33" i="2"/>
  <c r="BV33" i="2" s="1"/>
  <c r="BK32" i="2"/>
  <c r="BV32" i="2" s="1"/>
  <c r="BK31" i="2"/>
  <c r="BV31" i="2" s="1"/>
  <c r="BK30" i="2"/>
  <c r="BX31" i="2" s="1"/>
  <c r="BK28" i="2"/>
  <c r="BK27" i="2"/>
  <c r="BJ27" i="2"/>
  <c r="BK26" i="2"/>
  <c r="BJ26" i="2"/>
  <c r="BK25" i="2"/>
  <c r="BJ25" i="2"/>
  <c r="BK24" i="2"/>
  <c r="BJ24" i="2"/>
  <c r="BK23" i="2"/>
  <c r="BV23" i="2" s="1"/>
  <c r="CG20" i="2"/>
  <c r="CC20" i="2"/>
  <c r="CF20" i="2" s="1"/>
  <c r="CB20" i="2"/>
  <c r="CA20" i="2"/>
  <c r="CG19" i="2"/>
  <c r="CC19" i="2"/>
  <c r="CF19" i="2" s="1"/>
  <c r="CB19" i="2"/>
  <c r="CA19" i="2"/>
  <c r="CG18" i="2"/>
  <c r="CC18" i="2"/>
  <c r="CF18" i="2" s="1"/>
  <c r="CB18" i="2"/>
  <c r="CA18" i="2"/>
  <c r="CG17" i="2"/>
  <c r="CC17" i="2"/>
  <c r="CF17" i="2" s="1"/>
  <c r="CB17" i="2"/>
  <c r="CA17" i="2"/>
  <c r="CG16" i="2"/>
  <c r="CC16" i="2"/>
  <c r="CF16" i="2" s="1"/>
  <c r="CB16" i="2"/>
  <c r="CA16" i="2"/>
  <c r="CG15" i="2"/>
  <c r="CC15" i="2"/>
  <c r="CF15" i="2" s="1"/>
  <c r="CB15" i="2"/>
  <c r="CA15" i="2"/>
  <c r="CG14" i="2"/>
  <c r="CC14" i="2"/>
  <c r="CF14" i="2" s="1"/>
  <c r="CB14" i="2"/>
  <c r="CA14" i="2"/>
  <c r="CY13" i="2"/>
  <c r="CB13" i="2"/>
  <c r="CA13" i="2"/>
  <c r="CY12" i="2"/>
  <c r="CB12" i="2"/>
  <c r="CA12" i="2"/>
  <c r="CY11" i="2"/>
  <c r="CB11" i="2"/>
  <c r="CA11" i="2"/>
  <c r="CY10" i="2"/>
  <c r="CB10" i="2"/>
  <c r="CA10" i="2"/>
  <c r="CY9" i="2"/>
  <c r="CB9" i="2"/>
  <c r="CA9" i="2"/>
  <c r="CY8" i="2"/>
  <c r="CB8" i="2"/>
  <c r="CA8" i="2"/>
  <c r="CY7" i="2"/>
  <c r="CB7" i="2"/>
  <c r="CA7" i="2"/>
  <c r="CY6" i="2"/>
  <c r="CB6" i="2"/>
  <c r="CA6" i="2"/>
  <c r="CY5" i="2"/>
  <c r="BO4" i="2"/>
  <c r="BJ4" i="2"/>
  <c r="BG4" i="2"/>
  <c r="BG111" i="65"/>
  <c r="BG107" i="65"/>
  <c r="BI107" i="65" s="1"/>
  <c r="I34" i="2"/>
  <c r="I35" i="2"/>
  <c r="T35" i="2" s="1"/>
  <c r="I36" i="2"/>
  <c r="I37" i="2"/>
  <c r="T37" i="2" s="1"/>
  <c r="I28" i="2"/>
  <c r="I27" i="2"/>
  <c r="H27" i="2"/>
  <c r="H26" i="2"/>
  <c r="H25" i="2"/>
  <c r="H24" i="2"/>
  <c r="I33" i="2"/>
  <c r="T33" i="2" s="1"/>
  <c r="I32" i="2"/>
  <c r="I31" i="2"/>
  <c r="T31" i="2" s="1"/>
  <c r="I30" i="2"/>
  <c r="I26" i="2"/>
  <c r="I25" i="2"/>
  <c r="I24" i="2"/>
  <c r="I23" i="2"/>
  <c r="T23" i="2" s="1"/>
  <c r="AI23" i="58"/>
  <c r="AH23" i="58"/>
  <c r="AY6" i="58"/>
  <c r="AY5" i="58"/>
  <c r="AW5" i="58"/>
  <c r="AS5" i="58"/>
  <c r="AP5" i="58"/>
  <c r="AN5" i="58"/>
  <c r="AK5" i="58"/>
  <c r="AH5" i="58"/>
  <c r="AF5" i="58"/>
  <c r="AC4" i="58"/>
  <c r="AR3" i="58"/>
  <c r="AQ3" i="58"/>
  <c r="AP3" i="58"/>
  <c r="AO3" i="58"/>
  <c r="AN3" i="58"/>
  <c r="AM3" i="58"/>
  <c r="AL3" i="58"/>
  <c r="AK3" i="58"/>
  <c r="AJ3" i="58"/>
  <c r="AI3" i="58"/>
  <c r="AH3" i="58"/>
  <c r="AG3" i="58"/>
  <c r="AF3" i="58"/>
  <c r="AE3" i="58"/>
  <c r="AD3" i="58"/>
  <c r="AC3" i="58"/>
  <c r="AB3" i="58"/>
  <c r="AA3" i="58"/>
  <c r="AR2" i="58"/>
  <c r="AQ2" i="58"/>
  <c r="AP2" i="58"/>
  <c r="AO2" i="58"/>
  <c r="AN2" i="58"/>
  <c r="AM2" i="58"/>
  <c r="AL2" i="58"/>
  <c r="AK2" i="58"/>
  <c r="AJ2" i="58"/>
  <c r="AI2" i="58"/>
  <c r="AH2" i="58"/>
  <c r="AG2" i="58"/>
  <c r="AF2" i="58"/>
  <c r="AE2" i="58"/>
  <c r="AD2" i="58"/>
  <c r="AC2" i="58"/>
  <c r="AB2" i="58"/>
  <c r="AA2" i="58"/>
  <c r="CE16" i="58"/>
  <c r="CE33" i="58"/>
  <c r="CE59" i="58"/>
  <c r="CE85" i="58"/>
  <c r="BV14" i="58"/>
  <c r="CE56" i="58" s="1"/>
  <c r="BR15" i="58"/>
  <c r="BQ15" i="58"/>
  <c r="BP15" i="58"/>
  <c r="BO15" i="58"/>
  <c r="BN15" i="58"/>
  <c r="BM15" i="58"/>
  <c r="BL15" i="58"/>
  <c r="BK15" i="58"/>
  <c r="BJ15" i="58"/>
  <c r="BI15" i="58"/>
  <c r="BH15" i="58"/>
  <c r="BG22" i="58"/>
  <c r="BG15" i="58"/>
  <c r="BB54" i="58"/>
  <c r="BD54" i="58" s="1"/>
  <c r="AA31" i="65"/>
  <c r="AX15" i="65"/>
  <c r="AU15" i="65"/>
  <c r="AY8" i="65"/>
  <c r="AY7" i="65"/>
  <c r="AW7" i="65"/>
  <c r="AS7" i="65"/>
  <c r="AP7" i="65"/>
  <c r="AN7" i="65"/>
  <c r="AK7" i="65"/>
  <c r="AH7" i="65"/>
  <c r="AF7" i="65"/>
  <c r="AD7" i="65"/>
  <c r="AD6" i="65"/>
  <c r="BG106" i="65"/>
  <c r="BI106" i="65" s="1"/>
  <c r="BG110" i="65"/>
  <c r="BI110" i="65" s="1"/>
  <c r="R32" i="65"/>
  <c r="BG114" i="65" s="1"/>
  <c r="BI114" i="65" s="1"/>
  <c r="BG118" i="65"/>
  <c r="BI118" i="65" s="1"/>
  <c r="BG122" i="65"/>
  <c r="BI122" i="65" s="1"/>
  <c r="BG153" i="65"/>
  <c r="BG152" i="65"/>
  <c r="BI152" i="65" s="1"/>
  <c r="BG149" i="65"/>
  <c r="BG148" i="65"/>
  <c r="BI148" i="65" s="1"/>
  <c r="BG145" i="65"/>
  <c r="BI145" i="65" s="1"/>
  <c r="BG144" i="65"/>
  <c r="BI144" i="65" s="1"/>
  <c r="BG141" i="65"/>
  <c r="BG140" i="65"/>
  <c r="BG137" i="65"/>
  <c r="BG136" i="65"/>
  <c r="BI136" i="65" s="1"/>
  <c r="BG133" i="65"/>
  <c r="BI133" i="65" s="1"/>
  <c r="BG132" i="65"/>
  <c r="BG129" i="65"/>
  <c r="BI129" i="65" s="1"/>
  <c r="BG128" i="65"/>
  <c r="BI128" i="65" s="1"/>
  <c r="BG125" i="65"/>
  <c r="BI125" i="65" s="1"/>
  <c r="BG124" i="65"/>
  <c r="BI124" i="65" s="1"/>
  <c r="BG121" i="65"/>
  <c r="BG120" i="65"/>
  <c r="BG117" i="65"/>
  <c r="BI117" i="65" s="1"/>
  <c r="BG116" i="65"/>
  <c r="BI116" i="65" s="1"/>
  <c r="BG108" i="65"/>
  <c r="BG109" i="65"/>
  <c r="BG113" i="65"/>
  <c r="BI113" i="65" s="1"/>
  <c r="BG112" i="65"/>
  <c r="BD153" i="65"/>
  <c r="BD152" i="65"/>
  <c r="BD150" i="65"/>
  <c r="BE150" i="65" s="1"/>
  <c r="BD149" i="65"/>
  <c r="BD148" i="65"/>
  <c r="BD146" i="65"/>
  <c r="BE146" i="65" s="1"/>
  <c r="BD145" i="65"/>
  <c r="BD144" i="65"/>
  <c r="BD142" i="65"/>
  <c r="BD141" i="65"/>
  <c r="BD140" i="65"/>
  <c r="BD137" i="65"/>
  <c r="BD136" i="65"/>
  <c r="BD134" i="65"/>
  <c r="BD133" i="65"/>
  <c r="BD132" i="65"/>
  <c r="BD130" i="65"/>
  <c r="BE130" i="65" s="1"/>
  <c r="BD129" i="65"/>
  <c r="BD128" i="65"/>
  <c r="BD126" i="65"/>
  <c r="BE126" i="65" s="1"/>
  <c r="BD125" i="65"/>
  <c r="BD124" i="65"/>
  <c r="BD121" i="65"/>
  <c r="BD118" i="65"/>
  <c r="BE118" i="65" s="1"/>
  <c r="BD117" i="65"/>
  <c r="BD113" i="65"/>
  <c r="BD112" i="65"/>
  <c r="BD109" i="65"/>
  <c r="BD108" i="65"/>
  <c r="AW52" i="66"/>
  <c r="AW50" i="66"/>
  <c r="AL50" i="66" s="1"/>
  <c r="AW48" i="66"/>
  <c r="AL48" i="66" s="1"/>
  <c r="AW46" i="66"/>
  <c r="AR46" i="66"/>
  <c r="AV36" i="66"/>
  <c r="AL46" i="66"/>
  <c r="W7" i="65"/>
  <c r="N13" i="66"/>
  <c r="P13" i="62"/>
  <c r="BN76" i="58"/>
  <c r="BN75" i="58"/>
  <c r="BN74" i="58"/>
  <c r="BN73" i="58"/>
  <c r="BN72" i="58"/>
  <c r="BN71" i="58"/>
  <c r="BN70" i="58"/>
  <c r="BN69" i="58"/>
  <c r="BN68" i="58"/>
  <c r="BN67" i="58"/>
  <c r="BN66" i="58"/>
  <c r="BN65" i="58"/>
  <c r="BM76" i="58"/>
  <c r="BM75" i="58"/>
  <c r="BM74" i="58"/>
  <c r="BM73" i="58"/>
  <c r="BM72" i="58"/>
  <c r="BM71" i="58"/>
  <c r="BM70" i="58"/>
  <c r="BM69" i="58"/>
  <c r="BM68" i="58"/>
  <c r="BM67" i="58"/>
  <c r="BM66" i="58"/>
  <c r="BM65" i="58"/>
  <c r="BL76" i="58"/>
  <c r="BL75" i="58"/>
  <c r="BL74" i="58"/>
  <c r="BL73" i="58"/>
  <c r="BL72" i="58"/>
  <c r="BL71" i="58"/>
  <c r="BL70" i="58"/>
  <c r="BL69" i="58"/>
  <c r="BL68" i="58"/>
  <c r="BL67" i="58"/>
  <c r="BL66" i="58"/>
  <c r="BL65" i="58"/>
  <c r="BK76" i="58"/>
  <c r="BK75" i="58"/>
  <c r="BK74" i="58"/>
  <c r="BK73" i="58"/>
  <c r="BK72" i="58"/>
  <c r="BK71" i="58"/>
  <c r="BK70" i="58"/>
  <c r="BK69" i="58"/>
  <c r="BK68" i="58"/>
  <c r="BK67" i="58"/>
  <c r="BK66" i="58"/>
  <c r="BK65" i="58"/>
  <c r="BJ76" i="58"/>
  <c r="BJ75" i="58"/>
  <c r="BJ74" i="58"/>
  <c r="BJ73" i="58"/>
  <c r="BJ72" i="58"/>
  <c r="BJ71" i="58"/>
  <c r="BJ70" i="58"/>
  <c r="BJ69" i="58"/>
  <c r="BJ68" i="58"/>
  <c r="BJ67" i="58"/>
  <c r="BJ66" i="58"/>
  <c r="BJ65" i="58"/>
  <c r="BI76" i="58"/>
  <c r="BI75" i="58"/>
  <c r="BI74" i="58"/>
  <c r="BI73" i="58"/>
  <c r="BI72" i="58"/>
  <c r="BI71" i="58"/>
  <c r="BI70" i="58"/>
  <c r="BI69" i="58"/>
  <c r="BI68" i="58"/>
  <c r="BI67" i="58"/>
  <c r="BI66" i="58"/>
  <c r="BI65" i="58"/>
  <c r="BF8" i="58" s="1"/>
  <c r="BH76" i="58"/>
  <c r="BH75" i="58"/>
  <c r="BH74" i="58"/>
  <c r="BH73" i="58"/>
  <c r="BH70" i="58"/>
  <c r="BH72" i="58"/>
  <c r="BH71" i="58"/>
  <c r="BH69" i="58"/>
  <c r="BH68" i="58"/>
  <c r="BH67" i="58"/>
  <c r="BH66" i="58"/>
  <c r="BH65" i="58"/>
  <c r="I23" i="58"/>
  <c r="BG76" i="58"/>
  <c r="BG75" i="58"/>
  <c r="BG74" i="58"/>
  <c r="BG73" i="58"/>
  <c r="BG72" i="58"/>
  <c r="BG71" i="58"/>
  <c r="BG70" i="58"/>
  <c r="BG69" i="58"/>
  <c r="BG68" i="58"/>
  <c r="BG67" i="58"/>
  <c r="BG66" i="58"/>
  <c r="BG65" i="58"/>
  <c r="BU28" i="58"/>
  <c r="CE53" i="58" s="1"/>
  <c r="CD85" i="58"/>
  <c r="CD59" i="58"/>
  <c r="CD33" i="58"/>
  <c r="CC109" i="58"/>
  <c r="CC108" i="58"/>
  <c r="CC107" i="58"/>
  <c r="CC106" i="58"/>
  <c r="CC99" i="58"/>
  <c r="CC100" i="58"/>
  <c r="CC101" i="58"/>
  <c r="CC102" i="58"/>
  <c r="CC103" i="58"/>
  <c r="CC104" i="58"/>
  <c r="CC105" i="58"/>
  <c r="CC81" i="58"/>
  <c r="CC82" i="58"/>
  <c r="CC83" i="58"/>
  <c r="CC84" i="58"/>
  <c r="CC85" i="58"/>
  <c r="CC86" i="58"/>
  <c r="CC87" i="58"/>
  <c r="CC88" i="58"/>
  <c r="CC89" i="58"/>
  <c r="CC90" i="58"/>
  <c r="CC91" i="58"/>
  <c r="CC92" i="58"/>
  <c r="CC93" i="58"/>
  <c r="CC94" i="58"/>
  <c r="CC95" i="58"/>
  <c r="CC96" i="58"/>
  <c r="CC97" i="58"/>
  <c r="CC98" i="58"/>
  <c r="CC80" i="58"/>
  <c r="CC78" i="58"/>
  <c r="CC79" i="58"/>
  <c r="CC76" i="58"/>
  <c r="CC77" i="58"/>
  <c r="CC72" i="58"/>
  <c r="CC73" i="58"/>
  <c r="CC74" i="58"/>
  <c r="CC75" i="58"/>
  <c r="CC71" i="58"/>
  <c r="CC55" i="58"/>
  <c r="CC56" i="58"/>
  <c r="CC57" i="58"/>
  <c r="CC58" i="58"/>
  <c r="CC59" i="58"/>
  <c r="CC60" i="58"/>
  <c r="CC61" i="58"/>
  <c r="CC62" i="58"/>
  <c r="CC63" i="58"/>
  <c r="CC64" i="58"/>
  <c r="CC65" i="58"/>
  <c r="CC66" i="58"/>
  <c r="CC67" i="58"/>
  <c r="CC68" i="58"/>
  <c r="CC69" i="58"/>
  <c r="CC70" i="58"/>
  <c r="CC54" i="58"/>
  <c r="CC51" i="58"/>
  <c r="CC52" i="58"/>
  <c r="CC53" i="58"/>
  <c r="CC42" i="58"/>
  <c r="CC43" i="58"/>
  <c r="CC44" i="58"/>
  <c r="CC45" i="58"/>
  <c r="CC46" i="58"/>
  <c r="CC47" i="58"/>
  <c r="CC48" i="58"/>
  <c r="CC49" i="58"/>
  <c r="CC50" i="58"/>
  <c r="CC29" i="58"/>
  <c r="CC30" i="58"/>
  <c r="CC31" i="58"/>
  <c r="CC32" i="58"/>
  <c r="CC33" i="58"/>
  <c r="CC34" i="58"/>
  <c r="CC35" i="58"/>
  <c r="CC36" i="58"/>
  <c r="CC37" i="58"/>
  <c r="CC38" i="58"/>
  <c r="CC39" i="58"/>
  <c r="CC40" i="58"/>
  <c r="CC41" i="58"/>
  <c r="CC28" i="58"/>
  <c r="CC13" i="58"/>
  <c r="CC14" i="58"/>
  <c r="CC15" i="58"/>
  <c r="CC16" i="58"/>
  <c r="CC17" i="58"/>
  <c r="CC18" i="58"/>
  <c r="CC19" i="58"/>
  <c r="CC20" i="58"/>
  <c r="CC21" i="58"/>
  <c r="CC22" i="58"/>
  <c r="CC23" i="58"/>
  <c r="CC24" i="58"/>
  <c r="CC25" i="58"/>
  <c r="CC12" i="58"/>
  <c r="CC11" i="58"/>
  <c r="BW38" i="58"/>
  <c r="BV38" i="58"/>
  <c r="BU38" i="58"/>
  <c r="BT38" i="58"/>
  <c r="BS4" i="58"/>
  <c r="BQ32" i="58"/>
  <c r="BQ33" i="58"/>
  <c r="BQ34" i="58"/>
  <c r="BQ35" i="58"/>
  <c r="BQ36" i="58"/>
  <c r="BQ37" i="58"/>
  <c r="BQ38" i="58"/>
  <c r="BQ39" i="58"/>
  <c r="BQ40" i="58"/>
  <c r="BQ41" i="58"/>
  <c r="BQ42" i="58"/>
  <c r="BQ43" i="58"/>
  <c r="BQ44" i="58"/>
  <c r="BQ45" i="58"/>
  <c r="BQ46" i="58"/>
  <c r="BQ47" i="58"/>
  <c r="BQ48" i="58"/>
  <c r="BQ49" i="58"/>
  <c r="BQ50" i="58"/>
  <c r="BQ51" i="58"/>
  <c r="BQ52" i="58"/>
  <c r="BQ53" i="58"/>
  <c r="BQ54" i="58"/>
  <c r="BQ55" i="58"/>
  <c r="BQ56" i="58"/>
  <c r="BQ57" i="58"/>
  <c r="BQ58" i="58"/>
  <c r="BQ59" i="58"/>
  <c r="BQ60" i="58"/>
  <c r="BQ31" i="58"/>
  <c r="BP32" i="58"/>
  <c r="BP33" i="58"/>
  <c r="BP34" i="58"/>
  <c r="BP35" i="58"/>
  <c r="BP36" i="58"/>
  <c r="BP37" i="58"/>
  <c r="BP38" i="58"/>
  <c r="BP39" i="58"/>
  <c r="BP40" i="58"/>
  <c r="BP41" i="58"/>
  <c r="BP42" i="58"/>
  <c r="BP43" i="58"/>
  <c r="BP44" i="58"/>
  <c r="BP45" i="58"/>
  <c r="BP46" i="58"/>
  <c r="BP47" i="58"/>
  <c r="BP48" i="58"/>
  <c r="BP49" i="58"/>
  <c r="BP50" i="58"/>
  <c r="BP51" i="58"/>
  <c r="BP52" i="58"/>
  <c r="BP53" i="58"/>
  <c r="BP54" i="58"/>
  <c r="BP55" i="58"/>
  <c r="BP56" i="58"/>
  <c r="BP57" i="58"/>
  <c r="BP58" i="58"/>
  <c r="BP59" i="58"/>
  <c r="BP60" i="58"/>
  <c r="BP31" i="58"/>
  <c r="BO32" i="58"/>
  <c r="BO33" i="58"/>
  <c r="BO34" i="58"/>
  <c r="BO35" i="58"/>
  <c r="BO36" i="58"/>
  <c r="BO37" i="58"/>
  <c r="BO38" i="58"/>
  <c r="BO39" i="58"/>
  <c r="BO40" i="58"/>
  <c r="BO41" i="58"/>
  <c r="BO42" i="58"/>
  <c r="BO43" i="58"/>
  <c r="BO44" i="58"/>
  <c r="BO45" i="58"/>
  <c r="BO46" i="58"/>
  <c r="BO47" i="58"/>
  <c r="BO48" i="58"/>
  <c r="BO49" i="58"/>
  <c r="BO50" i="58"/>
  <c r="BO51" i="58"/>
  <c r="BO52" i="58"/>
  <c r="BO53" i="58"/>
  <c r="BO54" i="58"/>
  <c r="BO55" i="58"/>
  <c r="BO56" i="58"/>
  <c r="BO57" i="58"/>
  <c r="BO58" i="58"/>
  <c r="BO59" i="58"/>
  <c r="BO60" i="58"/>
  <c r="BO31" i="58"/>
  <c r="BN32" i="58"/>
  <c r="BN33" i="58"/>
  <c r="BN34" i="58"/>
  <c r="BN35" i="58"/>
  <c r="BN36" i="58"/>
  <c r="BN37" i="58"/>
  <c r="BN38" i="58"/>
  <c r="BN39" i="58"/>
  <c r="BN40" i="58"/>
  <c r="BN41" i="58"/>
  <c r="BN42" i="58"/>
  <c r="BN43" i="58"/>
  <c r="BN44" i="58"/>
  <c r="BN45" i="58"/>
  <c r="BN46" i="58"/>
  <c r="BN47" i="58"/>
  <c r="BN48" i="58"/>
  <c r="BN49" i="58"/>
  <c r="BN50" i="58"/>
  <c r="BN51" i="58"/>
  <c r="BN52" i="58"/>
  <c r="BN53" i="58"/>
  <c r="BN54" i="58"/>
  <c r="BN55" i="58"/>
  <c r="BN56" i="58"/>
  <c r="BN57" i="58"/>
  <c r="BN58" i="58"/>
  <c r="BN59" i="58"/>
  <c r="BN60" i="58"/>
  <c r="BN31" i="58"/>
  <c r="BM32" i="58"/>
  <c r="BM33" i="58"/>
  <c r="BM34" i="58"/>
  <c r="BM35" i="58"/>
  <c r="BM36" i="58"/>
  <c r="BM37" i="58"/>
  <c r="BM38" i="58"/>
  <c r="BM39" i="58"/>
  <c r="BM40" i="58"/>
  <c r="BM41" i="58"/>
  <c r="BM42" i="58"/>
  <c r="BM43" i="58"/>
  <c r="BM44" i="58"/>
  <c r="BM45" i="58"/>
  <c r="BM46" i="58"/>
  <c r="BM47" i="58"/>
  <c r="BM48" i="58"/>
  <c r="BM49" i="58"/>
  <c r="BM50" i="58"/>
  <c r="BM51" i="58"/>
  <c r="BM52" i="58"/>
  <c r="BM53" i="58"/>
  <c r="BM54" i="58"/>
  <c r="BM55" i="58"/>
  <c r="BM56" i="58"/>
  <c r="BM57" i="58"/>
  <c r="BM58" i="58"/>
  <c r="BM59" i="58"/>
  <c r="BM60" i="58"/>
  <c r="BM31" i="58"/>
  <c r="BL32" i="58"/>
  <c r="BL33" i="58"/>
  <c r="BL34" i="58"/>
  <c r="BL35" i="58"/>
  <c r="BL36" i="58"/>
  <c r="BL37" i="58"/>
  <c r="BL38" i="58"/>
  <c r="BL39" i="58"/>
  <c r="BL40" i="58"/>
  <c r="BL41" i="58"/>
  <c r="BL42" i="58"/>
  <c r="BL43" i="58"/>
  <c r="BL44" i="58"/>
  <c r="BL45" i="58"/>
  <c r="BL46" i="58"/>
  <c r="BL47" i="58"/>
  <c r="BL48" i="58"/>
  <c r="BL49" i="58"/>
  <c r="BL50" i="58"/>
  <c r="BL51" i="58"/>
  <c r="BL52" i="58"/>
  <c r="BL53" i="58"/>
  <c r="BL54" i="58"/>
  <c r="BL55" i="58"/>
  <c r="BL56" i="58"/>
  <c r="BL57" i="58"/>
  <c r="BL58" i="58"/>
  <c r="BL59" i="58"/>
  <c r="BL60" i="58"/>
  <c r="BL31" i="58"/>
  <c r="BK32" i="58"/>
  <c r="BK33" i="58"/>
  <c r="BK34" i="58"/>
  <c r="BK35" i="58"/>
  <c r="BK36" i="58"/>
  <c r="BK37" i="58"/>
  <c r="BK38" i="58"/>
  <c r="BK39" i="58"/>
  <c r="BK40" i="58"/>
  <c r="BK41" i="58"/>
  <c r="BK42" i="58"/>
  <c r="BK43" i="58"/>
  <c r="BK44" i="58"/>
  <c r="BK45" i="58"/>
  <c r="BK46" i="58"/>
  <c r="BK47" i="58"/>
  <c r="BK48" i="58"/>
  <c r="BK49" i="58"/>
  <c r="BK50" i="58"/>
  <c r="BK51" i="58"/>
  <c r="BK52" i="58"/>
  <c r="BK53" i="58"/>
  <c r="BK54" i="58"/>
  <c r="BK55" i="58"/>
  <c r="BK56" i="58"/>
  <c r="BK57" i="58"/>
  <c r="BK58" i="58"/>
  <c r="BK59" i="58"/>
  <c r="BK60" i="58"/>
  <c r="BK31" i="58"/>
  <c r="BJ33" i="58"/>
  <c r="BJ34" i="58"/>
  <c r="BJ35" i="58"/>
  <c r="BJ36" i="58"/>
  <c r="BJ37" i="58"/>
  <c r="BJ38" i="58"/>
  <c r="BJ39" i="58"/>
  <c r="BJ40" i="58"/>
  <c r="BJ41" i="58"/>
  <c r="BJ42" i="58"/>
  <c r="BJ43" i="58"/>
  <c r="BJ44" i="58"/>
  <c r="BJ45" i="58"/>
  <c r="BJ46" i="58"/>
  <c r="BJ47" i="58"/>
  <c r="BJ48" i="58"/>
  <c r="BJ49" i="58"/>
  <c r="BJ50" i="58"/>
  <c r="BJ51" i="58"/>
  <c r="BJ52" i="58"/>
  <c r="BJ53" i="58"/>
  <c r="BJ54" i="58"/>
  <c r="BJ55" i="58"/>
  <c r="BJ56" i="58"/>
  <c r="BJ57" i="58"/>
  <c r="BJ58" i="58"/>
  <c r="BJ59" i="58"/>
  <c r="BJ60" i="58"/>
  <c r="BJ32" i="58"/>
  <c r="BJ31" i="58"/>
  <c r="H23" i="58"/>
  <c r="BF40" i="58"/>
  <c r="BK219" i="58"/>
  <c r="BL219" i="58"/>
  <c r="BK220" i="58"/>
  <c r="BL220" i="58"/>
  <c r="BK221" i="58"/>
  <c r="BL221" i="58"/>
  <c r="BK222" i="58"/>
  <c r="BL222" i="58"/>
  <c r="BK223" i="58"/>
  <c r="BL223" i="58"/>
  <c r="BK224" i="58"/>
  <c r="BL224" i="58"/>
  <c r="BK225" i="58"/>
  <c r="BL225" i="58"/>
  <c r="BK226" i="58"/>
  <c r="BL226" i="58"/>
  <c r="BK227" i="58"/>
  <c r="BL227" i="58"/>
  <c r="BK228" i="58"/>
  <c r="BL228" i="58"/>
  <c r="BK229" i="58"/>
  <c r="BL229" i="58"/>
  <c r="BK230" i="58"/>
  <c r="BL230" i="58"/>
  <c r="BK231" i="58"/>
  <c r="BL231" i="58"/>
  <c r="BK232" i="58"/>
  <c r="BL232" i="58"/>
  <c r="BK233" i="58"/>
  <c r="BL233" i="58"/>
  <c r="BK234" i="58"/>
  <c r="BL234" i="58"/>
  <c r="BK235" i="58"/>
  <c r="BL235" i="58"/>
  <c r="BK236" i="58"/>
  <c r="BL236" i="58"/>
  <c r="BK237" i="58"/>
  <c r="BL237" i="58"/>
  <c r="BK238" i="58"/>
  <c r="BL238" i="58"/>
  <c r="BK239" i="58"/>
  <c r="BL239" i="58"/>
  <c r="BK240" i="58"/>
  <c r="BL240" i="58"/>
  <c r="BK241" i="58"/>
  <c r="BL241" i="58"/>
  <c r="BK242" i="58"/>
  <c r="BL242" i="58"/>
  <c r="BK243" i="58"/>
  <c r="BL243" i="58"/>
  <c r="BK244" i="58"/>
  <c r="BL244" i="58"/>
  <c r="BK245" i="58"/>
  <c r="BL245" i="58"/>
  <c r="BK246" i="58"/>
  <c r="BL246" i="58"/>
  <c r="BK247" i="58"/>
  <c r="BL247" i="58"/>
  <c r="BL218" i="58"/>
  <c r="BK218" i="58"/>
  <c r="BG219" i="58"/>
  <c r="BH219" i="58"/>
  <c r="BG220" i="58"/>
  <c r="BH220" i="58"/>
  <c r="BG221" i="58"/>
  <c r="BH221" i="58"/>
  <c r="BG222" i="58"/>
  <c r="BH222" i="58"/>
  <c r="BG223" i="58"/>
  <c r="BH223" i="58"/>
  <c r="BG224" i="58"/>
  <c r="BH224" i="58"/>
  <c r="BG225" i="58"/>
  <c r="BH225" i="58"/>
  <c r="BG226" i="58"/>
  <c r="BH226" i="58"/>
  <c r="BG227" i="58"/>
  <c r="BH227" i="58"/>
  <c r="BG228" i="58"/>
  <c r="BH228" i="58"/>
  <c r="BG229" i="58"/>
  <c r="BH229" i="58"/>
  <c r="BG230" i="58"/>
  <c r="BH230" i="58"/>
  <c r="BG231" i="58"/>
  <c r="BH231" i="58"/>
  <c r="BG232" i="58"/>
  <c r="BH232" i="58"/>
  <c r="BG233" i="58"/>
  <c r="BH233" i="58"/>
  <c r="BG234" i="58"/>
  <c r="BH234" i="58"/>
  <c r="BG235" i="58"/>
  <c r="BH235" i="58"/>
  <c r="BG236" i="58"/>
  <c r="BH236" i="58"/>
  <c r="BG237" i="58"/>
  <c r="BH237" i="58"/>
  <c r="BG238" i="58"/>
  <c r="BH238" i="58"/>
  <c r="BG239" i="58"/>
  <c r="BH239" i="58"/>
  <c r="BG240" i="58"/>
  <c r="BH240" i="58"/>
  <c r="BG241" i="58"/>
  <c r="BH241" i="58"/>
  <c r="BG242" i="58"/>
  <c r="BH242" i="58"/>
  <c r="BG243" i="58"/>
  <c r="BH243" i="58"/>
  <c r="BG244" i="58"/>
  <c r="BH244" i="58"/>
  <c r="BG245" i="58"/>
  <c r="BH245" i="58"/>
  <c r="BG246" i="58"/>
  <c r="BH246" i="58"/>
  <c r="BG247" i="58"/>
  <c r="BH247" i="58"/>
  <c r="BH218" i="58"/>
  <c r="BG218" i="58"/>
  <c r="BG176" i="58"/>
  <c r="BH176" i="58"/>
  <c r="BG177" i="58"/>
  <c r="BH177" i="58"/>
  <c r="BG178" i="58"/>
  <c r="BH178" i="58"/>
  <c r="BG179" i="58"/>
  <c r="BH179" i="58"/>
  <c r="BG180" i="58"/>
  <c r="BH180" i="58"/>
  <c r="BG181" i="58"/>
  <c r="BH181" i="58"/>
  <c r="BG182" i="58"/>
  <c r="BH182" i="58"/>
  <c r="BG183" i="58"/>
  <c r="BH183" i="58"/>
  <c r="BG184" i="58"/>
  <c r="BH184" i="58"/>
  <c r="BG185" i="58"/>
  <c r="BH185" i="58"/>
  <c r="BG186" i="58"/>
  <c r="BH186" i="58"/>
  <c r="BG187" i="58"/>
  <c r="BH187" i="58"/>
  <c r="BG188" i="58"/>
  <c r="BH188" i="58"/>
  <c r="BG189" i="58"/>
  <c r="BH189" i="58"/>
  <c r="BG190" i="58"/>
  <c r="BH190" i="58"/>
  <c r="BG191" i="58"/>
  <c r="BH191" i="58"/>
  <c r="BG192" i="58"/>
  <c r="BH192" i="58"/>
  <c r="BG193" i="58"/>
  <c r="BH193" i="58"/>
  <c r="BG194" i="58"/>
  <c r="BH194" i="58"/>
  <c r="BG195" i="58"/>
  <c r="BH195" i="58"/>
  <c r="BG196" i="58"/>
  <c r="BH196" i="58"/>
  <c r="BG197" i="58"/>
  <c r="BH197" i="58"/>
  <c r="BG198" i="58"/>
  <c r="BH198" i="58"/>
  <c r="BG199" i="58"/>
  <c r="BH199" i="58"/>
  <c r="BG200" i="58"/>
  <c r="BH200" i="58"/>
  <c r="BG201" i="58"/>
  <c r="BH201" i="58"/>
  <c r="BG202" i="58"/>
  <c r="BH202" i="58"/>
  <c r="BG203" i="58"/>
  <c r="BH203" i="58"/>
  <c r="BG204" i="58"/>
  <c r="BH204" i="58"/>
  <c r="BH175" i="58"/>
  <c r="BG175" i="58"/>
  <c r="BG133" i="58"/>
  <c r="BH133" i="58"/>
  <c r="BG134" i="58"/>
  <c r="BH134" i="58"/>
  <c r="BG135" i="58"/>
  <c r="BH135" i="58"/>
  <c r="BG136" i="58"/>
  <c r="BH136" i="58"/>
  <c r="BG137" i="58"/>
  <c r="BH137" i="58"/>
  <c r="BG138" i="58"/>
  <c r="BH138" i="58"/>
  <c r="BG139" i="58"/>
  <c r="BH139" i="58"/>
  <c r="BG140" i="58"/>
  <c r="BH140" i="58"/>
  <c r="BG141" i="58"/>
  <c r="BH141" i="58"/>
  <c r="BG142" i="58"/>
  <c r="BH142" i="58"/>
  <c r="BG143" i="58"/>
  <c r="BH143" i="58"/>
  <c r="BG144" i="58"/>
  <c r="BH144" i="58"/>
  <c r="BG145" i="58"/>
  <c r="BH145" i="58"/>
  <c r="BG146" i="58"/>
  <c r="BH146" i="58"/>
  <c r="BG147" i="58"/>
  <c r="BH147" i="58"/>
  <c r="BG148" i="58"/>
  <c r="BH148" i="58"/>
  <c r="BG149" i="58"/>
  <c r="BH149" i="58"/>
  <c r="BG150" i="58"/>
  <c r="BH150" i="58"/>
  <c r="BG151" i="58"/>
  <c r="BH151" i="58"/>
  <c r="BG152" i="58"/>
  <c r="BH152" i="58"/>
  <c r="BG153" i="58"/>
  <c r="BH153" i="58"/>
  <c r="BG154" i="58"/>
  <c r="BH154" i="58"/>
  <c r="BG155" i="58"/>
  <c r="BH155" i="58"/>
  <c r="BG156" i="58"/>
  <c r="BH156" i="58"/>
  <c r="BG157" i="58"/>
  <c r="BH157" i="58"/>
  <c r="BG158" i="58"/>
  <c r="BH158" i="58"/>
  <c r="BG159" i="58"/>
  <c r="BH159" i="58"/>
  <c r="BG160" i="58"/>
  <c r="BH160" i="58"/>
  <c r="BG161" i="58"/>
  <c r="BH161" i="58"/>
  <c r="BH132" i="58"/>
  <c r="BG132" i="58"/>
  <c r="BL78" i="58"/>
  <c r="BL79" i="58"/>
  <c r="BL80" i="58"/>
  <c r="BL81" i="58"/>
  <c r="BL82" i="58"/>
  <c r="BL83" i="58"/>
  <c r="BL84" i="58"/>
  <c r="BL85" i="58"/>
  <c r="BL86" i="58"/>
  <c r="BL87" i="58"/>
  <c r="BL88" i="58"/>
  <c r="BL89" i="58"/>
  <c r="BL90" i="58"/>
  <c r="BL91" i="58"/>
  <c r="BL92" i="58"/>
  <c r="CA17" i="58"/>
  <c r="BZ17" i="58"/>
  <c r="CE108" i="58" s="1"/>
  <c r="BT20" i="58"/>
  <c r="CE19" i="58" s="1"/>
  <c r="BS3" i="58"/>
  <c r="BR4" i="58"/>
  <c r="BR3" i="58"/>
  <c r="BQ4" i="58"/>
  <c r="BP4" i="58"/>
  <c r="BI32" i="58"/>
  <c r="BI33" i="58"/>
  <c r="BI34" i="58"/>
  <c r="BI35" i="58"/>
  <c r="BI36" i="58"/>
  <c r="BI37" i="58"/>
  <c r="BI38" i="58"/>
  <c r="BI39" i="58"/>
  <c r="BI40" i="58"/>
  <c r="BI41" i="58"/>
  <c r="BI42" i="58"/>
  <c r="BI43" i="58"/>
  <c r="BI44" i="58"/>
  <c r="BI45" i="58"/>
  <c r="BI46" i="58"/>
  <c r="BI47" i="58"/>
  <c r="BI48" i="58"/>
  <c r="BI49" i="58"/>
  <c r="BI50" i="58"/>
  <c r="BI51" i="58"/>
  <c r="BI52" i="58"/>
  <c r="BI53" i="58"/>
  <c r="BI54" i="58"/>
  <c r="BI55" i="58"/>
  <c r="BI56" i="58"/>
  <c r="BI57" i="58"/>
  <c r="BI58" i="58"/>
  <c r="BI59" i="58"/>
  <c r="BI60" i="58"/>
  <c r="BI31" i="58"/>
  <c r="BH31" i="58"/>
  <c r="BG32" i="58"/>
  <c r="BG33" i="58"/>
  <c r="BG34" i="58"/>
  <c r="BG35" i="58"/>
  <c r="BG36" i="58"/>
  <c r="BG37" i="58"/>
  <c r="BG38" i="58"/>
  <c r="BG39" i="58"/>
  <c r="BG40" i="58"/>
  <c r="BG31" i="58"/>
  <c r="BH59" i="58"/>
  <c r="BH60" i="58"/>
  <c r="BH57" i="58"/>
  <c r="BH58" i="58"/>
  <c r="BH49" i="58"/>
  <c r="BH50" i="58"/>
  <c r="BH51" i="58"/>
  <c r="BH52" i="58"/>
  <c r="BH53" i="58"/>
  <c r="BH54" i="58"/>
  <c r="BH55" i="58"/>
  <c r="BH56" i="58"/>
  <c r="BH32" i="58"/>
  <c r="BH33" i="58"/>
  <c r="BH34" i="58"/>
  <c r="BH35" i="58"/>
  <c r="BH36" i="58"/>
  <c r="BH37" i="58"/>
  <c r="BH38" i="58"/>
  <c r="BH39" i="58"/>
  <c r="BH40" i="58"/>
  <c r="BH41" i="58"/>
  <c r="BH42" i="58"/>
  <c r="BH43" i="58"/>
  <c r="BH44" i="58"/>
  <c r="BH45" i="58"/>
  <c r="BH46" i="58"/>
  <c r="BH47" i="58"/>
  <c r="BH48" i="58"/>
  <c r="BF34" i="58"/>
  <c r="BF35" i="58"/>
  <c r="BF36" i="58"/>
  <c r="BF37" i="58"/>
  <c r="BF38" i="58"/>
  <c r="BF39" i="58"/>
  <c r="BF33" i="58"/>
  <c r="BF32" i="58"/>
  <c r="BF31" i="58"/>
  <c r="BG13" i="58"/>
  <c r="BY17" i="58"/>
  <c r="CE107" i="58" s="1"/>
  <c r="BX17" i="58"/>
  <c r="CE106" i="58" s="1"/>
  <c r="BW28" i="58"/>
  <c r="CE105" i="58" s="1"/>
  <c r="CE104" i="58"/>
  <c r="CE103" i="58"/>
  <c r="CE102" i="58"/>
  <c r="CE101" i="58"/>
  <c r="CE100" i="58"/>
  <c r="CE99" i="58"/>
  <c r="CE98" i="58"/>
  <c r="CE97" i="58"/>
  <c r="CE96" i="58"/>
  <c r="CE95" i="58"/>
  <c r="BW26" i="58"/>
  <c r="CE94" i="58" s="1"/>
  <c r="BW25" i="58"/>
  <c r="CE93" i="58" s="1"/>
  <c r="BW24" i="58"/>
  <c r="CE92" i="58" s="1"/>
  <c r="BW23" i="58"/>
  <c r="CE91" i="58" s="1"/>
  <c r="BW22" i="58"/>
  <c r="CE90" i="58" s="1"/>
  <c r="BW21" i="58"/>
  <c r="CE89" i="58" s="1"/>
  <c r="BW20" i="58"/>
  <c r="CE88" i="58" s="1"/>
  <c r="BW19" i="58"/>
  <c r="CE87" i="58" s="1"/>
  <c r="BW18" i="58"/>
  <c r="CE86" i="58" s="1"/>
  <c r="BW16" i="58"/>
  <c r="CE84" i="58" s="1"/>
  <c r="BW15" i="58"/>
  <c r="CE83" i="58" s="1"/>
  <c r="BW14" i="58"/>
  <c r="CE82" i="58" s="1"/>
  <c r="BW13" i="58"/>
  <c r="CE81" i="58" s="1"/>
  <c r="BW12" i="58"/>
  <c r="BW33" i="58" s="1"/>
  <c r="BV21" i="58"/>
  <c r="CE63" i="58" s="1"/>
  <c r="BV20" i="58"/>
  <c r="CE62" i="58" s="1"/>
  <c r="BV19" i="58"/>
  <c r="CE61" i="58" s="1"/>
  <c r="BV18" i="58"/>
  <c r="CE60" i="58" s="1"/>
  <c r="BV16" i="58"/>
  <c r="CE58" i="58" s="1"/>
  <c r="BV15" i="58"/>
  <c r="CE57" i="58" s="1"/>
  <c r="BV28" i="58"/>
  <c r="CE79" i="58" s="1"/>
  <c r="CE78" i="58"/>
  <c r="CE77" i="58"/>
  <c r="CE76" i="58"/>
  <c r="CE75" i="58"/>
  <c r="CE74" i="58"/>
  <c r="CE73" i="58"/>
  <c r="CE72" i="58"/>
  <c r="CE71" i="58"/>
  <c r="CE70" i="58"/>
  <c r="CE69" i="58"/>
  <c r="BV26" i="58"/>
  <c r="BV47" i="58" s="1"/>
  <c r="BV25" i="58"/>
  <c r="BV46" i="58" s="1"/>
  <c r="BV24" i="58"/>
  <c r="CE66" i="58" s="1"/>
  <c r="BV23" i="58"/>
  <c r="CE65" i="58" s="1"/>
  <c r="BV22" i="58"/>
  <c r="BV43" i="58" s="1"/>
  <c r="BV12" i="58"/>
  <c r="CD54" i="58" s="1"/>
  <c r="BT12" i="58"/>
  <c r="CD11" i="58" s="1"/>
  <c r="CE52" i="58"/>
  <c r="CE51" i="58"/>
  <c r="CE50" i="58"/>
  <c r="CE49" i="58"/>
  <c r="CE48" i="58"/>
  <c r="CE47" i="58"/>
  <c r="CE46" i="58"/>
  <c r="CE45" i="58"/>
  <c r="CE44" i="58"/>
  <c r="CE43" i="58"/>
  <c r="BU26" i="58"/>
  <c r="CE42" i="58" s="1"/>
  <c r="BU25" i="58"/>
  <c r="CE41" i="58" s="1"/>
  <c r="BU24" i="58"/>
  <c r="CE40" i="58" s="1"/>
  <c r="BU23" i="58"/>
  <c r="BU44" i="58" s="1"/>
  <c r="BU22" i="58"/>
  <c r="CE38" i="58" s="1"/>
  <c r="BU21" i="58"/>
  <c r="CE37" i="58" s="1"/>
  <c r="BU20" i="58"/>
  <c r="BU41" i="58" s="1"/>
  <c r="BU19" i="58"/>
  <c r="BU40" i="58" s="1"/>
  <c r="BU18" i="58"/>
  <c r="CE34" i="58" s="1"/>
  <c r="BU16" i="58"/>
  <c r="CE32" i="58" s="1"/>
  <c r="BU15" i="58"/>
  <c r="BU36" i="58" s="1"/>
  <c r="BU14" i="58"/>
  <c r="BU13" i="58"/>
  <c r="CE29" i="58" s="1"/>
  <c r="BU12" i="58"/>
  <c r="BU33" i="58" s="1"/>
  <c r="BT28" i="58"/>
  <c r="BT58" i="58" s="1"/>
  <c r="BR28" i="58"/>
  <c r="BQ28" i="58"/>
  <c r="BP28" i="58"/>
  <c r="BO28" i="58"/>
  <c r="BN28" i="58"/>
  <c r="BM28" i="58"/>
  <c r="BL28" i="58"/>
  <c r="BK28" i="58"/>
  <c r="BJ28" i="58"/>
  <c r="BI28" i="58"/>
  <c r="BH28" i="58"/>
  <c r="BG28" i="58"/>
  <c r="CE26" i="58"/>
  <c r="BT26" i="58"/>
  <c r="CD25" i="58" s="1"/>
  <c r="BT25" i="58"/>
  <c r="CE24" i="58" s="1"/>
  <c r="BT24" i="58"/>
  <c r="CD23" i="58" s="1"/>
  <c r="BT23" i="58"/>
  <c r="CD22" i="58" s="1"/>
  <c r="BT22" i="58"/>
  <c r="BT43" i="58" s="1"/>
  <c r="BT21" i="58"/>
  <c r="CE20" i="58" s="1"/>
  <c r="BT18" i="58"/>
  <c r="BT39" i="58" s="1"/>
  <c r="BT16" i="58"/>
  <c r="CD15" i="58" s="1"/>
  <c r="BT15" i="58"/>
  <c r="BT36" i="58" s="1"/>
  <c r="BT14" i="58"/>
  <c r="CE13" i="58" s="1"/>
  <c r="BT13" i="58"/>
  <c r="CD12" i="58" s="1"/>
  <c r="BR26" i="58"/>
  <c r="BR25" i="58"/>
  <c r="BQ26" i="58"/>
  <c r="BP26" i="58"/>
  <c r="BO26" i="58"/>
  <c r="BN26" i="58"/>
  <c r="BM26" i="58"/>
  <c r="BL26" i="58"/>
  <c r="BK26" i="58"/>
  <c r="BJ26" i="58"/>
  <c r="BI26" i="58"/>
  <c r="BH26" i="58"/>
  <c r="BG26" i="58"/>
  <c r="BQ25" i="58"/>
  <c r="BP25" i="58"/>
  <c r="BO25" i="58"/>
  <c r="BN25" i="58"/>
  <c r="BM25" i="58"/>
  <c r="BL25" i="58"/>
  <c r="BK25" i="58"/>
  <c r="BJ25" i="58"/>
  <c r="BI25" i="58"/>
  <c r="BH25" i="58"/>
  <c r="BG25" i="58"/>
  <c r="BR24" i="58"/>
  <c r="BQ24" i="58"/>
  <c r="BP24" i="58"/>
  <c r="BO24" i="58"/>
  <c r="BN24" i="58"/>
  <c r="BM24" i="58"/>
  <c r="BL24" i="58"/>
  <c r="BK24" i="58"/>
  <c r="BJ24" i="58"/>
  <c r="BI24" i="58"/>
  <c r="BH24" i="58"/>
  <c r="BG24" i="58"/>
  <c r="BR23" i="58"/>
  <c r="BQ23" i="58"/>
  <c r="BP23" i="58"/>
  <c r="BO23" i="58"/>
  <c r="BN23" i="58"/>
  <c r="BM23" i="58"/>
  <c r="BL23" i="58"/>
  <c r="BK23" i="58"/>
  <c r="BJ23" i="58"/>
  <c r="BI23" i="58"/>
  <c r="BH23" i="58"/>
  <c r="BG23" i="58"/>
  <c r="BR22" i="58"/>
  <c r="BQ22" i="58"/>
  <c r="BP22" i="58"/>
  <c r="BO22" i="58"/>
  <c r="BN22" i="58"/>
  <c r="BM22" i="58"/>
  <c r="BL22" i="58"/>
  <c r="BK22" i="58"/>
  <c r="BJ22" i="58"/>
  <c r="BI22" i="58"/>
  <c r="BH22" i="58"/>
  <c r="BR21" i="58"/>
  <c r="BQ21" i="58"/>
  <c r="BP21" i="58"/>
  <c r="BO21" i="58"/>
  <c r="BN21" i="58"/>
  <c r="BM21" i="58"/>
  <c r="BL21" i="58"/>
  <c r="BK21" i="58"/>
  <c r="BJ21" i="58"/>
  <c r="BI21" i="58"/>
  <c r="BH21" i="58"/>
  <c r="BG21" i="58"/>
  <c r="BR20" i="58"/>
  <c r="BQ20" i="58"/>
  <c r="BP20" i="58"/>
  <c r="BO20" i="58"/>
  <c r="BN20" i="58"/>
  <c r="BM20" i="58"/>
  <c r="BL20" i="58"/>
  <c r="BK20" i="58"/>
  <c r="BJ20" i="58"/>
  <c r="BI20" i="58"/>
  <c r="BH20" i="58"/>
  <c r="BG20" i="58"/>
  <c r="BR19" i="58"/>
  <c r="BQ19" i="58"/>
  <c r="BP19" i="58"/>
  <c r="BO19" i="58"/>
  <c r="BN19" i="58"/>
  <c r="BM19" i="58"/>
  <c r="BL19" i="58"/>
  <c r="BK19" i="58"/>
  <c r="BJ19" i="58"/>
  <c r="BI19" i="58"/>
  <c r="BH19" i="58"/>
  <c r="BG19" i="58"/>
  <c r="BR18" i="58"/>
  <c r="BQ18" i="58"/>
  <c r="BP18" i="58"/>
  <c r="BO18" i="58"/>
  <c r="BN18" i="58"/>
  <c r="BM18" i="58"/>
  <c r="BL18" i="58"/>
  <c r="BK18" i="58"/>
  <c r="BJ18" i="58"/>
  <c r="BI18" i="58"/>
  <c r="BH18" i="58"/>
  <c r="BG18" i="58"/>
  <c r="BR17" i="58"/>
  <c r="BQ17" i="58"/>
  <c r="BP17" i="58"/>
  <c r="BO17" i="58"/>
  <c r="BN17" i="58"/>
  <c r="BM17" i="58"/>
  <c r="BL17" i="58"/>
  <c r="BK17" i="58"/>
  <c r="BJ17" i="58"/>
  <c r="BI17" i="58"/>
  <c r="BH17" i="58"/>
  <c r="BG17" i="58"/>
  <c r="BR16" i="58"/>
  <c r="BQ16" i="58"/>
  <c r="BP16" i="58"/>
  <c r="BO16" i="58"/>
  <c r="BN16" i="58"/>
  <c r="BM16" i="58"/>
  <c r="BL16" i="58"/>
  <c r="BK16" i="58"/>
  <c r="BJ16" i="58"/>
  <c r="BI16" i="58"/>
  <c r="BH16" i="58"/>
  <c r="BG16" i="58"/>
  <c r="BG14" i="58"/>
  <c r="BR14" i="58"/>
  <c r="BR13" i="58"/>
  <c r="BR12" i="58"/>
  <c r="BQ14" i="58"/>
  <c r="BQ13" i="58"/>
  <c r="BQ12" i="58"/>
  <c r="BP14" i="58"/>
  <c r="BP13" i="58"/>
  <c r="BP12" i="58"/>
  <c r="BO14" i="58"/>
  <c r="BO13" i="58"/>
  <c r="BO12" i="58"/>
  <c r="BN14" i="58"/>
  <c r="BN13" i="58"/>
  <c r="BN12" i="58"/>
  <c r="BM14" i="58"/>
  <c r="BM13" i="58"/>
  <c r="BM12" i="58"/>
  <c r="BL14" i="58"/>
  <c r="BL13" i="58"/>
  <c r="BL12" i="58"/>
  <c r="BK14" i="58"/>
  <c r="BK13" i="58"/>
  <c r="BK12" i="58"/>
  <c r="BJ14" i="58"/>
  <c r="BJ13" i="58"/>
  <c r="BJ12" i="58"/>
  <c r="BI14" i="58"/>
  <c r="BI13" i="58"/>
  <c r="BI12" i="58"/>
  <c r="BH12" i="58"/>
  <c r="BH13" i="58"/>
  <c r="BH14" i="58"/>
  <c r="P11" i="62"/>
  <c r="P12" i="62"/>
  <c r="P14" i="62"/>
  <c r="N11" i="66"/>
  <c r="N12" i="66"/>
  <c r="N14" i="66"/>
  <c r="E3" i="2"/>
  <c r="DD34" i="2"/>
  <c r="DD35" i="2"/>
  <c r="DD36" i="2"/>
  <c r="DD37" i="2"/>
  <c r="DD38" i="2"/>
  <c r="DD39" i="2"/>
  <c r="A2" i="58"/>
  <c r="B2" i="58"/>
  <c r="C2" i="58"/>
  <c r="D2" i="58"/>
  <c r="E2" i="58"/>
  <c r="F2" i="58"/>
  <c r="G2" i="58"/>
  <c r="H2" i="58"/>
  <c r="I2" i="58"/>
  <c r="J2" i="58"/>
  <c r="K2" i="58"/>
  <c r="L2" i="58"/>
  <c r="M2" i="58"/>
  <c r="N2" i="58"/>
  <c r="O2" i="58"/>
  <c r="P2" i="58"/>
  <c r="Q2" i="58"/>
  <c r="R2" i="58"/>
  <c r="A3" i="58"/>
  <c r="B3" i="58"/>
  <c r="C3" i="58"/>
  <c r="D3" i="58"/>
  <c r="E3" i="58"/>
  <c r="F3" i="58"/>
  <c r="G3" i="58"/>
  <c r="H3" i="58"/>
  <c r="I3" i="58"/>
  <c r="J3" i="58"/>
  <c r="K3" i="58"/>
  <c r="L3" i="58"/>
  <c r="M3" i="58"/>
  <c r="N3" i="58"/>
  <c r="O3" i="58"/>
  <c r="P3" i="58"/>
  <c r="Q3" i="58"/>
  <c r="R3" i="58"/>
  <c r="Y6" i="58"/>
  <c r="Y39" i="58" s="1"/>
  <c r="Y82" i="58" s="1"/>
  <c r="Y125" i="58" s="1"/>
  <c r="Y168" i="58" s="1"/>
  <c r="Y211" i="58" s="1"/>
  <c r="BC13" i="58"/>
  <c r="BE13" i="58" s="1"/>
  <c r="BB14" i="58"/>
  <c r="BD14" i="58" s="1"/>
  <c r="BC14" i="58"/>
  <c r="BE14" i="58"/>
  <c r="BB15" i="58"/>
  <c r="BD15" i="58" s="1"/>
  <c r="BC15" i="58"/>
  <c r="BE15" i="58" s="1"/>
  <c r="BB16" i="58"/>
  <c r="BD16" i="58" s="1"/>
  <c r="BC16" i="58"/>
  <c r="BE16" i="58"/>
  <c r="BB17" i="58"/>
  <c r="BD17" i="58" s="1"/>
  <c r="BC17" i="58"/>
  <c r="BE17" i="58" s="1"/>
  <c r="BB18" i="58"/>
  <c r="BD18" i="58" s="1"/>
  <c r="BC18" i="58"/>
  <c r="BE18" i="58" s="1"/>
  <c r="BB19" i="58"/>
  <c r="BD19" i="58" s="1"/>
  <c r="BC19" i="58"/>
  <c r="BE19" i="58" s="1"/>
  <c r="BB20" i="58"/>
  <c r="BD20" i="58" s="1"/>
  <c r="BC20" i="58"/>
  <c r="BE20" i="58" s="1"/>
  <c r="BB21" i="58"/>
  <c r="BD21" i="58" s="1"/>
  <c r="BC21" i="58"/>
  <c r="BE21" i="58" s="1"/>
  <c r="BB22" i="58"/>
  <c r="BD22" i="58" s="1"/>
  <c r="BC22" i="58"/>
  <c r="BE22" i="58" s="1"/>
  <c r="BB23" i="58"/>
  <c r="BD23" i="58" s="1"/>
  <c r="BC23" i="58"/>
  <c r="BE23" i="58" s="1"/>
  <c r="BB24" i="58"/>
  <c r="BD24" i="58" s="1"/>
  <c r="BC24" i="58"/>
  <c r="BE24" i="58"/>
  <c r="BB25" i="58"/>
  <c r="BD25" i="58" s="1"/>
  <c r="BC25" i="58"/>
  <c r="BE25" i="58" s="1"/>
  <c r="BB26" i="58"/>
  <c r="BD26" i="58" s="1"/>
  <c r="BC26" i="58"/>
  <c r="BE26" i="58" s="1"/>
  <c r="BB28" i="58"/>
  <c r="BD28" i="58" s="1"/>
  <c r="BC28" i="58"/>
  <c r="BE28" i="58"/>
  <c r="BB29" i="58"/>
  <c r="BD29" i="58"/>
  <c r="BC29" i="58"/>
  <c r="BE29" i="58"/>
  <c r="BB30" i="58"/>
  <c r="BD30" i="58" s="1"/>
  <c r="BC30" i="58"/>
  <c r="BE30" i="58" s="1"/>
  <c r="BB31" i="58"/>
  <c r="BD31" i="58" s="1"/>
  <c r="BC31" i="58"/>
  <c r="BE31" i="58" s="1"/>
  <c r="BB32" i="58"/>
  <c r="BD32" i="58"/>
  <c r="BC32" i="58"/>
  <c r="BE32" i="58"/>
  <c r="BB33" i="58"/>
  <c r="BD33" i="58" s="1"/>
  <c r="BC33" i="58"/>
  <c r="BE33" i="58" s="1"/>
  <c r="BB34" i="58"/>
  <c r="BD34" i="58" s="1"/>
  <c r="BC34" i="58"/>
  <c r="BE34" i="58"/>
  <c r="A35" i="58"/>
  <c r="B35" i="58"/>
  <c r="C35" i="58"/>
  <c r="D35" i="58"/>
  <c r="E35" i="58"/>
  <c r="F35" i="58"/>
  <c r="G35" i="58"/>
  <c r="H35" i="58"/>
  <c r="I35" i="58"/>
  <c r="J35" i="58"/>
  <c r="K35" i="58"/>
  <c r="L35" i="58"/>
  <c r="M35" i="58"/>
  <c r="N35" i="58"/>
  <c r="O35" i="58"/>
  <c r="P35" i="58"/>
  <c r="Q35" i="58"/>
  <c r="R35" i="58"/>
  <c r="BB35" i="58"/>
  <c r="BD35" i="58" s="1"/>
  <c r="BC35" i="58"/>
  <c r="BE35" i="58"/>
  <c r="A36" i="58"/>
  <c r="B36" i="58"/>
  <c r="C36" i="58"/>
  <c r="D36" i="58"/>
  <c r="E36" i="58"/>
  <c r="F36" i="58"/>
  <c r="G36" i="58"/>
  <c r="H36" i="58"/>
  <c r="I36" i="58"/>
  <c r="J36" i="58"/>
  <c r="K36" i="58"/>
  <c r="L36" i="58"/>
  <c r="M36" i="58"/>
  <c r="N36" i="58"/>
  <c r="O36" i="58"/>
  <c r="P36" i="58"/>
  <c r="Q36" i="58"/>
  <c r="R36" i="58"/>
  <c r="BB36" i="58"/>
  <c r="BD36" i="58" s="1"/>
  <c r="BC36" i="58"/>
  <c r="BE36" i="58" s="1"/>
  <c r="BB37" i="58"/>
  <c r="BD37" i="58" s="1"/>
  <c r="BC37" i="58"/>
  <c r="BE37" i="58"/>
  <c r="BB38" i="58"/>
  <c r="BD38" i="58" s="1"/>
  <c r="BC38" i="58"/>
  <c r="BE38" i="58"/>
  <c r="BB39" i="58"/>
  <c r="BD39" i="58" s="1"/>
  <c r="BC39" i="58"/>
  <c r="BE39" i="58" s="1"/>
  <c r="BB40" i="58"/>
  <c r="BD40" i="58" s="1"/>
  <c r="BC40" i="58"/>
  <c r="BE40" i="58" s="1"/>
  <c r="BB41" i="58"/>
  <c r="BD41" i="58" s="1"/>
  <c r="BC41" i="58"/>
  <c r="BE41" i="58"/>
  <c r="BB42" i="58"/>
  <c r="BD42" i="58" s="1"/>
  <c r="BC42" i="58"/>
  <c r="BE42" i="58"/>
  <c r="BB43" i="58"/>
  <c r="BD43" i="58" s="1"/>
  <c r="BC43" i="58"/>
  <c r="BE43" i="58" s="1"/>
  <c r="BB44" i="58"/>
  <c r="BD44" i="58" s="1"/>
  <c r="BC44" i="58"/>
  <c r="BE44" i="58" s="1"/>
  <c r="BB45" i="58"/>
  <c r="BD45" i="58"/>
  <c r="BC45" i="58"/>
  <c r="BE45" i="58"/>
  <c r="BB46" i="58"/>
  <c r="BD46" i="58" s="1"/>
  <c r="BC46" i="58"/>
  <c r="BE46" i="58"/>
  <c r="BB47" i="58"/>
  <c r="BD47" i="58"/>
  <c r="BC47" i="58"/>
  <c r="BE47" i="58"/>
  <c r="BB48" i="58"/>
  <c r="BD48" i="58" s="1"/>
  <c r="BC48" i="58"/>
  <c r="BE48" i="58"/>
  <c r="BB49" i="58"/>
  <c r="BD49" i="58"/>
  <c r="BC49" i="58"/>
  <c r="BE49" i="58"/>
  <c r="BB50" i="58"/>
  <c r="BD50" i="58" s="1"/>
  <c r="BC50" i="58"/>
  <c r="BE50" i="58"/>
  <c r="BB51" i="58"/>
  <c r="BD51" i="58"/>
  <c r="BC51" i="58"/>
  <c r="BE51" i="58" s="1"/>
  <c r="BB52" i="58"/>
  <c r="BD52" i="58" s="1"/>
  <c r="BC52" i="58"/>
  <c r="BE52" i="58" s="1"/>
  <c r="BB53" i="58"/>
  <c r="BD53" i="58"/>
  <c r="BC53" i="58"/>
  <c r="BE53" i="58" s="1"/>
  <c r="BC54" i="58"/>
  <c r="BE54" i="58" s="1"/>
  <c r="BB55" i="58"/>
  <c r="BD55" i="58" s="1"/>
  <c r="BC55" i="58"/>
  <c r="BE55" i="58" s="1"/>
  <c r="BB56" i="58"/>
  <c r="BD56" i="58" s="1"/>
  <c r="BC56" i="58"/>
  <c r="BE56" i="58"/>
  <c r="BB57" i="58"/>
  <c r="BD57" i="58" s="1"/>
  <c r="BC57" i="58"/>
  <c r="BE57" i="58" s="1"/>
  <c r="BB58" i="58"/>
  <c r="BD58" i="58" s="1"/>
  <c r="BC58" i="58"/>
  <c r="BE58" i="58"/>
  <c r="BB59" i="58"/>
  <c r="BD59" i="58" s="1"/>
  <c r="BC59" i="58"/>
  <c r="BE59" i="58" s="1"/>
  <c r="BB60" i="58"/>
  <c r="BD60" i="58" s="1"/>
  <c r="BC60" i="58"/>
  <c r="BE60" i="58"/>
  <c r="BB61" i="58"/>
  <c r="BD61" i="58"/>
  <c r="BC61" i="58"/>
  <c r="BE61" i="58"/>
  <c r="BB62" i="58"/>
  <c r="BD62" i="58" s="1"/>
  <c r="BC62" i="58"/>
  <c r="BE62" i="58"/>
  <c r="BB63" i="58"/>
  <c r="BD63" i="58"/>
  <c r="BC63" i="58"/>
  <c r="BE63" i="58" s="1"/>
  <c r="BB64" i="58"/>
  <c r="BD64" i="58"/>
  <c r="BC64" i="58"/>
  <c r="BE64" i="58"/>
  <c r="BB65" i="58"/>
  <c r="BD65" i="58" s="1"/>
  <c r="BC65" i="58"/>
  <c r="BE65" i="58"/>
  <c r="BB66" i="58"/>
  <c r="BD66" i="58"/>
  <c r="BC66" i="58"/>
  <c r="BE66" i="58"/>
  <c r="BB67" i="58"/>
  <c r="BD67" i="58"/>
  <c r="BC67" i="58"/>
  <c r="BE67" i="58"/>
  <c r="BB68" i="58"/>
  <c r="BD68" i="58" s="1"/>
  <c r="BC68" i="58"/>
  <c r="BE68" i="58"/>
  <c r="BB69" i="58"/>
  <c r="BD69" i="58"/>
  <c r="BC69" i="58"/>
  <c r="BE69" i="58" s="1"/>
  <c r="BB70" i="58"/>
  <c r="BD70" i="58" s="1"/>
  <c r="BC70" i="58"/>
  <c r="BE70" i="58"/>
  <c r="BB71" i="58"/>
  <c r="BD71" i="58" s="1"/>
  <c r="BC71" i="58"/>
  <c r="BE71" i="58"/>
  <c r="BB72" i="58"/>
  <c r="BD72" i="58"/>
  <c r="BC72" i="58"/>
  <c r="BE72" i="58"/>
  <c r="BB73" i="58"/>
  <c r="BD73" i="58"/>
  <c r="BC73" i="58"/>
  <c r="BE73" i="58"/>
  <c r="BB74" i="58"/>
  <c r="BD74" i="58" s="1"/>
  <c r="BC74" i="58"/>
  <c r="BE74" i="58"/>
  <c r="BB75" i="58"/>
  <c r="BD75" i="58"/>
  <c r="BC75" i="58"/>
  <c r="BE75" i="58"/>
  <c r="BB76" i="58"/>
  <c r="BD76" i="58" s="1"/>
  <c r="BC76" i="58"/>
  <c r="BE76" i="58" s="1"/>
  <c r="BB77" i="58"/>
  <c r="BD77" i="58" s="1"/>
  <c r="BC77" i="58"/>
  <c r="BE77" i="58" s="1"/>
  <c r="A78" i="58"/>
  <c r="B78" i="58"/>
  <c r="C78" i="58"/>
  <c r="D78" i="58"/>
  <c r="E78" i="58"/>
  <c r="F78" i="58"/>
  <c r="G78" i="58"/>
  <c r="H78" i="58"/>
  <c r="I78" i="58"/>
  <c r="J78" i="58"/>
  <c r="K78" i="58"/>
  <c r="L78" i="58"/>
  <c r="M78" i="58"/>
  <c r="N78" i="58"/>
  <c r="O78" i="58"/>
  <c r="P78" i="58"/>
  <c r="Q78" i="58"/>
  <c r="R78" i="58"/>
  <c r="BB78" i="58"/>
  <c r="BD78" i="58" s="1"/>
  <c r="BC78" i="58"/>
  <c r="BE78" i="58" s="1"/>
  <c r="A79" i="58"/>
  <c r="B79" i="58"/>
  <c r="C79" i="58"/>
  <c r="D79" i="58"/>
  <c r="E79" i="58"/>
  <c r="F79" i="58"/>
  <c r="G79" i="58"/>
  <c r="H79" i="58"/>
  <c r="I79" i="58"/>
  <c r="J79" i="58"/>
  <c r="K79" i="58"/>
  <c r="L79" i="58"/>
  <c r="M79" i="58"/>
  <c r="N79" i="58"/>
  <c r="O79" i="58"/>
  <c r="P79" i="58"/>
  <c r="Q79" i="58"/>
  <c r="R79" i="58"/>
  <c r="BB79" i="58"/>
  <c r="BD79" i="58"/>
  <c r="BC79" i="58"/>
  <c r="BE79" i="58"/>
  <c r="BB80" i="58"/>
  <c r="BD80" i="58" s="1"/>
  <c r="BC80" i="58"/>
  <c r="BE80" i="58" s="1"/>
  <c r="BB81" i="58"/>
  <c r="BD81" i="58" s="1"/>
  <c r="BC81" i="58"/>
  <c r="BE81" i="58"/>
  <c r="BB82" i="58"/>
  <c r="BD82" i="58"/>
  <c r="BC82" i="58"/>
  <c r="BE82" i="58"/>
  <c r="BB83" i="58"/>
  <c r="BD83" i="58" s="1"/>
  <c r="BC83" i="58"/>
  <c r="BE83" i="58" s="1"/>
  <c r="BB84" i="58"/>
  <c r="BD84" i="58"/>
  <c r="BC84" i="58"/>
  <c r="BE84" i="58"/>
  <c r="BB85" i="58"/>
  <c r="BD85" i="58"/>
  <c r="BC85" i="58"/>
  <c r="BE85" i="58"/>
  <c r="BB86" i="58"/>
  <c r="BD86" i="58" s="1"/>
  <c r="BC86" i="58"/>
  <c r="BE86" i="58"/>
  <c r="BB87" i="58"/>
  <c r="BD87" i="58" s="1"/>
  <c r="BC87" i="58"/>
  <c r="BE87" i="58" s="1"/>
  <c r="BB88" i="58"/>
  <c r="BD88" i="58"/>
  <c r="BC88" i="58"/>
  <c r="BE88" i="58"/>
  <c r="BB89" i="58"/>
  <c r="BD89" i="58" s="1"/>
  <c r="BC89" i="58"/>
  <c r="BE89" i="58"/>
  <c r="BB90" i="58"/>
  <c r="BD90" i="58" s="1"/>
  <c r="BC90" i="58"/>
  <c r="BE90" i="58"/>
  <c r="BB91" i="58"/>
  <c r="BD91" i="58"/>
  <c r="BC91" i="58"/>
  <c r="BE91" i="58"/>
  <c r="BB92" i="58"/>
  <c r="BD92" i="58" s="1"/>
  <c r="BC92" i="58"/>
  <c r="BE92" i="58"/>
  <c r="BB93" i="58"/>
  <c r="BD93" i="58"/>
  <c r="BC93" i="58"/>
  <c r="BE93" i="58"/>
  <c r="BB94" i="58"/>
  <c r="BD94" i="58" s="1"/>
  <c r="BC94" i="58"/>
  <c r="BE94" i="58" s="1"/>
  <c r="BB95" i="58"/>
  <c r="BD95" i="58" s="1"/>
  <c r="BC95" i="58"/>
  <c r="BE95" i="58"/>
  <c r="BB96" i="58"/>
  <c r="BD96" i="58"/>
  <c r="BC96" i="58"/>
  <c r="BE96" i="58" s="1"/>
  <c r="BB97" i="58"/>
  <c r="BD97" i="58"/>
  <c r="BC97" i="58"/>
  <c r="BE97" i="58" s="1"/>
  <c r="BB98" i="58"/>
  <c r="BD98" i="58" s="1"/>
  <c r="BC98" i="58"/>
  <c r="BE98" i="58"/>
  <c r="BB99" i="58"/>
  <c r="BD99" i="58"/>
  <c r="BC99" i="58"/>
  <c r="BE99" i="58"/>
  <c r="BB100" i="58"/>
  <c r="BD100" i="58"/>
  <c r="BC100" i="58"/>
  <c r="BE100" i="58"/>
  <c r="BB101" i="58"/>
  <c r="BD101" i="58" s="1"/>
  <c r="BC101" i="58"/>
  <c r="BE101" i="58" s="1"/>
  <c r="BB102" i="58"/>
  <c r="BD102" i="58"/>
  <c r="BC102" i="58"/>
  <c r="BE102" i="58"/>
  <c r="BB103" i="58"/>
  <c r="BD103" i="58"/>
  <c r="BC103" i="58"/>
  <c r="BE103" i="58"/>
  <c r="BB104" i="58"/>
  <c r="BD104" i="58" s="1"/>
  <c r="BC104" i="58"/>
  <c r="BE104" i="58"/>
  <c r="BB105" i="58"/>
  <c r="BD105" i="58"/>
  <c r="BC105" i="58"/>
  <c r="BE105" i="58"/>
  <c r="BB106" i="58"/>
  <c r="BD106" i="58"/>
  <c r="BC106" i="58"/>
  <c r="BE106" i="58"/>
  <c r="BB107" i="58"/>
  <c r="BD107" i="58" s="1"/>
  <c r="BC107" i="58"/>
  <c r="BE107" i="58" s="1"/>
  <c r="BB108" i="58"/>
  <c r="BD108" i="58" s="1"/>
  <c r="BC108" i="58"/>
  <c r="BE108" i="58"/>
  <c r="BB109" i="58"/>
  <c r="BD109" i="58"/>
  <c r="BC109" i="58"/>
  <c r="BE109" i="58"/>
  <c r="BB110" i="58"/>
  <c r="BD110" i="58" s="1"/>
  <c r="BC110" i="58"/>
  <c r="BE110" i="58" s="1"/>
  <c r="BB111" i="58"/>
  <c r="BD111" i="58" s="1"/>
  <c r="BC111" i="58"/>
  <c r="BE111" i="58" s="1"/>
  <c r="BB112" i="58"/>
  <c r="BD112" i="58"/>
  <c r="BC112" i="58"/>
  <c r="BE112" i="58"/>
  <c r="BB113" i="58"/>
  <c r="BD113" i="58" s="1"/>
  <c r="BC113" i="58"/>
  <c r="BE113" i="58"/>
  <c r="BB114" i="58"/>
  <c r="BD114" i="58"/>
  <c r="BC114" i="58"/>
  <c r="BE114" i="58"/>
  <c r="BB115" i="58"/>
  <c r="BD115" i="58"/>
  <c r="BC115" i="58"/>
  <c r="BE115" i="58"/>
  <c r="BB116" i="58"/>
  <c r="BD116" i="58" s="1"/>
  <c r="BC116" i="58"/>
  <c r="BE116" i="58"/>
  <c r="BB117" i="58"/>
  <c r="BD117" i="58" s="1"/>
  <c r="BC117" i="58"/>
  <c r="BE117" i="58"/>
  <c r="BB118" i="58"/>
  <c r="BD118" i="58"/>
  <c r="BC118" i="58"/>
  <c r="BE118" i="58"/>
  <c r="BB119" i="58"/>
  <c r="BD119" i="58" s="1"/>
  <c r="BC119" i="58"/>
  <c r="BE119" i="58" s="1"/>
  <c r="BB120" i="58"/>
  <c r="BD120" i="58"/>
  <c r="BC120" i="58"/>
  <c r="BE120" i="58"/>
  <c r="A121" i="58"/>
  <c r="B121" i="58"/>
  <c r="C121" i="58"/>
  <c r="D121" i="58"/>
  <c r="E121" i="58"/>
  <c r="F121" i="58"/>
  <c r="G121" i="58"/>
  <c r="H121" i="58"/>
  <c r="I121" i="58"/>
  <c r="J121" i="58"/>
  <c r="K121" i="58"/>
  <c r="L121" i="58"/>
  <c r="M121" i="58"/>
  <c r="N121" i="58"/>
  <c r="O121" i="58"/>
  <c r="P121" i="58"/>
  <c r="Q121" i="58"/>
  <c r="R121" i="58"/>
  <c r="BB121" i="58"/>
  <c r="BD121" i="58" s="1"/>
  <c r="BC121" i="58"/>
  <c r="BE121" i="58"/>
  <c r="A122" i="58"/>
  <c r="B122" i="58"/>
  <c r="C122" i="58"/>
  <c r="D122" i="58"/>
  <c r="E122" i="58"/>
  <c r="F122" i="58"/>
  <c r="G122" i="58"/>
  <c r="H122" i="58"/>
  <c r="I122" i="58"/>
  <c r="J122" i="58"/>
  <c r="K122" i="58"/>
  <c r="L122" i="58"/>
  <c r="M122" i="58"/>
  <c r="N122" i="58"/>
  <c r="O122" i="58"/>
  <c r="P122" i="58"/>
  <c r="Q122" i="58"/>
  <c r="R122" i="58"/>
  <c r="BB122" i="58"/>
  <c r="BD122" i="58" s="1"/>
  <c r="BC122" i="58"/>
  <c r="BE122" i="58"/>
  <c r="BB123" i="58"/>
  <c r="BD123" i="58"/>
  <c r="BC123" i="58"/>
  <c r="BE123" i="58" s="1"/>
  <c r="BB124" i="58"/>
  <c r="BD124" i="58"/>
  <c r="BC124" i="58"/>
  <c r="BE124" i="58"/>
  <c r="BB125" i="58"/>
  <c r="BD125" i="58" s="1"/>
  <c r="BC125" i="58"/>
  <c r="BE125" i="58"/>
  <c r="BB126" i="58"/>
  <c r="BD126" i="58" s="1"/>
  <c r="BC126" i="58"/>
  <c r="BE126" i="58"/>
  <c r="BB127" i="58"/>
  <c r="BD127" i="58"/>
  <c r="BC127" i="58"/>
  <c r="BE127" i="58"/>
  <c r="BB128" i="58"/>
  <c r="BD128" i="58" s="1"/>
  <c r="BC128" i="58"/>
  <c r="BE128" i="58"/>
  <c r="BB129" i="58"/>
  <c r="BD129" i="58"/>
  <c r="BC129" i="58"/>
  <c r="BE129" i="58"/>
  <c r="BB130" i="58"/>
  <c r="BD130" i="58"/>
  <c r="BC130" i="58"/>
  <c r="BE130" i="58"/>
  <c r="BB131" i="58"/>
  <c r="BD131" i="58" s="1"/>
  <c r="BC131" i="58"/>
  <c r="BE131" i="58"/>
  <c r="BB132" i="58"/>
  <c r="BD132" i="58" s="1"/>
  <c r="BC132" i="58"/>
  <c r="BE132" i="58" s="1"/>
  <c r="BB133" i="58"/>
  <c r="BD133" i="58"/>
  <c r="BC133" i="58"/>
  <c r="BE133" i="58"/>
  <c r="BB134" i="58"/>
  <c r="BD134" i="58" s="1"/>
  <c r="BC134" i="58"/>
  <c r="BE134" i="58"/>
  <c r="BB135" i="58"/>
  <c r="BD135" i="58"/>
  <c r="BC135" i="58"/>
  <c r="BE135" i="58" s="1"/>
  <c r="BB136" i="58"/>
  <c r="BD136" i="58" s="1"/>
  <c r="BC136" i="58"/>
  <c r="BE136" i="58"/>
  <c r="BB137" i="58"/>
  <c r="BD137" i="58" s="1"/>
  <c r="BC137" i="58"/>
  <c r="BE137" i="58"/>
  <c r="BB138" i="58"/>
  <c r="BD138" i="58"/>
  <c r="BC138" i="58"/>
  <c r="BE138" i="58"/>
  <c r="BB139" i="58"/>
  <c r="BD139" i="58"/>
  <c r="BC139" i="58"/>
  <c r="BE139" i="58"/>
  <c r="BB140" i="58"/>
  <c r="BD140" i="58" s="1"/>
  <c r="BC140" i="58"/>
  <c r="BE140" i="58"/>
  <c r="BB141" i="58"/>
  <c r="BD141" i="58"/>
  <c r="BC141" i="58"/>
  <c r="BE141" i="58"/>
  <c r="BB142" i="58"/>
  <c r="BD142" i="58" s="1"/>
  <c r="BC142" i="58"/>
  <c r="BE142" i="58" s="1"/>
  <c r="BB143" i="58"/>
  <c r="BD143" i="58" s="1"/>
  <c r="BC143" i="58"/>
  <c r="BE143" i="58"/>
  <c r="BB144" i="58"/>
  <c r="BD144" i="58"/>
  <c r="BC144" i="58"/>
  <c r="BE144" i="58"/>
  <c r="BB145" i="58"/>
  <c r="BD145" i="58"/>
  <c r="BC145" i="58"/>
  <c r="BE145" i="58"/>
  <c r="BB146" i="58"/>
  <c r="BD146" i="58" s="1"/>
  <c r="BC146" i="58"/>
  <c r="BE146" i="58" s="1"/>
  <c r="BB147" i="58"/>
  <c r="BD147" i="58"/>
  <c r="BC147" i="58"/>
  <c r="BE147" i="58"/>
  <c r="BB148" i="58"/>
  <c r="BD148" i="58"/>
  <c r="BC148" i="58"/>
  <c r="BE148" i="58"/>
  <c r="BB149" i="58"/>
  <c r="BD149" i="58" s="1"/>
  <c r="BC149" i="58"/>
  <c r="BE149" i="58" s="1"/>
  <c r="BB150" i="58"/>
  <c r="BD150" i="58"/>
  <c r="BC150" i="58"/>
  <c r="BE150" i="58"/>
  <c r="BB151" i="58"/>
  <c r="BD151" i="58"/>
  <c r="BC151" i="58"/>
  <c r="BE151" i="58"/>
  <c r="BB152" i="58"/>
  <c r="BD152" i="58" s="1"/>
  <c r="BC152" i="58"/>
  <c r="BE152" i="58"/>
  <c r="BB153" i="58"/>
  <c r="BD153" i="58" s="1"/>
  <c r="BC153" i="58"/>
  <c r="BE153" i="58"/>
  <c r="BB154" i="58"/>
  <c r="BD154" i="58"/>
  <c r="BC154" i="58"/>
  <c r="BE154" i="58"/>
  <c r="BB155" i="58"/>
  <c r="BD155" i="58" s="1"/>
  <c r="BC155" i="58"/>
  <c r="BE155" i="58" s="1"/>
  <c r="BB156" i="58"/>
  <c r="BD156" i="58" s="1"/>
  <c r="BC156" i="58"/>
  <c r="BE156" i="58" s="1"/>
  <c r="BB157" i="58"/>
  <c r="BD157" i="58"/>
  <c r="BC157" i="58"/>
  <c r="BE157" i="58"/>
  <c r="BB158" i="58"/>
  <c r="BD158" i="58" s="1"/>
  <c r="BC158" i="58"/>
  <c r="BE158" i="58"/>
  <c r="BB159" i="58"/>
  <c r="BD159" i="58"/>
  <c r="BC159" i="58"/>
  <c r="BE159" i="58" s="1"/>
  <c r="BB160" i="58"/>
  <c r="BD160" i="58" s="1"/>
  <c r="BC160" i="58"/>
  <c r="BE160" i="58"/>
  <c r="BB161" i="58"/>
  <c r="BD161" i="58" s="1"/>
  <c r="BC161" i="58"/>
  <c r="BE161" i="58"/>
  <c r="BB162" i="58"/>
  <c r="BD162" i="58" s="1"/>
  <c r="BC162" i="58"/>
  <c r="BE162" i="58"/>
  <c r="BB163" i="58"/>
  <c r="BD163" i="58" s="1"/>
  <c r="BC163" i="58"/>
  <c r="BE163" i="58" s="1"/>
  <c r="A164" i="58"/>
  <c r="B164" i="58"/>
  <c r="C164" i="58"/>
  <c r="D164" i="58"/>
  <c r="E164" i="58"/>
  <c r="F164" i="58"/>
  <c r="G164" i="58"/>
  <c r="H164" i="58"/>
  <c r="I164" i="58"/>
  <c r="J164" i="58"/>
  <c r="K164" i="58"/>
  <c r="L164" i="58"/>
  <c r="M164" i="58"/>
  <c r="N164" i="58"/>
  <c r="O164" i="58"/>
  <c r="P164" i="58"/>
  <c r="Q164" i="58"/>
  <c r="R164" i="58"/>
  <c r="BB164" i="58"/>
  <c r="BD164" i="58"/>
  <c r="BC164" i="58"/>
  <c r="BE164" i="58" s="1"/>
  <c r="A165" i="58"/>
  <c r="S165" i="58" s="1"/>
  <c r="B165" i="58"/>
  <c r="C165" i="58"/>
  <c r="D165" i="58"/>
  <c r="E165" i="58"/>
  <c r="F165" i="58"/>
  <c r="G165" i="58"/>
  <c r="H165" i="58"/>
  <c r="I165" i="58"/>
  <c r="J165" i="58"/>
  <c r="K165" i="58"/>
  <c r="L165" i="58"/>
  <c r="M165" i="58"/>
  <c r="N165" i="58"/>
  <c r="O165" i="58"/>
  <c r="P165" i="58"/>
  <c r="Q165" i="58"/>
  <c r="R165" i="58"/>
  <c r="BB165" i="58"/>
  <c r="BD165" i="58" s="1"/>
  <c r="BC165" i="58"/>
  <c r="BE165" i="58"/>
  <c r="BB166" i="58"/>
  <c r="BD166" i="58"/>
  <c r="BC166" i="58"/>
  <c r="BE166" i="58"/>
  <c r="BB167" i="58"/>
  <c r="BD167" i="58" s="1"/>
  <c r="BC167" i="58"/>
  <c r="BE167" i="58"/>
  <c r="BB168" i="58"/>
  <c r="BD168" i="58"/>
  <c r="BC168" i="58"/>
  <c r="BE168" i="58"/>
  <c r="BB169" i="58"/>
  <c r="BD169" i="58"/>
  <c r="BC169" i="58"/>
  <c r="BE169" i="58" s="1"/>
  <c r="BB170" i="58"/>
  <c r="BD170" i="58" s="1"/>
  <c r="BC170" i="58"/>
  <c r="BE170" i="58"/>
  <c r="BB171" i="58"/>
  <c r="BD171" i="58"/>
  <c r="BC171" i="58"/>
  <c r="BE171" i="58" s="1"/>
  <c r="BB172" i="58"/>
  <c r="BD172" i="58"/>
  <c r="BC172" i="58"/>
  <c r="BE172" i="58"/>
  <c r="BB173" i="58"/>
  <c r="BD173" i="58" s="1"/>
  <c r="BC173" i="58"/>
  <c r="BE173" i="58"/>
  <c r="BB174" i="58"/>
  <c r="BD174" i="58"/>
  <c r="BC174" i="58"/>
  <c r="BE174" i="58"/>
  <c r="BB175" i="58"/>
  <c r="BD175" i="58"/>
  <c r="BC175" i="58"/>
  <c r="BE175" i="58"/>
  <c r="BB176" i="58"/>
  <c r="BD176" i="58" s="1"/>
  <c r="BC176" i="58"/>
  <c r="BE176" i="58" s="1"/>
  <c r="BB177" i="58"/>
  <c r="BD177" i="58" s="1"/>
  <c r="BC177" i="58"/>
  <c r="BE177" i="58"/>
  <c r="BB178" i="58"/>
  <c r="BD178" i="58"/>
  <c r="BC178" i="58"/>
  <c r="BE178" i="58"/>
  <c r="BB179" i="58"/>
  <c r="BD179" i="58" s="1"/>
  <c r="BC179" i="58"/>
  <c r="BE179" i="58"/>
  <c r="BB180" i="58"/>
  <c r="BD180" i="58"/>
  <c r="BC180" i="58"/>
  <c r="BE180" i="58"/>
  <c r="BB181" i="58"/>
  <c r="BD181" i="58"/>
  <c r="BC181" i="58"/>
  <c r="BE181" i="58"/>
  <c r="BB182" i="58"/>
  <c r="BD182" i="58" s="1"/>
  <c r="BC182" i="58"/>
  <c r="BE182" i="58"/>
  <c r="BB183" i="58"/>
  <c r="BD183" i="58" s="1"/>
  <c r="BC183" i="58"/>
  <c r="BE183" i="58" s="1"/>
  <c r="BB184" i="58"/>
  <c r="BD184" i="58"/>
  <c r="BC184" i="58"/>
  <c r="BE184" i="58"/>
  <c r="BB185" i="58"/>
  <c r="BD185" i="58" s="1"/>
  <c r="BC185" i="58"/>
  <c r="BE185" i="58" s="1"/>
  <c r="BB186" i="58"/>
  <c r="BD186" i="58"/>
  <c r="BC186" i="58"/>
  <c r="BE186" i="58" s="1"/>
  <c r="BB187" i="58"/>
  <c r="BD187" i="58" s="1"/>
  <c r="BC187" i="58"/>
  <c r="BE187" i="58"/>
  <c r="BB188" i="58"/>
  <c r="BD188" i="58" s="1"/>
  <c r="BC188" i="58"/>
  <c r="BE188" i="58"/>
  <c r="BB189" i="58"/>
  <c r="BD189" i="58"/>
  <c r="BC189" i="58"/>
  <c r="BE189" i="58"/>
  <c r="BB190" i="58"/>
  <c r="BD190" i="58"/>
  <c r="BC190" i="58"/>
  <c r="BE190" i="58"/>
  <c r="BB191" i="58"/>
  <c r="BD191" i="58" s="1"/>
  <c r="BC191" i="58"/>
  <c r="BE191" i="58"/>
  <c r="BB192" i="58"/>
  <c r="BD192" i="58" s="1"/>
  <c r="BC192" i="58"/>
  <c r="BE192" i="58"/>
  <c r="BB193" i="58"/>
  <c r="BD193" i="58"/>
  <c r="BC193" i="58"/>
  <c r="BE193" i="58"/>
  <c r="BB194" i="58"/>
  <c r="BD194" i="58" s="1"/>
  <c r="BC194" i="58"/>
  <c r="BE194" i="58" s="1"/>
  <c r="BB195" i="58"/>
  <c r="BD195" i="58"/>
  <c r="BC195" i="58"/>
  <c r="BE195" i="58"/>
  <c r="BB196" i="58"/>
  <c r="BD196" i="58"/>
  <c r="BC196" i="58"/>
  <c r="BE196" i="58"/>
  <c r="BB197" i="58"/>
  <c r="BD197" i="58" s="1"/>
  <c r="BC197" i="58"/>
  <c r="BE197" i="58" s="1"/>
  <c r="BB198" i="58"/>
  <c r="BD198" i="58"/>
  <c r="BC198" i="58"/>
  <c r="BE198" i="58" s="1"/>
  <c r="BB199" i="58"/>
  <c r="BD199" i="58"/>
  <c r="BC199" i="58"/>
  <c r="BE199" i="58"/>
  <c r="BB200" i="58"/>
  <c r="BD200" i="58" s="1"/>
  <c r="BC200" i="58"/>
  <c r="BE200" i="58" s="1"/>
  <c r="BB201" i="58"/>
  <c r="BD201" i="58" s="1"/>
  <c r="BC201" i="58"/>
  <c r="BE201" i="58"/>
  <c r="BB202" i="58"/>
  <c r="BD202" i="58"/>
  <c r="BC202" i="58"/>
  <c r="BE202" i="58"/>
  <c r="BB203" i="58"/>
  <c r="BD203" i="58" s="1"/>
  <c r="BC203" i="58"/>
  <c r="BE203" i="58"/>
  <c r="BB204" i="58"/>
  <c r="BD204" i="58" s="1"/>
  <c r="BC204" i="58"/>
  <c r="BE204" i="58" s="1"/>
  <c r="BB205" i="58"/>
  <c r="BD205" i="58"/>
  <c r="BC205" i="58"/>
  <c r="BE205" i="58"/>
  <c r="BB206" i="58"/>
  <c r="BD206" i="58" s="1"/>
  <c r="BC206" i="58"/>
  <c r="BE206" i="58"/>
  <c r="A207" i="58"/>
  <c r="B207" i="58"/>
  <c r="C207" i="58"/>
  <c r="D207" i="58"/>
  <c r="E207" i="58"/>
  <c r="F207" i="58"/>
  <c r="G207" i="58"/>
  <c r="H207" i="58"/>
  <c r="I207" i="58"/>
  <c r="J207" i="58"/>
  <c r="K207" i="58"/>
  <c r="L207" i="58"/>
  <c r="M207" i="58"/>
  <c r="N207" i="58"/>
  <c r="O207" i="58"/>
  <c r="P207" i="58"/>
  <c r="Q207" i="58"/>
  <c r="R207" i="58"/>
  <c r="BB207" i="58"/>
  <c r="BD207" i="58"/>
  <c r="BC207" i="58"/>
  <c r="BE207" i="58" s="1"/>
  <c r="A208" i="58"/>
  <c r="B208" i="58"/>
  <c r="C208" i="58"/>
  <c r="D208" i="58"/>
  <c r="E208" i="58"/>
  <c r="F208" i="58"/>
  <c r="G208" i="58"/>
  <c r="H208" i="58"/>
  <c r="I208" i="58"/>
  <c r="J208" i="58"/>
  <c r="K208" i="58"/>
  <c r="L208" i="58"/>
  <c r="M208" i="58"/>
  <c r="N208" i="58"/>
  <c r="O208" i="58"/>
  <c r="P208" i="58"/>
  <c r="Q208" i="58"/>
  <c r="R208" i="58"/>
  <c r="BB208" i="58"/>
  <c r="BD208" i="58" s="1"/>
  <c r="BC208" i="58"/>
  <c r="BE208" i="58"/>
  <c r="BB209" i="58"/>
  <c r="BD209" i="58" s="1"/>
  <c r="BC209" i="58"/>
  <c r="BE209" i="58"/>
  <c r="BB210" i="58"/>
  <c r="BD210" i="58"/>
  <c r="BC210" i="58"/>
  <c r="BE210" i="58"/>
  <c r="BB211" i="58"/>
  <c r="BD211" i="58"/>
  <c r="BC211" i="58"/>
  <c r="BE211" i="58"/>
  <c r="BB212" i="58"/>
  <c r="BD212" i="58" s="1"/>
  <c r="BC212" i="58"/>
  <c r="BE212" i="58"/>
  <c r="BB213" i="58"/>
  <c r="BD213" i="58"/>
  <c r="BC213" i="58"/>
  <c r="BE213" i="58"/>
  <c r="BB214" i="58"/>
  <c r="BD214" i="58"/>
  <c r="BC214" i="58"/>
  <c r="BE214" i="58" s="1"/>
  <c r="BB215" i="58"/>
  <c r="BD215" i="58" s="1"/>
  <c r="BC215" i="58"/>
  <c r="BE215" i="58"/>
  <c r="BB216" i="58"/>
  <c r="BD216" i="58"/>
  <c r="BC216" i="58"/>
  <c r="BE216" i="58"/>
  <c r="BB217" i="58"/>
  <c r="BD217" i="58"/>
  <c r="BC217" i="58"/>
  <c r="BE217" i="58"/>
  <c r="BB218" i="58"/>
  <c r="BD218" i="58" s="1"/>
  <c r="BC218" i="58"/>
  <c r="BE218" i="58" s="1"/>
  <c r="BB219" i="58"/>
  <c r="BD219" i="58"/>
  <c r="BC219" i="58"/>
  <c r="BE219" i="58"/>
  <c r="BB220" i="58"/>
  <c r="BD220" i="58"/>
  <c r="BC220" i="58"/>
  <c r="BE220" i="58"/>
  <c r="BB221" i="58"/>
  <c r="BD221" i="58" s="1"/>
  <c r="BC221" i="58"/>
  <c r="BE221" i="58" s="1"/>
  <c r="BB222" i="58"/>
  <c r="BD222" i="58"/>
  <c r="BC222" i="58"/>
  <c r="BE222" i="58"/>
  <c r="BB223" i="58"/>
  <c r="BD223" i="58"/>
  <c r="BC223" i="58"/>
  <c r="BE223" i="58"/>
  <c r="BB224" i="58"/>
  <c r="BD224" i="58" s="1"/>
  <c r="BC224" i="58"/>
  <c r="BE224" i="58"/>
  <c r="BB225" i="58"/>
  <c r="BD225" i="58" s="1"/>
  <c r="BC225" i="58"/>
  <c r="BE225" i="58"/>
  <c r="BB226" i="58"/>
  <c r="BD226" i="58"/>
  <c r="BC226" i="58"/>
  <c r="BE226" i="58"/>
  <c r="BB227" i="58"/>
  <c r="BD227" i="58" s="1"/>
  <c r="BC227" i="58"/>
  <c r="BE227" i="58" s="1"/>
  <c r="BB228" i="58"/>
  <c r="BD228" i="58"/>
  <c r="BC228" i="58"/>
  <c r="BE228" i="58" s="1"/>
  <c r="BB229" i="58"/>
  <c r="BD229" i="58"/>
  <c r="BC229" i="58"/>
  <c r="BE229" i="58"/>
  <c r="BB230" i="58"/>
  <c r="BD230" i="58" s="1"/>
  <c r="BC230" i="58"/>
  <c r="BE230" i="58"/>
  <c r="BB231" i="58"/>
  <c r="BD231" i="58"/>
  <c r="BC231" i="58"/>
  <c r="BE231" i="58" s="1"/>
  <c r="BB232" i="58"/>
  <c r="BD232" i="58" s="1"/>
  <c r="BC232" i="58"/>
  <c r="BE232" i="58"/>
  <c r="BB233" i="58"/>
  <c r="BD233" i="58" s="1"/>
  <c r="BC233" i="58"/>
  <c r="BE233" i="58"/>
  <c r="BB234" i="58"/>
  <c r="BD234" i="58" s="1"/>
  <c r="BC234" i="58"/>
  <c r="BE234" i="58"/>
  <c r="BB235" i="58"/>
  <c r="BD235" i="58"/>
  <c r="BC235" i="58"/>
  <c r="BE235" i="58" s="1"/>
  <c r="BB236" i="58"/>
  <c r="BD236" i="58" s="1"/>
  <c r="BC236" i="58"/>
  <c r="BE236" i="58"/>
  <c r="BB237" i="58"/>
  <c r="BD237" i="58"/>
  <c r="BC237" i="58"/>
  <c r="BE237" i="58"/>
  <c r="BB238" i="58"/>
  <c r="BD238" i="58"/>
  <c r="BC238" i="58"/>
  <c r="BE238" i="58"/>
  <c r="BB239" i="58"/>
  <c r="BD239" i="58" s="1"/>
  <c r="BC239" i="58"/>
  <c r="BE239" i="58"/>
  <c r="BB240" i="58"/>
  <c r="BD240" i="58"/>
  <c r="BC240" i="58"/>
  <c r="BE240" i="58" s="1"/>
  <c r="BB241" i="58"/>
  <c r="BD241" i="58"/>
  <c r="BC241" i="58"/>
  <c r="BE241" i="58"/>
  <c r="BB242" i="58"/>
  <c r="BD242" i="58" s="1"/>
  <c r="BC242" i="58"/>
  <c r="BE242" i="58" s="1"/>
  <c r="BB243" i="58"/>
  <c r="BD243" i="58"/>
  <c r="BC243" i="58"/>
  <c r="BE243" i="58"/>
  <c r="BB244" i="58"/>
  <c r="BD244" i="58"/>
  <c r="BC244" i="58"/>
  <c r="BE244" i="58"/>
  <c r="BB245" i="58"/>
  <c r="BD245" i="58" s="1"/>
  <c r="BC245" i="58"/>
  <c r="BE245" i="58"/>
  <c r="BB246" i="58"/>
  <c r="BD246" i="58"/>
  <c r="BC246" i="58"/>
  <c r="BE246" i="58"/>
  <c r="BB247" i="58"/>
  <c r="BD247" i="58"/>
  <c r="BC247" i="58"/>
  <c r="BE247" i="58"/>
  <c r="BB248" i="58"/>
  <c r="BD248" i="58" s="1"/>
  <c r="BC248" i="58"/>
  <c r="BE248" i="58"/>
  <c r="BB249" i="58"/>
  <c r="BD249" i="58" s="1"/>
  <c r="BC249" i="58"/>
  <c r="BE249" i="58"/>
  <c r="BB250" i="58"/>
  <c r="BD250" i="58"/>
  <c r="BC250" i="58"/>
  <c r="BE250" i="58"/>
  <c r="BB251" i="58"/>
  <c r="BD251" i="58" s="1"/>
  <c r="BC251" i="58"/>
  <c r="BE251" i="58"/>
  <c r="BB252" i="58"/>
  <c r="BD252" i="58"/>
  <c r="BC252" i="58"/>
  <c r="BE252" i="58"/>
  <c r="BB253" i="58"/>
  <c r="BD253" i="58"/>
  <c r="BC253" i="58"/>
  <c r="BE253" i="58"/>
  <c r="BB254" i="58"/>
  <c r="BD254" i="58" s="1"/>
  <c r="BC254" i="58"/>
  <c r="BE254" i="58" s="1"/>
  <c r="BB255" i="58"/>
  <c r="BD255" i="58"/>
  <c r="BC255" i="58"/>
  <c r="BE255" i="58"/>
  <c r="BB256" i="58"/>
  <c r="BD256" i="58"/>
  <c r="BC256" i="58"/>
  <c r="BE256" i="58"/>
  <c r="BB257" i="58"/>
  <c r="BD257" i="58" s="1"/>
  <c r="BC257" i="58"/>
  <c r="BE257" i="58"/>
  <c r="BB258" i="58"/>
  <c r="BD258" i="58"/>
  <c r="BC258" i="58"/>
  <c r="BE258" i="58"/>
  <c r="BB259" i="58"/>
  <c r="BD259" i="58" s="1"/>
  <c r="BC259" i="58"/>
  <c r="BE259" i="58"/>
  <c r="BB260" i="58"/>
  <c r="BD260" i="58" s="1"/>
  <c r="BC260" i="58"/>
  <c r="BE260" i="58"/>
  <c r="BB261" i="58"/>
  <c r="BD261" i="58" s="1"/>
  <c r="BC261" i="58"/>
  <c r="BE261" i="58"/>
  <c r="BB262" i="58"/>
  <c r="BD262" i="58"/>
  <c r="BC262" i="58"/>
  <c r="BE262" i="58" s="1"/>
  <c r="BB263" i="58"/>
  <c r="BD263" i="58" s="1"/>
  <c r="BC263" i="58"/>
  <c r="BE263" i="58" s="1"/>
  <c r="BB264" i="58"/>
  <c r="BD264" i="58"/>
  <c r="BC264" i="58"/>
  <c r="BE264" i="58"/>
  <c r="BB265" i="58"/>
  <c r="BD265" i="58"/>
  <c r="BC265" i="58"/>
  <c r="BE265" i="58"/>
  <c r="BB266" i="58"/>
  <c r="BD266" i="58" s="1"/>
  <c r="BC266" i="58"/>
  <c r="BE266" i="58"/>
  <c r="BB267" i="58"/>
  <c r="BD267" i="58"/>
  <c r="BC267" i="58"/>
  <c r="BE267" i="58" s="1"/>
  <c r="BB268" i="58"/>
  <c r="BD268" i="58"/>
  <c r="BC268" i="58"/>
  <c r="BE268" i="58"/>
  <c r="BB269" i="58"/>
  <c r="BD269" i="58" s="1"/>
  <c r="BC269" i="58"/>
  <c r="BE269" i="58"/>
  <c r="BB270" i="58"/>
  <c r="BD270" i="58" s="1"/>
  <c r="BC270" i="58"/>
  <c r="BE270" i="58"/>
  <c r="BB271" i="58"/>
  <c r="BD271" i="58"/>
  <c r="BC271" i="58"/>
  <c r="BE271" i="58"/>
  <c r="BB272" i="58"/>
  <c r="BD272" i="58" s="1"/>
  <c r="BC272" i="58"/>
  <c r="BE272" i="58"/>
  <c r="BB273" i="58"/>
  <c r="BD273" i="58"/>
  <c r="BC273" i="58"/>
  <c r="BE273" i="58"/>
  <c r="BB274" i="58"/>
  <c r="BD274" i="58"/>
  <c r="BC274" i="58"/>
  <c r="BE274" i="58"/>
  <c r="BB275" i="58"/>
  <c r="BD275" i="58" s="1"/>
  <c r="BC275" i="58"/>
  <c r="BE275" i="58"/>
  <c r="BB276" i="58"/>
  <c r="BD276" i="58"/>
  <c r="BC276" i="58"/>
  <c r="BE276" i="58" s="1"/>
  <c r="BB277" i="58"/>
  <c r="BD277" i="58"/>
  <c r="BC277" i="58"/>
  <c r="BE277" i="58"/>
  <c r="BB278" i="58"/>
  <c r="BD278" i="58" s="1"/>
  <c r="BC278" i="58"/>
  <c r="BE278" i="58"/>
  <c r="BB279" i="58"/>
  <c r="BD279" i="58"/>
  <c r="BC279" i="58"/>
  <c r="BE279" i="58"/>
  <c r="BB280" i="58"/>
  <c r="BD280" i="58" s="1"/>
  <c r="BC280" i="58"/>
  <c r="BE280" i="58"/>
  <c r="BB281" i="58"/>
  <c r="BD281" i="58" s="1"/>
  <c r="BC281" i="58"/>
  <c r="BE281" i="58"/>
  <c r="BB282" i="58"/>
  <c r="BD282" i="58"/>
  <c r="BC282" i="58"/>
  <c r="BE282" i="58"/>
  <c r="BB283" i="58"/>
  <c r="BD283" i="58"/>
  <c r="BC283" i="58"/>
  <c r="BE283" i="58"/>
  <c r="BB284" i="58"/>
  <c r="BD284" i="58" s="1"/>
  <c r="BC284" i="58"/>
  <c r="BE284" i="58"/>
  <c r="BB285" i="58"/>
  <c r="BD285" i="58"/>
  <c r="BC285" i="58"/>
  <c r="BE285" i="58"/>
  <c r="BB286" i="58"/>
  <c r="BD286" i="58"/>
  <c r="BC286" i="58"/>
  <c r="BE286" i="58" s="1"/>
  <c r="BB287" i="58"/>
  <c r="BD287" i="58" s="1"/>
  <c r="BC287" i="58"/>
  <c r="BE287" i="58"/>
  <c r="BB288" i="58"/>
  <c r="BD288" i="58"/>
  <c r="BC288" i="58"/>
  <c r="BE288" i="58"/>
  <c r="BB289" i="58"/>
  <c r="BD289" i="58"/>
  <c r="BC289" i="58"/>
  <c r="BE289" i="58"/>
  <c r="BB290" i="58"/>
  <c r="BD290" i="58" s="1"/>
  <c r="BC290" i="58"/>
  <c r="BE290" i="58" s="1"/>
  <c r="BB291" i="58"/>
  <c r="BD291" i="58"/>
  <c r="BC291" i="58"/>
  <c r="BE291" i="58"/>
  <c r="BB292" i="58"/>
  <c r="BD292" i="58"/>
  <c r="BC292" i="58"/>
  <c r="BE292" i="58"/>
  <c r="BB293" i="58"/>
  <c r="BD293" i="58" s="1"/>
  <c r="BC293" i="58"/>
  <c r="BE293" i="58" s="1"/>
  <c r="BB294" i="58"/>
  <c r="BD294" i="58"/>
  <c r="BC294" i="58"/>
  <c r="BE294" i="58"/>
  <c r="BB295" i="58"/>
  <c r="BD295" i="58"/>
  <c r="BC295" i="58"/>
  <c r="BE295" i="58"/>
  <c r="BB296" i="58"/>
  <c r="BD296" i="58" s="1"/>
  <c r="BC296" i="58"/>
  <c r="BE296" i="58"/>
  <c r="BB297" i="58"/>
  <c r="BD297" i="58" s="1"/>
  <c r="BC297" i="58"/>
  <c r="BE297" i="58"/>
  <c r="BB298" i="58"/>
  <c r="BD298" i="58"/>
  <c r="BC298" i="58"/>
  <c r="BE298" i="58"/>
  <c r="BB299" i="58"/>
  <c r="BD299" i="58" s="1"/>
  <c r="BC299" i="58"/>
  <c r="BE299" i="58" s="1"/>
  <c r="BB300" i="58"/>
  <c r="BD300" i="58"/>
  <c r="BC300" i="58"/>
  <c r="BE300" i="58" s="1"/>
  <c r="BB301" i="58"/>
  <c r="BD301" i="58"/>
  <c r="BC301" i="58"/>
  <c r="BE301" i="58"/>
  <c r="BB302" i="58"/>
  <c r="BD302" i="58"/>
  <c r="BC302" i="58"/>
  <c r="BE302" i="58" s="1"/>
  <c r="BB303" i="58"/>
  <c r="BD303" i="58"/>
  <c r="BC303" i="58"/>
  <c r="BE303" i="58"/>
  <c r="BB304" i="58"/>
  <c r="BD304" i="58"/>
  <c r="BC304" i="58"/>
  <c r="BE304" i="58"/>
  <c r="BB305" i="58"/>
  <c r="BD305" i="58"/>
  <c r="BC305" i="58"/>
  <c r="BE305" i="58" s="1"/>
  <c r="BB306" i="58"/>
  <c r="BD306" i="58"/>
  <c r="BC306" i="58"/>
  <c r="BE306" i="58"/>
  <c r="BB307" i="58"/>
  <c r="BD307" i="58" s="1"/>
  <c r="BC307" i="58"/>
  <c r="BE307" i="58"/>
  <c r="BB308" i="58"/>
  <c r="BD308" i="58"/>
  <c r="BC308" i="58"/>
  <c r="BE308" i="58" s="1"/>
  <c r="BB309" i="58"/>
  <c r="BD309" i="58"/>
  <c r="BC309" i="58"/>
  <c r="BE309" i="58"/>
  <c r="BB310" i="58"/>
  <c r="BD310" i="58"/>
  <c r="BC310" i="58"/>
  <c r="BE310" i="58"/>
  <c r="BB311" i="58"/>
  <c r="BD311" i="58"/>
  <c r="BC311" i="58"/>
  <c r="BE311" i="58" s="1"/>
  <c r="BB312" i="58"/>
  <c r="BD312" i="58"/>
  <c r="BC312" i="58"/>
  <c r="BE312" i="58"/>
  <c r="BB313" i="58"/>
  <c r="BD313" i="58"/>
  <c r="BC313" i="58"/>
  <c r="BE313" i="58" s="1"/>
  <c r="BB314" i="58"/>
  <c r="BD314" i="58"/>
  <c r="BC314" i="58"/>
  <c r="BE314" i="58" s="1"/>
  <c r="BB315" i="58"/>
  <c r="BD315" i="58"/>
  <c r="BC315" i="58"/>
  <c r="BE315" i="58"/>
  <c r="BB316" i="58"/>
  <c r="BD316" i="58"/>
  <c r="BC316" i="58"/>
  <c r="BE316" i="58"/>
  <c r="BB317" i="58"/>
  <c r="BD317" i="58"/>
  <c r="BC317" i="58"/>
  <c r="BE317" i="58" s="1"/>
  <c r="BB318" i="58"/>
  <c r="BD318" i="58"/>
  <c r="BC318" i="58"/>
  <c r="BE318" i="58"/>
  <c r="BB319" i="58"/>
  <c r="BD319" i="58"/>
  <c r="BC319" i="58"/>
  <c r="BE319" i="58"/>
  <c r="BB320" i="58"/>
  <c r="BD320" i="58" s="1"/>
  <c r="BC320" i="58"/>
  <c r="BE320" i="58" s="1"/>
  <c r="BB321" i="58"/>
  <c r="BD321" i="58"/>
  <c r="BC321" i="58"/>
  <c r="BE321" i="58"/>
  <c r="BB322" i="58"/>
  <c r="BD322" i="58"/>
  <c r="BC322" i="58"/>
  <c r="BE322" i="58"/>
  <c r="BB323" i="58"/>
  <c r="BD323" i="58"/>
  <c r="BC323" i="58"/>
  <c r="BE323" i="58" s="1"/>
  <c r="G5" i="65"/>
  <c r="H5" i="65"/>
  <c r="Y7" i="65"/>
  <c r="Y8" i="65"/>
  <c r="I59" i="65"/>
  <c r="R15" i="65"/>
  <c r="U15" i="65"/>
  <c r="X15" i="65"/>
  <c r="BB31" i="65"/>
  <c r="BC31" i="65" s="1"/>
  <c r="BB32" i="65"/>
  <c r="BC32" i="65" s="1"/>
  <c r="BB33" i="65"/>
  <c r="BC33" i="65" s="1"/>
  <c r="BB34" i="65"/>
  <c r="BC34" i="65" s="1"/>
  <c r="BB35" i="65"/>
  <c r="BC35" i="65" s="1"/>
  <c r="BG130" i="65"/>
  <c r="BI130" i="65" s="1"/>
  <c r="BB36" i="65"/>
  <c r="BC36" i="65" s="1"/>
  <c r="R37" i="65"/>
  <c r="BG134" i="65" s="1"/>
  <c r="BI134" i="65" s="1"/>
  <c r="BB37" i="65"/>
  <c r="BC37" i="65" s="1"/>
  <c r="R38" i="65"/>
  <c r="BG138" i="65" s="1"/>
  <c r="BI138" i="65" s="1"/>
  <c r="BB38" i="65"/>
  <c r="BC38" i="65" s="1"/>
  <c r="R39" i="65"/>
  <c r="BG142" i="65" s="1"/>
  <c r="BI142" i="65" s="1"/>
  <c r="BB39" i="65"/>
  <c r="BC39" i="65" s="1"/>
  <c r="R40" i="65"/>
  <c r="BG146" i="65" s="1"/>
  <c r="BI146" i="65" s="1"/>
  <c r="BB40" i="65"/>
  <c r="BC40" i="65" s="1"/>
  <c r="R41" i="65"/>
  <c r="BG150" i="65" s="1"/>
  <c r="BI150" i="65" s="1"/>
  <c r="BB41" i="65"/>
  <c r="BC41" i="65" s="1"/>
  <c r="BB49" i="65"/>
  <c r="BB50" i="65"/>
  <c r="BB51" i="65"/>
  <c r="BB52" i="65"/>
  <c r="BB53" i="65"/>
  <c r="BL57" i="65"/>
  <c r="BL58" i="65" s="1"/>
  <c r="BL59" i="65" s="1"/>
  <c r="BL60" i="65" s="1"/>
  <c r="BL61" i="65" s="1"/>
  <c r="BL62" i="65" s="1"/>
  <c r="BL63" i="65" s="1"/>
  <c r="BL64" i="65" s="1"/>
  <c r="BL65" i="65" s="1"/>
  <c r="BL66" i="65" s="1"/>
  <c r="BL67" i="65" s="1"/>
  <c r="BL68" i="65" s="1"/>
  <c r="BL69" i="65" s="1"/>
  <c r="BL70" i="65" s="1"/>
  <c r="BL71" i="65" s="1"/>
  <c r="BL72" i="65" s="1"/>
  <c r="BL73" i="65" s="1"/>
  <c r="BL74" i="65" s="1"/>
  <c r="BL75" i="65" s="1"/>
  <c r="BL76" i="65" s="1"/>
  <c r="BL77" i="65" s="1"/>
  <c r="BL78" i="65" s="1"/>
  <c r="BL79" i="65" s="1"/>
  <c r="BL80" i="65" s="1"/>
  <c r="BL81" i="65" s="1"/>
  <c r="BL82" i="65" s="1"/>
  <c r="BL83" i="65" s="1"/>
  <c r="BL84" i="65" s="1"/>
  <c r="BL85" i="65" s="1"/>
  <c r="BL86" i="65" s="1"/>
  <c r="BB106" i="65"/>
  <c r="BC106" i="65"/>
  <c r="BB107" i="65"/>
  <c r="BC107" i="65"/>
  <c r="BH107" i="65" s="1"/>
  <c r="BE107" i="65" s="1"/>
  <c r="BB108" i="65"/>
  <c r="BC108" i="65"/>
  <c r="BB109" i="65"/>
  <c r="BC109" i="65"/>
  <c r="BB110" i="65"/>
  <c r="BC110" i="65"/>
  <c r="BB111" i="65"/>
  <c r="BC111" i="65"/>
  <c r="BB112" i="65"/>
  <c r="BC112" i="65"/>
  <c r="BB113" i="65"/>
  <c r="BC113" i="65"/>
  <c r="BB114" i="65"/>
  <c r="BC114" i="65"/>
  <c r="BB115" i="65"/>
  <c r="BC115" i="65"/>
  <c r="BB116" i="65"/>
  <c r="BC116" i="65"/>
  <c r="BB117" i="65"/>
  <c r="BC117" i="65"/>
  <c r="BB118" i="65"/>
  <c r="BC118" i="65"/>
  <c r="BB119" i="65"/>
  <c r="BC119" i="65"/>
  <c r="BB120" i="65"/>
  <c r="BC120" i="65"/>
  <c r="BB121" i="65"/>
  <c r="BC121" i="65"/>
  <c r="BB122" i="65"/>
  <c r="BC122" i="65"/>
  <c r="BB123" i="65"/>
  <c r="BC123" i="65"/>
  <c r="BB124" i="65"/>
  <c r="BC124" i="65"/>
  <c r="BB125" i="65"/>
  <c r="BC125" i="65"/>
  <c r="BB126" i="65"/>
  <c r="BC126" i="65"/>
  <c r="BB127" i="65"/>
  <c r="BC127" i="65"/>
  <c r="BH127" i="65" s="1"/>
  <c r="BB128" i="65"/>
  <c r="BC128" i="65"/>
  <c r="BB129" i="65"/>
  <c r="BC129" i="65"/>
  <c r="BB130" i="65"/>
  <c r="BC130" i="65"/>
  <c r="BB131" i="65"/>
  <c r="BC131" i="65"/>
  <c r="BB132" i="65"/>
  <c r="BC132" i="65"/>
  <c r="BB133" i="65"/>
  <c r="BC133" i="65"/>
  <c r="BB134" i="65"/>
  <c r="BC134" i="65"/>
  <c r="BB135" i="65"/>
  <c r="BC135" i="65"/>
  <c r="BB136" i="65"/>
  <c r="BC136" i="65"/>
  <c r="BB137" i="65"/>
  <c r="BC137" i="65"/>
  <c r="BB138" i="65"/>
  <c r="BC138" i="65"/>
  <c r="BB139" i="65"/>
  <c r="BC139" i="65"/>
  <c r="BH139" i="65" s="1"/>
  <c r="BB140" i="65"/>
  <c r="BC140" i="65"/>
  <c r="BB141" i="65"/>
  <c r="BC141" i="65"/>
  <c r="BB142" i="65"/>
  <c r="BC142" i="65"/>
  <c r="BB143" i="65"/>
  <c r="BC143" i="65"/>
  <c r="BB144" i="65"/>
  <c r="BC144" i="65"/>
  <c r="BB145" i="65"/>
  <c r="BC145" i="65"/>
  <c r="BB146" i="65"/>
  <c r="BC146" i="65"/>
  <c r="BB147" i="65"/>
  <c r="BC147" i="65"/>
  <c r="BH147" i="65" s="1"/>
  <c r="BB148" i="65"/>
  <c r="BC148" i="65"/>
  <c r="BB149" i="65"/>
  <c r="BC149" i="65"/>
  <c r="BB150" i="65"/>
  <c r="BC150" i="65"/>
  <c r="BB151" i="65"/>
  <c r="BC151" i="65"/>
  <c r="BB152" i="65"/>
  <c r="BC152" i="65"/>
  <c r="BB153" i="65"/>
  <c r="BC153" i="65"/>
  <c r="BI140" i="65"/>
  <c r="BT19" i="58"/>
  <c r="CD18" i="58" s="1"/>
  <c r="BP3" i="58"/>
  <c r="BV13" i="58"/>
  <c r="BV34" i="58" s="1"/>
  <c r="BB13" i="58"/>
  <c r="BD13" i="58" s="1"/>
  <c r="BQ3" i="58"/>
  <c r="BS9" i="58"/>
  <c r="CE109" i="58"/>
  <c r="BG126" i="65"/>
  <c r="BI126" i="65" s="1"/>
  <c r="CA29" i="58"/>
  <c r="BD49" i="65"/>
  <c r="C80" i="58"/>
  <c r="BU51" i="58"/>
  <c r="CD46" i="58"/>
  <c r="BU55" i="58"/>
  <c r="CD50" i="58"/>
  <c r="BW49" i="58"/>
  <c r="CD96" i="58"/>
  <c r="BW53" i="58"/>
  <c r="CD100" i="58"/>
  <c r="BW57" i="58"/>
  <c r="CD104" i="58"/>
  <c r="BU48" i="58"/>
  <c r="CD43" i="58"/>
  <c r="BU52" i="58"/>
  <c r="CD47" i="58"/>
  <c r="BU56" i="58"/>
  <c r="CD51" i="58"/>
  <c r="CD89" i="58"/>
  <c r="BW50" i="58"/>
  <c r="CD97" i="58"/>
  <c r="BW54" i="58"/>
  <c r="CD101" i="58"/>
  <c r="CD105" i="58"/>
  <c r="BU49" i="58"/>
  <c r="CD44" i="58"/>
  <c r="BU53" i="58"/>
  <c r="CD48" i="58"/>
  <c r="BU57" i="58"/>
  <c r="CD52" i="58"/>
  <c r="BW51" i="58"/>
  <c r="CD98" i="58"/>
  <c r="BW55" i="58"/>
  <c r="CD102" i="58"/>
  <c r="BU50" i="58"/>
  <c r="CD45" i="58"/>
  <c r="BU54" i="58"/>
  <c r="CD49" i="58"/>
  <c r="BW40" i="58"/>
  <c r="CD87" i="58"/>
  <c r="BW44" i="58"/>
  <c r="CD91" i="58"/>
  <c r="BW48" i="58"/>
  <c r="CD95" i="58"/>
  <c r="BW52" i="58"/>
  <c r="CD99" i="58"/>
  <c r="BW56" i="58"/>
  <c r="CD103" i="58"/>
  <c r="CA30" i="58"/>
  <c r="CD109" i="58"/>
  <c r="BT53" i="58"/>
  <c r="BT48" i="58"/>
  <c r="BT52" i="58"/>
  <c r="BT56" i="58"/>
  <c r="BV49" i="58"/>
  <c r="CD70" i="58"/>
  <c r="BV53" i="58"/>
  <c r="CD74" i="58"/>
  <c r="BV57" i="58"/>
  <c r="CD78" i="58"/>
  <c r="BT57" i="58"/>
  <c r="BV50" i="58"/>
  <c r="CD71" i="58"/>
  <c r="BV54" i="58"/>
  <c r="CD75" i="58"/>
  <c r="BT49" i="58"/>
  <c r="BT50" i="58"/>
  <c r="BT54" i="58"/>
  <c r="BV51" i="58"/>
  <c r="CD72" i="58"/>
  <c r="BV55" i="58"/>
  <c r="CD76" i="58"/>
  <c r="BT51" i="58"/>
  <c r="BT55" i="58"/>
  <c r="BV48" i="58"/>
  <c r="CD69" i="58"/>
  <c r="BV52" i="58"/>
  <c r="CD73" i="58"/>
  <c r="BV56" i="58"/>
  <c r="CD77" i="58"/>
  <c r="BG3" i="58"/>
  <c r="BI141" i="65"/>
  <c r="BK56" i="2"/>
  <c r="BK53" i="2"/>
  <c r="BK50" i="2"/>
  <c r="BK54" i="2"/>
  <c r="BL55" i="2"/>
  <c r="BL57" i="2" s="1"/>
  <c r="BF8" i="66"/>
  <c r="BF5" i="66"/>
  <c r="BF7" i="66"/>
  <c r="BF6" i="66"/>
  <c r="BF3" i="66"/>
  <c r="BF4" i="66"/>
  <c r="BH108" i="65" l="1"/>
  <c r="BT4" i="58"/>
  <c r="N38" i="58"/>
  <c r="N81" i="58" s="1"/>
  <c r="C124" i="58"/>
  <c r="BE147" i="65"/>
  <c r="BE127" i="65"/>
  <c r="S38" i="58"/>
  <c r="S81" i="58" s="1"/>
  <c r="S124" i="58"/>
  <c r="BH116" i="65"/>
  <c r="BH111" i="65"/>
  <c r="T34" i="2"/>
  <c r="I38" i="2"/>
  <c r="T38" i="2" s="1"/>
  <c r="CD57" i="58"/>
  <c r="CD83" i="58"/>
  <c r="BW36" i="58"/>
  <c r="CD82" i="58"/>
  <c r="CD81" i="58"/>
  <c r="CD107" i="58"/>
  <c r="BW34" i="58"/>
  <c r="CD108" i="58"/>
  <c r="BW47" i="58"/>
  <c r="CD94" i="58"/>
  <c r="BZ30" i="58"/>
  <c r="CD86" i="58"/>
  <c r="BS10" i="58"/>
  <c r="BS7" i="58" s="1"/>
  <c r="CD88" i="58"/>
  <c r="BW41" i="58"/>
  <c r="BS5" i="58"/>
  <c r="BK47" i="2"/>
  <c r="BV38" i="2"/>
  <c r="P29" i="2"/>
  <c r="AU36" i="2" s="1"/>
  <c r="R29" i="2"/>
  <c r="AX36" i="2" s="1"/>
  <c r="BA24" i="2"/>
  <c r="T32" i="2"/>
  <c r="BS22" i="58"/>
  <c r="S208" i="58"/>
  <c r="BW43" i="58"/>
  <c r="BS15" i="58"/>
  <c r="BY29" i="58"/>
  <c r="CD8" i="58" s="1"/>
  <c r="CE8" i="58" s="1"/>
  <c r="CD56" i="58"/>
  <c r="S79" i="58"/>
  <c r="S121" i="58"/>
  <c r="AS3" i="58"/>
  <c r="BW58" i="58"/>
  <c r="S164" i="58"/>
  <c r="BY30" i="58"/>
  <c r="BR7" i="58" s="1"/>
  <c r="BW35" i="58"/>
  <c r="BV35" i="58"/>
  <c r="BH141" i="65"/>
  <c r="BE141" i="65" s="1"/>
  <c r="CD93" i="58"/>
  <c r="S122" i="58"/>
  <c r="BW46" i="58"/>
  <c r="CD38" i="58"/>
  <c r="BZ29" i="58"/>
  <c r="CD9" i="58" s="1"/>
  <c r="CE9" i="58" s="1"/>
  <c r="F167" i="58"/>
  <c r="F210" i="58" s="1"/>
  <c r="F38" i="58"/>
  <c r="F81" i="58" s="1"/>
  <c r="AR37" i="66"/>
  <c r="S78" i="58"/>
  <c r="AR52" i="66"/>
  <c r="AL52" i="66"/>
  <c r="S207" i="58"/>
  <c r="AS2" i="58"/>
  <c r="BS13" i="58"/>
  <c r="CD90" i="58"/>
  <c r="BS24" i="58"/>
  <c r="BS12" i="58"/>
  <c r="BS26" i="58"/>
  <c r="BS28" i="58"/>
  <c r="BK61" i="58"/>
  <c r="CE110" i="58" s="1"/>
  <c r="AR48" i="66"/>
  <c r="H40" i="66"/>
  <c r="V35" i="66" s="1"/>
  <c r="BH149" i="65"/>
  <c r="BS25" i="58"/>
  <c r="AR50" i="66"/>
  <c r="BH120" i="65"/>
  <c r="K38" i="58"/>
  <c r="K81" i="58" s="1"/>
  <c r="N167" i="58"/>
  <c r="N210" i="58" s="1"/>
  <c r="C38" i="58"/>
  <c r="C81" i="58" s="1"/>
  <c r="K167" i="58"/>
  <c r="K210" i="58" s="1"/>
  <c r="P167" i="58"/>
  <c r="P210" i="58" s="1"/>
  <c r="BH121" i="65"/>
  <c r="BF141" i="65"/>
  <c r="BH129" i="65"/>
  <c r="BE129" i="65" s="1"/>
  <c r="BF139" i="65"/>
  <c r="BF127" i="65"/>
  <c r="BF147" i="65"/>
  <c r="BI147" i="65"/>
  <c r="BH112" i="65"/>
  <c r="BF112" i="65" s="1"/>
  <c r="BI153" i="65"/>
  <c r="BH117" i="65"/>
  <c r="BE117" i="65" s="1"/>
  <c r="BH153" i="65"/>
  <c r="BF153" i="65" s="1"/>
  <c r="BF110" i="65"/>
  <c r="BF106" i="65"/>
  <c r="BF149" i="65"/>
  <c r="BH137" i="65"/>
  <c r="BE137" i="65" s="1"/>
  <c r="BI137" i="65"/>
  <c r="BI135" i="65"/>
  <c r="BI111" i="65"/>
  <c r="BF111" i="65"/>
  <c r="BF118" i="65"/>
  <c r="BF130" i="65"/>
  <c r="BF138" i="65"/>
  <c r="BF146" i="65"/>
  <c r="BF126" i="65"/>
  <c r="BI149" i="65"/>
  <c r="BH124" i="65"/>
  <c r="BE124" i="65" s="1"/>
  <c r="BF122" i="65"/>
  <c r="BI108" i="65"/>
  <c r="BE134" i="65"/>
  <c r="BF134" i="65"/>
  <c r="BE142" i="65"/>
  <c r="BF142" i="65"/>
  <c r="BF150" i="65"/>
  <c r="BK51" i="2"/>
  <c r="CY24" i="2"/>
  <c r="BI132" i="65"/>
  <c r="BH151" i="65"/>
  <c r="BE149" i="65"/>
  <c r="BH145" i="65"/>
  <c r="BH143" i="65"/>
  <c r="BF143" i="65" s="1"/>
  <c r="CY16" i="2"/>
  <c r="BN29" i="2"/>
  <c r="CY23" i="2"/>
  <c r="BV24" i="2"/>
  <c r="CY22" i="2"/>
  <c r="BQ29" i="2"/>
  <c r="BV37" i="2"/>
  <c r="BT29" i="2"/>
  <c r="T25" i="2"/>
  <c r="BV25" i="2"/>
  <c r="BO29" i="2"/>
  <c r="BP29" i="2"/>
  <c r="BK52" i="2"/>
  <c r="CY15" i="2"/>
  <c r="CY17" i="2"/>
  <c r="CY19" i="2"/>
  <c r="AL35" i="2"/>
  <c r="BV26" i="2"/>
  <c r="T26" i="2"/>
  <c r="BR29" i="2"/>
  <c r="BL29" i="2"/>
  <c r="BV27" i="2"/>
  <c r="CN35" i="2"/>
  <c r="CQ35" i="2"/>
  <c r="J68" i="2"/>
  <c r="CT35" i="2"/>
  <c r="AI35" i="2"/>
  <c r="CW35" i="2"/>
  <c r="BK29" i="2"/>
  <c r="AO35" i="2"/>
  <c r="CX35" i="2"/>
  <c r="T27" i="2"/>
  <c r="AF35" i="2"/>
  <c r="CH35" i="2"/>
  <c r="AR35" i="2"/>
  <c r="CK35" i="2"/>
  <c r="BA23" i="2"/>
  <c r="BE139" i="65"/>
  <c r="BH148" i="65"/>
  <c r="BF148" i="65" s="1"/>
  <c r="BH140" i="65"/>
  <c r="BE140" i="65" s="1"/>
  <c r="BH132" i="65"/>
  <c r="BF132" i="65" s="1"/>
  <c r="C166" i="58"/>
  <c r="C209" i="58" s="1"/>
  <c r="S36" i="58"/>
  <c r="BS16" i="58"/>
  <c r="BS18" i="58"/>
  <c r="BS20" i="58"/>
  <c r="BS14" i="58"/>
  <c r="BS23" i="58"/>
  <c r="BS17" i="58"/>
  <c r="BS19" i="58"/>
  <c r="BS21" i="58"/>
  <c r="CD53" i="58"/>
  <c r="BV37" i="58"/>
  <c r="BU58" i="58"/>
  <c r="CD92" i="58"/>
  <c r="BP5" i="58"/>
  <c r="BI61" i="58"/>
  <c r="BG61" i="58"/>
  <c r="BW45" i="58"/>
  <c r="S3" i="58"/>
  <c r="T24" i="2"/>
  <c r="H43" i="66"/>
  <c r="V31" i="66" s="1"/>
  <c r="H42" i="66"/>
  <c r="V32" i="66" s="1"/>
  <c r="H39" i="66"/>
  <c r="V33" i="66" s="1"/>
  <c r="H38" i="66"/>
  <c r="V34" i="66" s="1"/>
  <c r="H41" i="66"/>
  <c r="V36" i="66" s="1"/>
  <c r="BH135" i="65"/>
  <c r="BE135" i="65" s="1"/>
  <c r="BH133" i="65"/>
  <c r="BE133" i="65" s="1"/>
  <c r="O29" i="2"/>
  <c r="L29" i="2"/>
  <c r="M29" i="2"/>
  <c r="N29" i="2"/>
  <c r="J29" i="2"/>
  <c r="I29" i="2"/>
  <c r="BV42" i="58"/>
  <c r="CD60" i="58"/>
  <c r="CD84" i="58"/>
  <c r="CD35" i="58"/>
  <c r="CD42" i="58"/>
  <c r="CD41" i="58"/>
  <c r="BV39" i="58"/>
  <c r="CD32" i="58"/>
  <c r="CD39" i="58"/>
  <c r="CD64" i="58"/>
  <c r="BV45" i="58"/>
  <c r="AY26" i="58"/>
  <c r="BH77" i="58"/>
  <c r="BJ77" i="58"/>
  <c r="BL77" i="58"/>
  <c r="BN77" i="58"/>
  <c r="CD79" i="58"/>
  <c r="CD37" i="58"/>
  <c r="J67" i="2"/>
  <c r="CD28" i="58"/>
  <c r="CD80" i="58"/>
  <c r="CD29" i="58"/>
  <c r="Y26" i="58"/>
  <c r="BU47" i="58"/>
  <c r="CD40" i="58"/>
  <c r="CD34" i="58"/>
  <c r="BU29" i="58"/>
  <c r="BU30" i="58" s="1"/>
  <c r="BR5" i="58"/>
  <c r="CD30" i="58"/>
  <c r="CD58" i="58"/>
  <c r="BU46" i="58"/>
  <c r="BW39" i="58"/>
  <c r="BW42" i="58"/>
  <c r="BU35" i="58"/>
  <c r="BU39" i="58"/>
  <c r="CE30" i="58"/>
  <c r="CE35" i="58"/>
  <c r="CE39" i="58"/>
  <c r="CD36" i="58"/>
  <c r="BU42" i="58"/>
  <c r="BU45" i="58"/>
  <c r="BW37" i="58"/>
  <c r="BU34" i="58"/>
  <c r="CE31" i="58"/>
  <c r="CE36" i="58"/>
  <c r="CE80" i="58"/>
  <c r="BW29" i="58"/>
  <c r="BU37" i="58"/>
  <c r="CE28" i="58"/>
  <c r="CD31" i="58"/>
  <c r="CD63" i="58"/>
  <c r="BU43" i="58"/>
  <c r="CD68" i="58"/>
  <c r="CD62" i="58"/>
  <c r="BV41" i="58"/>
  <c r="BI77" i="58"/>
  <c r="BM77" i="58"/>
  <c r="S35" i="58"/>
  <c r="BG77" i="58"/>
  <c r="CD61" i="58"/>
  <c r="BV40" i="58"/>
  <c r="BK77" i="58"/>
  <c r="CE18" i="58"/>
  <c r="BT45" i="58"/>
  <c r="BT44" i="58"/>
  <c r="BT40" i="58"/>
  <c r="BX29" i="58"/>
  <c r="CD7" i="58" s="1"/>
  <c r="CE7" i="58" s="1"/>
  <c r="BV44" i="58"/>
  <c r="CD106" i="58"/>
  <c r="CD55" i="58"/>
  <c r="CE55" i="58"/>
  <c r="S2" i="58"/>
  <c r="BT3" i="58"/>
  <c r="BT5" i="58" s="1"/>
  <c r="BX30" i="58"/>
  <c r="CD19" i="58"/>
  <c r="BV36" i="58"/>
  <c r="BT41" i="58"/>
  <c r="CD67" i="58"/>
  <c r="BT37" i="58"/>
  <c r="BV29" i="58"/>
  <c r="BV30" i="58" s="1"/>
  <c r="Y25" i="58"/>
  <c r="BT47" i="58"/>
  <c r="CE14" i="58"/>
  <c r="CE21" i="58"/>
  <c r="CE25" i="58"/>
  <c r="CE54" i="58"/>
  <c r="CE67" i="58"/>
  <c r="CD13" i="58"/>
  <c r="CD24" i="58"/>
  <c r="CD14" i="58"/>
  <c r="CD65" i="58"/>
  <c r="BQ5" i="58"/>
  <c r="BT35" i="58"/>
  <c r="CE15" i="58"/>
  <c r="CE22" i="58"/>
  <c r="CE64" i="58"/>
  <c r="CE68" i="58"/>
  <c r="CD17" i="58"/>
  <c r="BT42" i="58"/>
  <c r="BT34" i="58"/>
  <c r="BV58" i="58"/>
  <c r="BV33" i="58"/>
  <c r="CE12" i="58"/>
  <c r="CE17" i="58"/>
  <c r="CE23" i="58"/>
  <c r="BT29" i="58"/>
  <c r="BT30" i="58" s="1"/>
  <c r="CD20" i="58"/>
  <c r="CD21" i="58"/>
  <c r="BT46" i="58"/>
  <c r="CD66" i="58"/>
  <c r="CE11" i="58"/>
  <c r="BH125" i="65"/>
  <c r="BE125" i="65" s="1"/>
  <c r="BH123" i="65"/>
  <c r="BF123" i="65" s="1"/>
  <c r="BH131" i="65"/>
  <c r="BE131" i="65" s="1"/>
  <c r="BH115" i="65"/>
  <c r="BH128" i="65"/>
  <c r="BF128" i="65" s="1"/>
  <c r="BH136" i="65"/>
  <c r="BF136" i="65" s="1"/>
  <c r="BH152" i="65"/>
  <c r="BF152" i="65" s="1"/>
  <c r="BF116" i="65"/>
  <c r="BE116" i="65"/>
  <c r="BH144" i="65"/>
  <c r="BE144" i="65" s="1"/>
  <c r="BI131" i="65"/>
  <c r="BE121" i="65"/>
  <c r="BH113" i="65"/>
  <c r="BE113" i="65" s="1"/>
  <c r="BE120" i="65"/>
  <c r="BH119" i="65"/>
  <c r="BF119" i="65" s="1"/>
  <c r="BF121" i="65"/>
  <c r="BF120" i="65"/>
  <c r="BI121" i="65"/>
  <c r="BI120" i="65"/>
  <c r="BE111" i="65"/>
  <c r="BI112" i="65"/>
  <c r="BH109" i="65"/>
  <c r="BF109" i="65" s="1"/>
  <c r="BF108" i="65"/>
  <c r="P124" i="58"/>
  <c r="H167" i="58"/>
  <c r="H210" i="58" s="1"/>
  <c r="H38" i="58"/>
  <c r="H81" i="58" s="1"/>
  <c r="BI109" i="65"/>
  <c r="BK39" i="65"/>
  <c r="BK37" i="65"/>
  <c r="BK32" i="65"/>
  <c r="BK35" i="65"/>
  <c r="BK36" i="65"/>
  <c r="BK33" i="65"/>
  <c r="BK41" i="65"/>
  <c r="BK30" i="65"/>
  <c r="BF30" i="65" s="1"/>
  <c r="BK40" i="65"/>
  <c r="BK34" i="65"/>
  <c r="BK31" i="65"/>
  <c r="BK38" i="65"/>
  <c r="CY18" i="2"/>
  <c r="CY20" i="2"/>
  <c r="CH21" i="2"/>
  <c r="CH36" i="2" s="1"/>
  <c r="CK21" i="2"/>
  <c r="CY14" i="2"/>
  <c r="BV47" i="2" l="1"/>
  <c r="CK38" i="2"/>
  <c r="CK39" i="2" s="1"/>
  <c r="CH38" i="2"/>
  <c r="CH39" i="2" s="1"/>
  <c r="CH37" i="2"/>
  <c r="CK36" i="2"/>
  <c r="CK37" i="2" s="1"/>
  <c r="BV29" i="2"/>
  <c r="BS6" i="58"/>
  <c r="AX38" i="2"/>
  <c r="AX39" i="2" s="1"/>
  <c r="AX37" i="2"/>
  <c r="AU37" i="2"/>
  <c r="AU38" i="2"/>
  <c r="AU39" i="2" s="1"/>
  <c r="CD10" i="58"/>
  <c r="CE10" i="58" s="1"/>
  <c r="CD110" i="58"/>
  <c r="BE112" i="65"/>
  <c r="BA35" i="2"/>
  <c r="CY35" i="2"/>
  <c r="BF129" i="65"/>
  <c r="BE128" i="65"/>
  <c r="BF117" i="65"/>
  <c r="BF140" i="65"/>
  <c r="BE148" i="65"/>
  <c r="BE119" i="65"/>
  <c r="BF135" i="65"/>
  <c r="BF131" i="65"/>
  <c r="BE143" i="65"/>
  <c r="BE123" i="65"/>
  <c r="BE145" i="65"/>
  <c r="BF145" i="65"/>
  <c r="BF125" i="65"/>
  <c r="BE132" i="65"/>
  <c r="BF124" i="65"/>
  <c r="BE108" i="65"/>
  <c r="BE136" i="65"/>
  <c r="BF137" i="65"/>
  <c r="BF151" i="65"/>
  <c r="BE151" i="65"/>
  <c r="BE153" i="65"/>
  <c r="BE152" i="65"/>
  <c r="BK57" i="2"/>
  <c r="T29" i="2"/>
  <c r="BF133" i="65"/>
  <c r="CY21" i="2"/>
  <c r="BS29" i="58"/>
  <c r="CD4" i="58"/>
  <c r="CE4" i="58" s="1"/>
  <c r="BW30" i="58"/>
  <c r="BQ6" i="58" s="1"/>
  <c r="CD6" i="58"/>
  <c r="CE6" i="58" s="1"/>
  <c r="BP6" i="58"/>
  <c r="BR6" i="58"/>
  <c r="CD5" i="58"/>
  <c r="CE5" i="58" s="1"/>
  <c r="CP5" i="58"/>
  <c r="CP9" i="58"/>
  <c r="CP6" i="58"/>
  <c r="CP7" i="58"/>
  <c r="CP4" i="58"/>
  <c r="CP8" i="58"/>
  <c r="CP3" i="58"/>
  <c r="CD3" i="58"/>
  <c r="CE3" i="58" s="1"/>
  <c r="BR116" i="65"/>
  <c r="BF115" i="65"/>
  <c r="BE115" i="65"/>
  <c r="BF107" i="65"/>
  <c r="BF144" i="65"/>
  <c r="BF113" i="65"/>
  <c r="BE109" i="65"/>
  <c r="BR107" i="65"/>
  <c r="BL107" i="65" s="1"/>
  <c r="CA123" i="65"/>
  <c r="BR120" i="65"/>
  <c r="BR112" i="65"/>
  <c r="BL112" i="65" s="1"/>
  <c r="BR110" i="65"/>
  <c r="BR122" i="65"/>
  <c r="BR121" i="65"/>
  <c r="BR117" i="65"/>
  <c r="BR115" i="65"/>
  <c r="BR113" i="65"/>
  <c r="BP113" i="65" s="1"/>
  <c r="BR109" i="65"/>
  <c r="BP109" i="65" s="1"/>
  <c r="BY109" i="65" s="1"/>
  <c r="AE8" i="2" s="1"/>
  <c r="BR108" i="65"/>
  <c r="BR123" i="65"/>
  <c r="BR119" i="65"/>
  <c r="BR114" i="65"/>
  <c r="BR111" i="65"/>
  <c r="BN111" i="65" s="1"/>
  <c r="BW111" i="65" s="1"/>
  <c r="AA10" i="2" s="1"/>
  <c r="BR118" i="65"/>
  <c r="BN118" i="65" s="1"/>
  <c r="BW118" i="65" s="1"/>
  <c r="BR106" i="65"/>
  <c r="BP106" i="65" s="1"/>
  <c r="BY106" i="65" s="1"/>
  <c r="BJ30" i="65"/>
  <c r="BC49" i="65" s="1"/>
  <c r="BH30" i="65"/>
  <c r="BE30" i="65"/>
  <c r="BI30" i="65"/>
  <c r="BG30" i="65"/>
  <c r="BI41" i="65"/>
  <c r="BF41" i="65"/>
  <c r="BE41" i="65"/>
  <c r="BH41" i="65"/>
  <c r="BJ41" i="65"/>
  <c r="BG41" i="65"/>
  <c r="BI38" i="65"/>
  <c r="BE38" i="65"/>
  <c r="BJ38" i="65"/>
  <c r="BG38" i="65"/>
  <c r="BF38" i="65"/>
  <c r="BH38" i="65"/>
  <c r="BE33" i="65"/>
  <c r="BH33" i="65"/>
  <c r="BJ33" i="65"/>
  <c r="BC52" i="65" s="1"/>
  <c r="BG33" i="65"/>
  <c r="BF33" i="65"/>
  <c r="BI33" i="65"/>
  <c r="BG36" i="65"/>
  <c r="BE36" i="65"/>
  <c r="BF36" i="65"/>
  <c r="BH36" i="65"/>
  <c r="BI36" i="65"/>
  <c r="BJ36" i="65"/>
  <c r="BG35" i="65"/>
  <c r="BI35" i="65"/>
  <c r="BE35" i="65"/>
  <c r="BJ35" i="65"/>
  <c r="BF35" i="65"/>
  <c r="BH35" i="65"/>
  <c r="BI31" i="65"/>
  <c r="BE31" i="65"/>
  <c r="BG31" i="65"/>
  <c r="BJ31" i="65"/>
  <c r="BC50" i="65" s="1"/>
  <c r="BH31" i="65"/>
  <c r="BF31" i="65"/>
  <c r="BI32" i="65"/>
  <c r="BE32" i="65"/>
  <c r="BJ32" i="65"/>
  <c r="BC51" i="65" s="1"/>
  <c r="BG32" i="65"/>
  <c r="BF32" i="65"/>
  <c r="BH32" i="65"/>
  <c r="BH34" i="65"/>
  <c r="BG34" i="65"/>
  <c r="BI34" i="65"/>
  <c r="BF34" i="65"/>
  <c r="BE34" i="65"/>
  <c r="BJ34" i="65"/>
  <c r="BC53" i="65" s="1"/>
  <c r="BI37" i="65"/>
  <c r="BF37" i="65"/>
  <c r="BH37" i="65"/>
  <c r="BG37" i="65"/>
  <c r="BE37" i="65"/>
  <c r="BJ37" i="65"/>
  <c r="BI40" i="65"/>
  <c r="BG40" i="65"/>
  <c r="BH40" i="65"/>
  <c r="BJ40" i="65"/>
  <c r="BE40" i="65"/>
  <c r="BF40" i="65"/>
  <c r="BF39" i="65"/>
  <c r="BI39" i="65"/>
  <c r="BJ39" i="65"/>
  <c r="BG39" i="65"/>
  <c r="BE39" i="65"/>
  <c r="BH39" i="65"/>
  <c r="BN114" i="65" l="1"/>
  <c r="BW114" i="65" s="1"/>
  <c r="AA13" i="2" s="1"/>
  <c r="AD13" i="2" s="1"/>
  <c r="AA17" i="2"/>
  <c r="AD17" i="2" s="1"/>
  <c r="BL116" i="65"/>
  <c r="BT116" i="65" s="1"/>
  <c r="Y15" i="2" s="1"/>
  <c r="BN116" i="65"/>
  <c r="BW116" i="65" s="1"/>
  <c r="AA15" i="2" s="1"/>
  <c r="AD15" i="2" s="1"/>
  <c r="BL115" i="65"/>
  <c r="BT115" i="65" s="1"/>
  <c r="Y14" i="2" s="1"/>
  <c r="BN115" i="65"/>
  <c r="BW115" i="65" s="1"/>
  <c r="AA14" i="2" s="1"/>
  <c r="AD14" i="2" s="1"/>
  <c r="BN117" i="65"/>
  <c r="BW117" i="65" s="1"/>
  <c r="AA16" i="2" s="1"/>
  <c r="AD16" i="2" s="1"/>
  <c r="BW121" i="65"/>
  <c r="AA20" i="2" s="1"/>
  <c r="AD20" i="2" s="1"/>
  <c r="BN121" i="65"/>
  <c r="BL122" i="65"/>
  <c r="BW122" i="65"/>
  <c r="BN122" i="65"/>
  <c r="BL114" i="65"/>
  <c r="BT114" i="65" s="1"/>
  <c r="Y13" i="2" s="1"/>
  <c r="BN120" i="65"/>
  <c r="BW120" i="65" s="1"/>
  <c r="AA19" i="2" s="1"/>
  <c r="AD19" i="2" s="1"/>
  <c r="BM119" i="65"/>
  <c r="BN119" i="65"/>
  <c r="BW119" i="65" s="1"/>
  <c r="AA18" i="2" s="1"/>
  <c r="BB18" i="2" s="1"/>
  <c r="BW123" i="65"/>
  <c r="BN123" i="65"/>
  <c r="BP108" i="65"/>
  <c r="BY108" i="65" s="1"/>
  <c r="AE7" i="2" s="1"/>
  <c r="BN108" i="65"/>
  <c r="BW108" i="65" s="1"/>
  <c r="AA7" i="2" s="1"/>
  <c r="AD7" i="2" s="1"/>
  <c r="BO110" i="65"/>
  <c r="BX110" i="65" s="1"/>
  <c r="CQ6" i="58"/>
  <c r="CN6" i="58"/>
  <c r="CO6" i="58"/>
  <c r="CO9" i="58"/>
  <c r="CQ9" i="58"/>
  <c r="CN9" i="58"/>
  <c r="CQ5" i="58"/>
  <c r="CN5" i="58"/>
  <c r="CO5" i="58"/>
  <c r="CK13" i="58"/>
  <c r="CK8" i="58"/>
  <c r="CK15" i="58"/>
  <c r="CK4" i="58"/>
  <c r="CK3" i="58"/>
  <c r="CK16" i="58"/>
  <c r="CK10" i="58"/>
  <c r="CK7" i="58"/>
  <c r="CK5" i="58"/>
  <c r="CK12" i="58"/>
  <c r="CK17" i="58"/>
  <c r="CK14" i="58"/>
  <c r="CK11" i="58"/>
  <c r="CK9" i="58"/>
  <c r="CK6" i="58"/>
  <c r="CQ3" i="58"/>
  <c r="CO3" i="58"/>
  <c r="CN10" i="58" s="1"/>
  <c r="CN3" i="58"/>
  <c r="CN8" i="58"/>
  <c r="CO8" i="58"/>
  <c r="CQ8" i="58"/>
  <c r="CN4" i="58"/>
  <c r="CQ4" i="58"/>
  <c r="CO4" i="58"/>
  <c r="CN7" i="58"/>
  <c r="CQ7" i="58"/>
  <c r="CO7" i="58"/>
  <c r="BP116" i="65"/>
  <c r="BY116" i="65" s="1"/>
  <c r="AE15" i="2" s="1"/>
  <c r="BM116" i="65"/>
  <c r="BU116" i="65" s="1"/>
  <c r="BV116" i="65" s="1"/>
  <c r="Z15" i="2" s="1"/>
  <c r="BO116" i="65"/>
  <c r="BX116" i="65" s="1"/>
  <c r="BN110" i="65"/>
  <c r="BP112" i="65"/>
  <c r="BY112" i="65" s="1"/>
  <c r="AE11" i="2" s="1"/>
  <c r="BM121" i="65"/>
  <c r="BU121" i="65" s="1"/>
  <c r="BV121" i="65" s="1"/>
  <c r="Z20" i="2" s="1"/>
  <c r="BO113" i="65"/>
  <c r="BQ113" i="65" s="1"/>
  <c r="BZ113" i="65" s="1"/>
  <c r="BO106" i="65"/>
  <c r="BX106" i="65" s="1"/>
  <c r="BO115" i="65"/>
  <c r="BX115" i="65" s="1"/>
  <c r="BP120" i="65"/>
  <c r="BY120" i="65" s="1"/>
  <c r="AE19" i="2" s="1"/>
  <c r="BY113" i="65"/>
  <c r="AE12" i="2" s="1"/>
  <c r="BN113" i="65"/>
  <c r="BW113" i="65" s="1"/>
  <c r="BL113" i="65"/>
  <c r="BT113" i="65" s="1"/>
  <c r="Y12" i="2" s="1"/>
  <c r="BP114" i="65"/>
  <c r="BY114" i="65" s="1"/>
  <c r="AE13" i="2" s="1"/>
  <c r="BO114" i="65"/>
  <c r="BL109" i="65"/>
  <c r="BT109" i="65" s="1"/>
  <c r="Y8" i="2" s="1"/>
  <c r="BL120" i="65"/>
  <c r="BT120" i="65" s="1"/>
  <c r="Y19" i="2" s="1"/>
  <c r="BM114" i="65"/>
  <c r="BU114" i="65" s="1"/>
  <c r="BV114" i="65" s="1"/>
  <c r="Z13" i="2" s="1"/>
  <c r="BM113" i="65"/>
  <c r="BU113" i="65" s="1"/>
  <c r="BV113" i="65" s="1"/>
  <c r="Z12" i="2" s="1"/>
  <c r="BM109" i="65"/>
  <c r="BU109" i="65" s="1"/>
  <c r="BV109" i="65" s="1"/>
  <c r="Z8" i="2" s="1"/>
  <c r="BM120" i="65"/>
  <c r="BU120" i="65" s="1"/>
  <c r="BV120" i="65" s="1"/>
  <c r="Z19" i="2" s="1"/>
  <c r="BT122" i="65"/>
  <c r="BO109" i="65"/>
  <c r="BX109" i="65" s="1"/>
  <c r="BP121" i="65"/>
  <c r="BY121" i="65" s="1"/>
  <c r="AE20" i="2" s="1"/>
  <c r="BL121" i="65"/>
  <c r="BT121" i="65" s="1"/>
  <c r="Y20" i="2" s="1"/>
  <c r="BN109" i="65"/>
  <c r="BO121" i="65"/>
  <c r="BX121" i="65" s="1"/>
  <c r="BO120" i="65"/>
  <c r="BX120" i="65" s="1"/>
  <c r="BP115" i="65"/>
  <c r="BY115" i="65" s="1"/>
  <c r="AE14" i="2" s="1"/>
  <c r="BN107" i="65"/>
  <c r="BO117" i="65"/>
  <c r="BX117" i="65" s="1"/>
  <c r="BN112" i="65"/>
  <c r="BW112" i="65" s="1"/>
  <c r="BT112" i="65"/>
  <c r="Y11" i="2" s="1"/>
  <c r="BT107" i="65"/>
  <c r="Y6" i="2" s="1"/>
  <c r="BL119" i="65"/>
  <c r="BT119" i="65" s="1"/>
  <c r="Y18" i="2" s="1"/>
  <c r="BM112" i="65"/>
  <c r="BU112" i="65" s="1"/>
  <c r="BV112" i="65" s="1"/>
  <c r="Z11" i="2" s="1"/>
  <c r="BO107" i="65"/>
  <c r="BX107" i="65" s="1"/>
  <c r="BM107" i="65"/>
  <c r="BU107" i="65" s="1"/>
  <c r="BV107" i="65" s="1"/>
  <c r="Z6" i="2" s="1"/>
  <c r="BM115" i="65"/>
  <c r="BU115" i="65" s="1"/>
  <c r="BV115" i="65" s="1"/>
  <c r="Z14" i="2" s="1"/>
  <c r="BM108" i="65"/>
  <c r="BU108" i="65" s="1"/>
  <c r="BV108" i="65" s="1"/>
  <c r="Z7" i="2" s="1"/>
  <c r="BO112" i="65"/>
  <c r="BP107" i="65"/>
  <c r="BY107" i="65" s="1"/>
  <c r="AE6" i="2" s="1"/>
  <c r="BL108" i="65"/>
  <c r="BT108" i="65" s="1"/>
  <c r="Y7" i="2" s="1"/>
  <c r="BO108" i="65"/>
  <c r="BX108" i="65" s="1"/>
  <c r="BL110" i="65"/>
  <c r="BT110" i="65" s="1"/>
  <c r="Y9" i="2" s="1"/>
  <c r="BP117" i="65"/>
  <c r="BY117" i="65" s="1"/>
  <c r="AE16" i="2" s="1"/>
  <c r="BM117" i="65"/>
  <c r="BU117" i="65" s="1"/>
  <c r="BV117" i="65" s="1"/>
  <c r="Z16" i="2" s="1"/>
  <c r="BM110" i="65"/>
  <c r="BU110" i="65" s="1"/>
  <c r="BV110" i="65" s="1"/>
  <c r="Z9" i="2" s="1"/>
  <c r="BP110" i="65"/>
  <c r="BY110" i="65" s="1"/>
  <c r="AE9" i="2" s="1"/>
  <c r="BO122" i="65"/>
  <c r="BX122" i="65" s="1"/>
  <c r="BM122" i="65"/>
  <c r="BU122" i="65" s="1"/>
  <c r="BV122" i="65" s="1"/>
  <c r="BP122" i="65"/>
  <c r="BY122" i="65" s="1"/>
  <c r="BL106" i="65"/>
  <c r="BT106" i="65" s="1"/>
  <c r="Y5" i="2" s="1"/>
  <c r="BL117" i="65"/>
  <c r="BT117" i="65" s="1"/>
  <c r="Y16" i="2" s="1"/>
  <c r="BP119" i="65"/>
  <c r="BY119" i="65" s="1"/>
  <c r="AE18" i="2" s="1"/>
  <c r="BU119" i="65"/>
  <c r="BV119" i="65" s="1"/>
  <c r="Z18" i="2" s="1"/>
  <c r="BN106" i="65"/>
  <c r="BW106" i="65" s="1"/>
  <c r="AA5" i="2" s="1"/>
  <c r="BO119" i="65"/>
  <c r="BX119" i="65" s="1"/>
  <c r="BM106" i="65"/>
  <c r="BU106" i="65" s="1"/>
  <c r="BV106" i="65" s="1"/>
  <c r="Z5" i="2" s="1"/>
  <c r="BM123" i="65"/>
  <c r="BU123" i="65" s="1"/>
  <c r="BV123" i="65" s="1"/>
  <c r="BL118" i="65"/>
  <c r="BT118" i="65" s="1"/>
  <c r="Y17" i="2" s="1"/>
  <c r="BL123" i="65"/>
  <c r="BT123" i="65" s="1"/>
  <c r="BM118" i="65"/>
  <c r="BU118" i="65" s="1"/>
  <c r="BV118" i="65" s="1"/>
  <c r="Z17" i="2" s="1"/>
  <c r="BO118" i="65"/>
  <c r="BX118" i="65" s="1"/>
  <c r="BP118" i="65"/>
  <c r="BY118" i="65" s="1"/>
  <c r="AE17" i="2" s="1"/>
  <c r="BP123" i="65"/>
  <c r="BY123" i="65" s="1"/>
  <c r="BO123" i="65"/>
  <c r="BX123" i="65" s="1"/>
  <c r="BP111" i="65"/>
  <c r="BY111" i="65" s="1"/>
  <c r="AE10" i="2" s="1"/>
  <c r="BO111" i="65"/>
  <c r="BX111" i="65" s="1"/>
  <c r="AD10" i="2"/>
  <c r="BL111" i="65"/>
  <c r="BT111" i="65" s="1"/>
  <c r="Y10" i="2" s="1"/>
  <c r="BM111" i="65"/>
  <c r="BU111" i="65" s="1"/>
  <c r="BV111" i="65" s="1"/>
  <c r="Z10" i="2" s="1"/>
  <c r="AE5" i="2"/>
  <c r="BX114" i="65" l="1"/>
  <c r="BQ114" i="65"/>
  <c r="BZ114" i="65" s="1"/>
  <c r="AA12" i="2"/>
  <c r="AD12" i="2" s="1"/>
  <c r="BA12" i="2" s="1"/>
  <c r="AA11" i="2"/>
  <c r="AD11" i="2" s="1"/>
  <c r="BA11" i="2" s="1"/>
  <c r="AD5" i="2"/>
  <c r="BA5" i="2" s="1"/>
  <c r="BW109" i="65"/>
  <c r="BW110" i="65"/>
  <c r="AA9" i="2" s="1"/>
  <c r="AD9" i="2" s="1"/>
  <c r="BW107" i="65"/>
  <c r="AA6" i="2" s="1"/>
  <c r="BA20" i="2"/>
  <c r="CJ12" i="58"/>
  <c r="CI12" i="58"/>
  <c r="CI6" i="58"/>
  <c r="CJ6" i="58"/>
  <c r="CJ10" i="58"/>
  <c r="CI10" i="58"/>
  <c r="CI16" i="58"/>
  <c r="CJ16" i="58"/>
  <c r="CI11" i="58"/>
  <c r="CJ11" i="58"/>
  <c r="CI3" i="58"/>
  <c r="CJ3" i="58"/>
  <c r="CI14" i="58"/>
  <c r="CJ14" i="58"/>
  <c r="CJ4" i="58"/>
  <c r="CI4" i="58"/>
  <c r="CJ9" i="58"/>
  <c r="CI9" i="58"/>
  <c r="CJ17" i="58"/>
  <c r="CI17" i="58"/>
  <c r="CJ15" i="58"/>
  <c r="CI15" i="58"/>
  <c r="CI8" i="58"/>
  <c r="CJ8" i="58"/>
  <c r="CI5" i="58"/>
  <c r="CJ5" i="58"/>
  <c r="CI13" i="58"/>
  <c r="CJ13" i="58"/>
  <c r="CI7" i="58"/>
  <c r="CJ7" i="58"/>
  <c r="BB15" i="2"/>
  <c r="BA15" i="2"/>
  <c r="BQ116" i="65"/>
  <c r="BZ116" i="65" s="1"/>
  <c r="BA16" i="2"/>
  <c r="BQ106" i="65"/>
  <c r="BZ106" i="65" s="1"/>
  <c r="BB20" i="2"/>
  <c r="BX113" i="65"/>
  <c r="BA13" i="2"/>
  <c r="BQ122" i="65"/>
  <c r="BZ122" i="65" s="1"/>
  <c r="BQ112" i="65"/>
  <c r="BZ112" i="65" s="1"/>
  <c r="AD18" i="2"/>
  <c r="BA18" i="2" s="1"/>
  <c r="BA19" i="2"/>
  <c r="BB19" i="2"/>
  <c r="BB13" i="2"/>
  <c r="BQ117" i="65"/>
  <c r="BZ117" i="65" s="1"/>
  <c r="BQ120" i="65"/>
  <c r="BZ120" i="65" s="1"/>
  <c r="BX112" i="65"/>
  <c r="BQ115" i="65"/>
  <c r="BZ115" i="65" s="1"/>
  <c r="BQ109" i="65"/>
  <c r="BZ109" i="65" s="1"/>
  <c r="BB14" i="2"/>
  <c r="BQ108" i="65"/>
  <c r="BZ108" i="65" s="1"/>
  <c r="BQ121" i="65"/>
  <c r="BZ121" i="65" s="1"/>
  <c r="BB7" i="2"/>
  <c r="BB16" i="2"/>
  <c r="BA14" i="2"/>
  <c r="BA7" i="2"/>
  <c r="BA10" i="2"/>
  <c r="BQ107" i="65"/>
  <c r="BZ107" i="65" s="1"/>
  <c r="BQ119" i="65"/>
  <c r="BZ119" i="65" s="1"/>
  <c r="BQ110" i="65"/>
  <c r="BZ110" i="65" s="1"/>
  <c r="BA17" i="2"/>
  <c r="BQ111" i="65"/>
  <c r="BZ111" i="65" s="1"/>
  <c r="BQ118" i="65"/>
  <c r="BZ118" i="65" s="1"/>
  <c r="BB17" i="2"/>
  <c r="BB10" i="2"/>
  <c r="BQ123" i="65"/>
  <c r="BZ123" i="65" s="1"/>
  <c r="AD6" i="2" l="1"/>
  <c r="BA6" i="2" s="1"/>
  <c r="AA8" i="2"/>
  <c r="AD8" i="2" s="1"/>
  <c r="BA8" i="2" s="1"/>
  <c r="BB12" i="2"/>
  <c r="BB11" i="2"/>
  <c r="BB5" i="2"/>
  <c r="BB9" i="2"/>
  <c r="BA9" i="2"/>
  <c r="BB8" i="2" l="1"/>
  <c r="BB6" i="2"/>
  <c r="BA21" i="2"/>
  <c r="CQ21" i="2"/>
  <c r="CQ38" i="2" s="1"/>
  <c r="CQ39" i="2" s="1"/>
  <c r="AR21" i="2"/>
  <c r="AR36" i="2" s="1"/>
  <c r="AR37" i="2" s="1"/>
  <c r="AL21" i="2"/>
  <c r="AL36" i="2" s="1"/>
  <c r="CN21" i="2"/>
  <c r="CN36" i="2" s="1"/>
  <c r="AO21" i="2"/>
  <c r="AO36" i="2" s="1"/>
  <c r="AO37" i="2" s="1"/>
  <c r="CT21" i="2"/>
  <c r="CT38" i="2" s="1"/>
  <c r="CT39" i="2" s="1"/>
  <c r="AI21" i="2"/>
  <c r="AI36" i="2" s="1"/>
  <c r="AI37" i="2" s="1"/>
  <c r="CW21" i="2"/>
  <c r="CW38" i="2" s="1"/>
  <c r="CW39" i="2" s="1"/>
  <c r="AF21" i="2"/>
  <c r="AF36" i="2" s="1"/>
  <c r="CX21" i="2"/>
  <c r="CX38" i="2" s="1"/>
  <c r="CX39" i="2" s="1"/>
  <c r="CX37" i="2"/>
  <c r="AR38" i="2" l="1"/>
  <c r="AR39" i="2" s="1"/>
  <c r="AF38" i="2"/>
  <c r="AF39" i="2" s="1"/>
  <c r="CQ36" i="2"/>
  <c r="CQ37" i="2" s="1"/>
  <c r="AO38" i="2"/>
  <c r="AO39" i="2" s="1"/>
  <c r="CT36" i="2"/>
  <c r="CT37" i="2" s="1"/>
  <c r="AI38" i="2"/>
  <c r="AI39" i="2" s="1"/>
  <c r="CN38" i="2"/>
  <c r="CN39" i="2" s="1"/>
  <c r="CY39" i="2" s="1"/>
  <c r="AL38" i="2"/>
  <c r="AL39" i="2" s="1"/>
  <c r="CN37" i="2"/>
  <c r="BA36" i="2"/>
  <c r="AL37" i="2"/>
  <c r="AF37" i="2"/>
  <c r="BA38" i="2" l="1"/>
  <c r="CY36" i="2"/>
  <c r="CY37" i="2"/>
  <c r="BA39" i="2"/>
  <c r="CY38" i="2"/>
  <c r="BA37"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D4" authorId="0" shapeId="0" xr:uid="{B1795F27-E30F-4DB0-8F02-8E758A957ECD}">
      <text>
        <r>
          <rPr>
            <b/>
            <sz val="9"/>
            <color indexed="81"/>
            <rFont val="MS P ゴシック"/>
            <family val="3"/>
            <charset val="128"/>
          </rPr>
          <t>申請書はエクセルソフトで編集推奨しています。
リンクや数式がそれぞれのシートに入っています。スプレッドシートや他の形式では、エラーが発生し、文字化け、金額のずれなどが生じます。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C45" authorId="0" shapeId="0" xr:uid="{8062303D-F91D-4921-AADF-383C5927D754}">
      <text>
        <r>
          <rPr>
            <b/>
            <sz val="14"/>
            <color indexed="81"/>
            <rFont val="MS P ゴシック"/>
            <family val="3"/>
            <charset val="128"/>
          </rPr>
          <t>野外炊事を行う場合はご入力ください。
野外炊事の食数を変更した場合は、人数に合うようにご変更ください。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user10</author>
  </authors>
  <commentList>
    <comment ref="H13" authorId="0" shapeId="0" xr:uid="{4EDF4178-500D-4AC4-91BE-5E6181C7CCF9}">
      <text>
        <r>
          <rPr>
            <b/>
            <sz val="10"/>
            <color indexed="81"/>
            <rFont val="BIZ UDPゴシック"/>
            <family val="3"/>
            <charset val="128"/>
          </rPr>
          <t>コピー＆ペーストができます。</t>
        </r>
      </text>
    </comment>
    <comment ref="J13" authorId="0" shapeId="0" xr:uid="{66B5D913-7F6F-4447-A266-761DFC419D50}">
      <text>
        <r>
          <rPr>
            <b/>
            <sz val="10"/>
            <color indexed="81"/>
            <rFont val="BIZ UDPゴシック"/>
            <family val="3"/>
            <charset val="128"/>
          </rPr>
          <t>コピー＆ペーストができます。</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user10</author>
    <author>user</author>
    <author>user03</author>
    <author>野津あゆか</author>
  </authors>
  <commentList>
    <comment ref="CG22" authorId="0" shapeId="0" xr:uid="{AAC0F297-F64B-4394-AA51-12224751CA65}">
      <text>
        <r>
          <rPr>
            <b/>
            <sz val="11"/>
            <color indexed="81"/>
            <rFont val="BIZ UDPゴシック"/>
            <family val="3"/>
            <charset val="128"/>
          </rPr>
          <t>【05利用者名簿】から積算してます。</t>
        </r>
      </text>
    </comment>
    <comment ref="AF37" authorId="1" shapeId="0" xr:uid="{FC9049CD-AD2F-4B62-BFCB-ACD91AA39B0D}">
      <text>
        <r>
          <rPr>
            <b/>
            <sz val="16"/>
            <color indexed="81"/>
            <rFont val="MS P ゴシック"/>
            <family val="3"/>
            <charset val="128"/>
          </rPr>
          <t>職員が項目や数量を確認します。入力が誤っていた場合、金額も変更になります。</t>
        </r>
      </text>
    </comment>
    <comment ref="W41" authorId="2" shapeId="0" xr:uid="{3754769F-FACC-4485-8353-3BE422DF6EF1}">
      <text>
        <r>
          <rPr>
            <b/>
            <sz val="14"/>
            <color indexed="81"/>
            <rFont val="BIZ UDPゴシック"/>
            <family val="3"/>
            <charset val="128"/>
          </rPr>
          <t>03　食事申込書から積算しています。</t>
        </r>
      </text>
    </comment>
    <comment ref="J50" authorId="3" shapeId="0" xr:uid="{37695282-B7E7-41DD-BA9B-F95C4C479CF6}">
      <text>
        <r>
          <rPr>
            <b/>
            <sz val="18"/>
            <color indexed="81"/>
            <rFont val="MS P ゴシック"/>
            <family val="3"/>
            <charset val="128"/>
          </rPr>
          <t>減免対象者の人数について：</t>
        </r>
        <r>
          <rPr>
            <sz val="18"/>
            <color indexed="81"/>
            <rFont val="MS P ゴシック"/>
            <family val="3"/>
            <charset val="128"/>
          </rPr>
          <t xml:space="preserve">
【4歳～6歳】【高校生】【引率割引高校生】が適用される場合は、J列に適用人数を手打ちすること。</t>
        </r>
      </text>
    </comment>
    <comment ref="J58" authorId="3" shapeId="0" xr:uid="{345E823F-CB11-4908-B44A-FE63AD14456E}">
      <text>
        <r>
          <rPr>
            <b/>
            <sz val="18"/>
            <color indexed="81"/>
            <rFont val="MS P ゴシック"/>
            <family val="3"/>
            <charset val="128"/>
          </rPr>
          <t>減免対象者の人数について：</t>
        </r>
        <r>
          <rPr>
            <sz val="18"/>
            <color indexed="81"/>
            <rFont val="MS P ゴシック"/>
            <family val="3"/>
            <charset val="128"/>
          </rPr>
          <t xml:space="preserve">
【4歳～6歳】【高校生】【引率割引高校生】が適用される場合は、J列に適用人数を手打ちすること。</t>
        </r>
      </text>
    </comment>
    <comment ref="J67" authorId="3" shapeId="0" xr:uid="{DDD17D67-7486-4A4D-BDCE-E1189E723EF1}">
      <text>
        <r>
          <rPr>
            <b/>
            <sz val="18"/>
            <color indexed="81"/>
            <rFont val="MS P ゴシック"/>
            <family val="3"/>
            <charset val="128"/>
          </rPr>
          <t>実利用者数・延べ利用者数について:</t>
        </r>
        <r>
          <rPr>
            <sz val="18"/>
            <color indexed="81"/>
            <rFont val="MS P ゴシック"/>
            <family val="3"/>
            <charset val="128"/>
          </rPr>
          <t xml:space="preserve">
実利用者数
　＝利用者名簿の入力数値をカウントしている
延べ利用者数
　＝日帰り人数　および　利用者名簿CT列1番～CY列25番に組み込まれている数値をカウントし、日帰り人数+泊数に特定数値を乗ずることで計算している（3泊であれば数値×4）</t>
        </r>
      </text>
    </comment>
  </commentList>
</comments>
</file>

<file path=xl/sharedStrings.xml><?xml version="1.0" encoding="utf-8"?>
<sst xmlns="http://schemas.openxmlformats.org/spreadsheetml/2006/main" count="2304" uniqueCount="973">
  <si>
    <t>E-MAIL</t>
    <phoneticPr fontId="4"/>
  </si>
  <si>
    <t>申請書類の記入・提出</t>
    <phoneticPr fontId="4"/>
  </si>
  <si>
    <t>（１）　記入方法</t>
    <rPh sb="4" eb="6">
      <t>キニュウ</t>
    </rPh>
    <rPh sb="6" eb="8">
      <t>ホウホウ</t>
    </rPh>
    <phoneticPr fontId="4"/>
  </si>
  <si>
    <t>（２）　提出時期</t>
    <rPh sb="4" eb="6">
      <t>テイシュツ</t>
    </rPh>
    <rPh sb="6" eb="8">
      <t>ジキ</t>
    </rPh>
    <phoneticPr fontId="4"/>
  </si>
  <si>
    <t>１　記入及び提出時期・方法</t>
    <rPh sb="2" eb="4">
      <t>キニュウ</t>
    </rPh>
    <rPh sb="4" eb="5">
      <t>オヨ</t>
    </rPh>
    <rPh sb="6" eb="8">
      <t>テイシュツ</t>
    </rPh>
    <rPh sb="8" eb="10">
      <t>ジキ</t>
    </rPh>
    <rPh sb="11" eb="13">
      <t>ホウホウ</t>
    </rPh>
    <phoneticPr fontId="4"/>
  </si>
  <si>
    <t>（３）　提出方法</t>
    <rPh sb="4" eb="6">
      <t>テイシュツ</t>
    </rPh>
    <rPh sb="6" eb="8">
      <t>ホウホウ</t>
    </rPh>
    <phoneticPr fontId="4"/>
  </si>
  <si>
    <t>係</t>
    <rPh sb="0" eb="1">
      <t>カカリ</t>
    </rPh>
    <phoneticPr fontId="2"/>
  </si>
  <si>
    <t>指定管理者：公益財団法人さっぽろ青少年女性活動協会理事長</t>
    <phoneticPr fontId="2"/>
  </si>
  <si>
    <t>札幌市青少年山の家</t>
    <phoneticPr fontId="2"/>
  </si>
  <si>
    <t>【宛先】</t>
    <rPh sb="1" eb="3">
      <t>アテサキ</t>
    </rPh>
    <phoneticPr fontId="2"/>
  </si>
  <si>
    <t>札幌市青少年山の家</t>
    <phoneticPr fontId="2"/>
  </si>
  <si>
    <t>日</t>
    <rPh sb="0" eb="1">
      <t>ニチ</t>
    </rPh>
    <phoneticPr fontId="2"/>
  </si>
  <si>
    <t>月</t>
    <rPh sb="0" eb="1">
      <t>ガツ</t>
    </rPh>
    <phoneticPr fontId="2"/>
  </si>
  <si>
    <t>年</t>
    <rPh sb="0" eb="1">
      <t>ネン</t>
    </rPh>
    <phoneticPr fontId="2"/>
  </si>
  <si>
    <t>］</t>
    <phoneticPr fontId="2"/>
  </si>
  <si>
    <t xml:space="preserve"> その他　［</t>
    <rPh sb="3" eb="4">
      <t>タ</t>
    </rPh>
    <phoneticPr fontId="2"/>
  </si>
  <si>
    <t>］</t>
    <phoneticPr fontId="2"/>
  </si>
  <si>
    <t xml:space="preserve"> 車両動向報告書</t>
    <rPh sb="1" eb="3">
      <t>シャリョウ</t>
    </rPh>
    <rPh sb="3" eb="5">
      <t>ドウコウ</t>
    </rPh>
    <rPh sb="5" eb="8">
      <t>ホウコクショ</t>
    </rPh>
    <phoneticPr fontId="2"/>
  </si>
  <si>
    <t xml:space="preserve"> 使用料減免申請書</t>
    <rPh sb="1" eb="4">
      <t>シヨウリョウ</t>
    </rPh>
    <rPh sb="4" eb="6">
      <t>ゲンメン</t>
    </rPh>
    <rPh sb="6" eb="8">
      <t>シンセイ</t>
    </rPh>
    <rPh sb="8" eb="9">
      <t>ショ</t>
    </rPh>
    <phoneticPr fontId="2"/>
  </si>
  <si>
    <t xml:space="preserve"> 人数報告用紙</t>
    <rPh sb="1" eb="3">
      <t>ニンズウ</t>
    </rPh>
    <rPh sb="3" eb="5">
      <t>ホウコク</t>
    </rPh>
    <rPh sb="5" eb="7">
      <t>ヨウシ</t>
    </rPh>
    <phoneticPr fontId="2"/>
  </si>
  <si>
    <t xml:space="preserve"> 利用者名簿</t>
    <rPh sb="1" eb="4">
      <t>リヨウシャ</t>
    </rPh>
    <rPh sb="4" eb="6">
      <t>メイボ</t>
    </rPh>
    <phoneticPr fontId="2"/>
  </si>
  <si>
    <t xml:space="preserve"> 食事申込書</t>
    <rPh sb="1" eb="3">
      <t>ショクジ</t>
    </rPh>
    <rPh sb="3" eb="6">
      <t>モウシコミショ</t>
    </rPh>
    <phoneticPr fontId="2"/>
  </si>
  <si>
    <t xml:space="preserve"> 利用計画書</t>
    <rPh sb="1" eb="3">
      <t>リヨウ</t>
    </rPh>
    <rPh sb="3" eb="6">
      <t>ケイカクショ</t>
    </rPh>
    <phoneticPr fontId="2"/>
  </si>
  <si>
    <t>添付書類</t>
    <rPh sb="0" eb="2">
      <t>テンプ</t>
    </rPh>
    <rPh sb="2" eb="4">
      <t>ショルイ</t>
    </rPh>
    <phoneticPr fontId="2"/>
  </si>
  <si>
    <t>希望しない</t>
    <rPh sb="0" eb="2">
      <t>キボウ</t>
    </rPh>
    <phoneticPr fontId="2"/>
  </si>
  <si>
    <t>希望する</t>
    <rPh sb="0" eb="2">
      <t>キボウ</t>
    </rPh>
    <phoneticPr fontId="2"/>
  </si>
  <si>
    <t>バリアフリー宿泊室</t>
    <rPh sb="6" eb="9">
      <t>シュクハクシツ</t>
    </rPh>
    <phoneticPr fontId="2"/>
  </si>
  <si>
    <t>人</t>
    <rPh sb="0" eb="1">
      <t>ニン</t>
    </rPh>
    <phoneticPr fontId="2"/>
  </si>
  <si>
    <t>人数</t>
    <rPh sb="0" eb="2">
      <t>ニンズウ</t>
    </rPh>
    <phoneticPr fontId="2"/>
  </si>
  <si>
    <t>時</t>
    <rPh sb="0" eb="1">
      <t>ジ</t>
    </rPh>
    <phoneticPr fontId="2"/>
  </si>
  <si>
    <t>～</t>
    <phoneticPr fontId="2"/>
  </si>
  <si>
    <t>基準を超える使用を希望</t>
    <rPh sb="0" eb="2">
      <t>キジュン</t>
    </rPh>
    <rPh sb="3" eb="4">
      <t>コ</t>
    </rPh>
    <rPh sb="6" eb="8">
      <t>シヨウ</t>
    </rPh>
    <rPh sb="9" eb="11">
      <t>キボウ</t>
    </rPh>
    <phoneticPr fontId="2"/>
  </si>
  <si>
    <t>）</t>
    <phoneticPr fontId="2"/>
  </si>
  <si>
    <t>（</t>
    <phoneticPr fontId="2"/>
  </si>
  <si>
    <t>10</t>
    <phoneticPr fontId="2"/>
  </si>
  <si>
    <t>退館</t>
    <rPh sb="0" eb="2">
      <t>タイカン</t>
    </rPh>
    <phoneticPr fontId="2"/>
  </si>
  <si>
    <t>）</t>
    <phoneticPr fontId="2"/>
  </si>
  <si>
    <t>（</t>
    <phoneticPr fontId="2"/>
  </si>
  <si>
    <t>）</t>
    <phoneticPr fontId="2"/>
  </si>
  <si>
    <t>（</t>
    <phoneticPr fontId="2"/>
  </si>
  <si>
    <t>入館</t>
    <rPh sb="0" eb="2">
      <t>ニュウカン</t>
    </rPh>
    <phoneticPr fontId="2"/>
  </si>
  <si>
    <t>泊</t>
    <rPh sb="0" eb="1">
      <t>ハク</t>
    </rPh>
    <phoneticPr fontId="2"/>
  </si>
  <si>
    <t>日帰り</t>
    <rPh sb="0" eb="2">
      <t>ヒガエ</t>
    </rPh>
    <phoneticPr fontId="2"/>
  </si>
  <si>
    <t>宿泊</t>
    <rPh sb="0" eb="2">
      <t>シュクハク</t>
    </rPh>
    <phoneticPr fontId="2"/>
  </si>
  <si>
    <t>期間・形態</t>
    <rPh sb="0" eb="2">
      <t>キカン</t>
    </rPh>
    <rPh sb="3" eb="5">
      <t>ケイタイ</t>
    </rPh>
    <phoneticPr fontId="2"/>
  </si>
  <si>
    <t>yamanoie＠sapporo.jp</t>
    <phoneticPr fontId="2"/>
  </si>
  <si>
    <t>E-MAIL</t>
    <phoneticPr fontId="2"/>
  </si>
  <si>
    <t>E-MAIL</t>
    <phoneticPr fontId="2"/>
  </si>
  <si>
    <t>ＦＡＸ</t>
    <phoneticPr fontId="2"/>
  </si>
  <si>
    <t>）</t>
    <phoneticPr fontId="2"/>
  </si>
  <si>
    <t>TEL</t>
    <phoneticPr fontId="2"/>
  </si>
  <si>
    <t>）</t>
    <phoneticPr fontId="2"/>
  </si>
  <si>
    <t>TEL</t>
    <phoneticPr fontId="2"/>
  </si>
  <si>
    <t>札幌市南区滝野247番地</t>
    <rPh sb="0" eb="3">
      <t>サッポロシ</t>
    </rPh>
    <rPh sb="3" eb="5">
      <t>ミナミク</t>
    </rPh>
    <rPh sb="5" eb="7">
      <t>タキノ</t>
    </rPh>
    <rPh sb="10" eb="12">
      <t>バンチ</t>
    </rPh>
    <phoneticPr fontId="2"/>
  </si>
  <si>
    <t>〒</t>
    <phoneticPr fontId="2"/>
  </si>
  <si>
    <t>住所</t>
    <rPh sb="0" eb="2">
      <t>ジュウショ</t>
    </rPh>
    <phoneticPr fontId="2"/>
  </si>
  <si>
    <t>山の家　太郎</t>
  </si>
  <si>
    <t>氏名</t>
    <rPh sb="0" eb="2">
      <t>シメイ</t>
    </rPh>
    <phoneticPr fontId="2"/>
  </si>
  <si>
    <t>山の家　花子</t>
    <rPh sb="4" eb="6">
      <t>ハナコ</t>
    </rPh>
    <phoneticPr fontId="2"/>
  </si>
  <si>
    <t>やまのいえ　たろう</t>
    <phoneticPr fontId="2"/>
  </si>
  <si>
    <t>ふりがな</t>
    <phoneticPr fontId="2"/>
  </si>
  <si>
    <t>引率責任者
団体代表者</t>
    <rPh sb="0" eb="2">
      <t>インソツ</t>
    </rPh>
    <rPh sb="2" eb="5">
      <t>セキニンシャ</t>
    </rPh>
    <rPh sb="6" eb="8">
      <t>ダンタイ</t>
    </rPh>
    <rPh sb="8" eb="11">
      <t>ダイヒョウシャ</t>
    </rPh>
    <phoneticPr fontId="2"/>
  </si>
  <si>
    <t>やまのいえ　はなこ</t>
    <phoneticPr fontId="2"/>
  </si>
  <si>
    <t>企画担当者</t>
    <rPh sb="0" eb="2">
      <t>キカク</t>
    </rPh>
    <rPh sb="2" eb="5">
      <t>タントウシャ</t>
    </rPh>
    <phoneticPr fontId="2"/>
  </si>
  <si>
    <t>ふりがな</t>
    <phoneticPr fontId="2"/>
  </si>
  <si>
    <t>団体名</t>
    <rPh sb="0" eb="3">
      <t>ダンタイメイ</t>
    </rPh>
    <phoneticPr fontId="2"/>
  </si>
  <si>
    <t>団体</t>
    <rPh sb="0" eb="1">
      <t>ダン</t>
    </rPh>
    <rPh sb="1" eb="2">
      <t>カラダ</t>
    </rPh>
    <phoneticPr fontId="2"/>
  </si>
  <si>
    <t>札幌市青少年山の家　【 使用承認申請書 】</t>
    <rPh sb="12" eb="19">
      <t>シヨウショウニンシンセイショ</t>
    </rPh>
    <phoneticPr fontId="2"/>
  </si>
  <si>
    <t>荒天</t>
    <rPh sb="0" eb="2">
      <t>コウテン</t>
    </rPh>
    <phoneticPr fontId="2"/>
  </si>
  <si>
    <t>晴天</t>
    <rPh sb="0" eb="2">
      <t>セイテン</t>
    </rPh>
    <phoneticPr fontId="2"/>
  </si>
  <si>
    <t>利用日：</t>
    <rPh sb="0" eb="3">
      <t>リヨウビ</t>
    </rPh>
    <phoneticPr fontId="2"/>
  </si>
  <si>
    <t>団体名：</t>
    <rPh sb="0" eb="3">
      <t>ダンタイメイ</t>
    </rPh>
    <phoneticPr fontId="2"/>
  </si>
  <si>
    <t>№</t>
    <phoneticPr fontId="2"/>
  </si>
  <si>
    <t>（</t>
    <phoneticPr fontId="2"/>
  </si>
  <si>
    <t>札幌市青少年山の家　【 食事申込書 】</t>
    <rPh sb="0" eb="3">
      <t>サッポロシ</t>
    </rPh>
    <rPh sb="3" eb="6">
      <t>セイショウネン</t>
    </rPh>
    <rPh sb="6" eb="7">
      <t>ヤマ</t>
    </rPh>
    <rPh sb="8" eb="9">
      <t>イエ</t>
    </rPh>
    <rPh sb="12" eb="14">
      <t>ショクジ</t>
    </rPh>
    <rPh sb="14" eb="17">
      <t>モウシコミショ</t>
    </rPh>
    <phoneticPr fontId="2"/>
  </si>
  <si>
    <t>※新規または変更の該当する側をチェックするとともに、提出日時を記入してください。</t>
    <rPh sb="1" eb="3">
      <t>シンキ</t>
    </rPh>
    <rPh sb="6" eb="8">
      <t>ヘンコウ</t>
    </rPh>
    <rPh sb="9" eb="11">
      <t>ガイトウ</t>
    </rPh>
    <rPh sb="13" eb="14">
      <t>ガワ</t>
    </rPh>
    <rPh sb="26" eb="29">
      <t>テイシュツビ</t>
    </rPh>
    <rPh sb="29" eb="30">
      <t>ジ</t>
    </rPh>
    <rPh sb="31" eb="33">
      <t>キニュウ</t>
    </rPh>
    <phoneticPr fontId="2"/>
  </si>
  <si>
    <t>分</t>
    <rPh sb="0" eb="1">
      <t>フン</t>
    </rPh>
    <phoneticPr fontId="2"/>
  </si>
  <si>
    <t>相談</t>
    <rPh sb="0" eb="2">
      <t>ソウダン</t>
    </rPh>
    <phoneticPr fontId="2"/>
  </si>
  <si>
    <t>日</t>
    <rPh sb="0" eb="1">
      <t>ニチ</t>
    </rPh>
    <phoneticPr fontId="2"/>
  </si>
  <si>
    <t>▼携帯食▼</t>
    <rPh sb="1" eb="4">
      <t>ケイタイショク</t>
    </rPh>
    <phoneticPr fontId="2"/>
  </si>
  <si>
    <t>▼炊事食▼</t>
    <rPh sb="1" eb="3">
      <t>スイジ</t>
    </rPh>
    <rPh sb="3" eb="4">
      <t>ショク</t>
    </rPh>
    <phoneticPr fontId="2"/>
  </si>
  <si>
    <t>　ゴマ塩おにぎり</t>
    <rPh sb="3" eb="4">
      <t>シオ</t>
    </rPh>
    <phoneticPr fontId="2"/>
  </si>
  <si>
    <t>　牛丼</t>
    <rPh sb="1" eb="3">
      <t>ギュウドン</t>
    </rPh>
    <phoneticPr fontId="2"/>
  </si>
  <si>
    <t>　豚汁</t>
    <rPh sb="1" eb="2">
      <t>ブタ</t>
    </rPh>
    <rPh sb="2" eb="3">
      <t>ジル</t>
    </rPh>
    <phoneticPr fontId="2"/>
  </si>
  <si>
    <t>　焼きそば</t>
    <rPh sb="1" eb="2">
      <t>ヤ</t>
    </rPh>
    <phoneticPr fontId="2"/>
  </si>
  <si>
    <t>　炊き出し</t>
    <rPh sb="1" eb="2">
      <t>タ</t>
    </rPh>
    <rPh sb="3" eb="4">
      <t>ダ</t>
    </rPh>
    <phoneticPr fontId="2"/>
  </si>
  <si>
    <t>期　日</t>
    <rPh sb="0" eb="1">
      <t>キ</t>
    </rPh>
    <rPh sb="2" eb="3">
      <t>ニチ</t>
    </rPh>
    <phoneticPr fontId="2"/>
  </si>
  <si>
    <t>時　機</t>
    <rPh sb="0" eb="1">
      <t>トキ</t>
    </rPh>
    <rPh sb="2" eb="3">
      <t>キ</t>
    </rPh>
    <phoneticPr fontId="2"/>
  </si>
  <si>
    <t>数　量</t>
    <rPh sb="0" eb="1">
      <t>スウ</t>
    </rPh>
    <rPh sb="2" eb="3">
      <t>リョウ</t>
    </rPh>
    <phoneticPr fontId="2"/>
  </si>
  <si>
    <t>変更</t>
    <rPh sb="0" eb="1">
      <t>ヘン</t>
    </rPh>
    <rPh sb="1" eb="2">
      <t>サラ</t>
    </rPh>
    <phoneticPr fontId="2"/>
  </si>
  <si>
    <t>備考</t>
    <rPh sb="0" eb="2">
      <t>ビコウ</t>
    </rPh>
    <phoneticPr fontId="2"/>
  </si>
  <si>
    <t>昼</t>
    <rPh sb="0" eb="1">
      <t>ヒル</t>
    </rPh>
    <phoneticPr fontId="2"/>
  </si>
  <si>
    <t>夕</t>
    <rPh sb="0" eb="1">
      <t>ユウ</t>
    </rPh>
    <phoneticPr fontId="2"/>
  </si>
  <si>
    <t>朝</t>
    <rPh sb="0" eb="1">
      <t>アサ</t>
    </rPh>
    <phoneticPr fontId="2"/>
  </si>
  <si>
    <t>小学生</t>
    <rPh sb="0" eb="3">
      <t>ショウガクセイ</t>
    </rPh>
    <phoneticPr fontId="2"/>
  </si>
  <si>
    <t>中学生
以上</t>
    <rPh sb="0" eb="3">
      <t>チュウガクセイ</t>
    </rPh>
    <rPh sb="4" eb="6">
      <t>イジョウ</t>
    </rPh>
    <phoneticPr fontId="2"/>
  </si>
  <si>
    <t>計</t>
    <rPh sb="0" eb="1">
      <t>ケイ</t>
    </rPh>
    <phoneticPr fontId="2"/>
  </si>
  <si>
    <t>　鶏の唐揚げ</t>
    <rPh sb="1" eb="2">
      <t>トリ</t>
    </rPh>
    <rPh sb="3" eb="5">
      <t>カラア</t>
    </rPh>
    <phoneticPr fontId="2"/>
  </si>
  <si>
    <t>▼飲料▼</t>
    <rPh sb="1" eb="3">
      <t>インリョウ</t>
    </rPh>
    <phoneticPr fontId="2"/>
  </si>
  <si>
    <t>合計</t>
    <rPh sb="0" eb="2">
      <t>ゴウケイ</t>
    </rPh>
    <phoneticPr fontId="2"/>
  </si>
  <si>
    <t>×</t>
    <phoneticPr fontId="2"/>
  </si>
  <si>
    <t>／</t>
    <phoneticPr fontId="2"/>
  </si>
  <si>
    <t>～</t>
    <phoneticPr fontId="2"/>
  </si>
  <si>
    <t>ジンギスカン</t>
    <phoneticPr fontId="2"/>
  </si>
  <si>
    <t>記</t>
    <rPh sb="0" eb="1">
      <t>キ</t>
    </rPh>
    <phoneticPr fontId="2"/>
  </si>
  <si>
    <t>日</t>
    <rPh sb="0" eb="1">
      <t>ヒ</t>
    </rPh>
    <phoneticPr fontId="2"/>
  </si>
  <si>
    <t>団　体　名</t>
    <rPh sb="0" eb="1">
      <t>ダン</t>
    </rPh>
    <rPh sb="2" eb="3">
      <t>カラダ</t>
    </rPh>
    <rPh sb="4" eb="5">
      <t>メイ</t>
    </rPh>
    <phoneticPr fontId="2"/>
  </si>
  <si>
    <t>山の家　太郎</t>
    <rPh sb="0" eb="1">
      <t>ヤマ</t>
    </rPh>
    <rPh sb="2" eb="3">
      <t>イエ</t>
    </rPh>
    <rPh sb="4" eb="6">
      <t>タロウ</t>
    </rPh>
    <phoneticPr fontId="2"/>
  </si>
  <si>
    <t>札幌市青少年山の家　【 利用者名簿】</t>
    <phoneticPr fontId="2"/>
  </si>
  <si>
    <t>氏　名</t>
    <rPh sb="0" eb="1">
      <t>シ</t>
    </rPh>
    <rPh sb="2" eb="3">
      <t>メイ</t>
    </rPh>
    <phoneticPr fontId="2"/>
  </si>
  <si>
    <t>利用延
べ日数</t>
    <rPh sb="0" eb="2">
      <t>リヨウ</t>
    </rPh>
    <rPh sb="2" eb="3">
      <t>ノ</t>
    </rPh>
    <rPh sb="5" eb="7">
      <t>ニッスウ</t>
    </rPh>
    <phoneticPr fontId="2"/>
  </si>
  <si>
    <t>区分</t>
    <rPh sb="0" eb="2">
      <t>クブン</t>
    </rPh>
    <phoneticPr fontId="2"/>
  </si>
  <si>
    <t>＜　区分欄凡例　＞</t>
    <rPh sb="2" eb="5">
      <t>クブンラン</t>
    </rPh>
    <rPh sb="5" eb="7">
      <t>ハンレイ</t>
    </rPh>
    <phoneticPr fontId="2"/>
  </si>
  <si>
    <t>中学生</t>
    <rPh sb="0" eb="3">
      <t>チュウガクセイ</t>
    </rPh>
    <phoneticPr fontId="2"/>
  </si>
  <si>
    <t>印刷範囲の指定</t>
    <rPh sb="0" eb="2">
      <t>インサツ</t>
    </rPh>
    <rPh sb="2" eb="4">
      <t>ハンイ</t>
    </rPh>
    <rPh sb="5" eb="7">
      <t>シテイ</t>
    </rPh>
    <phoneticPr fontId="2"/>
  </si>
  <si>
    <t>※　下図のように、印刷ページを「1～3」と指定しても、そのページが印刷できない範囲設定になって
　いる場合は印刷されません。
　　印刷の範囲は、次のように設定してください。
　　　１　画面右下にある3つ横並びのアイコンから「改ページプレビュー」を選んでください。
　　　２　１の操作後、画面が白色（印刷）部と灰色（非印刷）部が、青線で仕切られていることを
　　　　確認します。
　　　３　２の青線にカーソルを当ててドラッグすると、自在に白色部と灰色部を変更できます。
　　　４　印刷したいページが白色になっていれば、ページ指定のとおりに印刷することができます。　</t>
    <rPh sb="2" eb="4">
      <t>カズ</t>
    </rPh>
    <rPh sb="9" eb="11">
      <t>インサツ</t>
    </rPh>
    <rPh sb="21" eb="23">
      <t>シテイ</t>
    </rPh>
    <rPh sb="33" eb="35">
      <t>インサツ</t>
    </rPh>
    <rPh sb="39" eb="41">
      <t>ハンイ</t>
    </rPh>
    <rPh sb="41" eb="43">
      <t>セッテイ</t>
    </rPh>
    <rPh sb="52" eb="54">
      <t>バアイ</t>
    </rPh>
    <rPh sb="55" eb="57">
      <t>インサツ</t>
    </rPh>
    <rPh sb="67" eb="69">
      <t>インサツ</t>
    </rPh>
    <rPh sb="70" eb="72">
      <t>ハンイ</t>
    </rPh>
    <rPh sb="74" eb="75">
      <t>ツギ</t>
    </rPh>
    <rPh sb="79" eb="81">
      <t>セッテイ</t>
    </rPh>
    <rPh sb="95" eb="97">
      <t>ガメン</t>
    </rPh>
    <rPh sb="97" eb="99">
      <t>ミギシタ</t>
    </rPh>
    <rPh sb="104" eb="106">
      <t>ヨコナラ</t>
    </rPh>
    <rPh sb="115" eb="116">
      <t>カイ</t>
    </rPh>
    <rPh sb="126" eb="127">
      <t>エラ</t>
    </rPh>
    <rPh sb="143" eb="146">
      <t>ソウサゴ</t>
    </rPh>
    <rPh sb="147" eb="149">
      <t>ガメン</t>
    </rPh>
    <rPh sb="150" eb="151">
      <t>シロ</t>
    </rPh>
    <rPh sb="151" eb="152">
      <t>ショク</t>
    </rPh>
    <rPh sb="153" eb="155">
      <t>インサツ</t>
    </rPh>
    <rPh sb="158" eb="159">
      <t>ハイ</t>
    </rPh>
    <rPh sb="159" eb="160">
      <t>ショク</t>
    </rPh>
    <rPh sb="161" eb="162">
      <t>ヒ</t>
    </rPh>
    <rPh sb="162" eb="164">
      <t>インサツ</t>
    </rPh>
    <rPh sb="165" eb="166">
      <t>ブ</t>
    </rPh>
    <rPh sb="168" eb="170">
      <t>アオセン</t>
    </rPh>
    <rPh sb="171" eb="173">
      <t>シキ</t>
    </rPh>
    <rPh sb="187" eb="189">
      <t>カクニン</t>
    </rPh>
    <rPh sb="202" eb="204">
      <t>アオセン</t>
    </rPh>
    <rPh sb="210" eb="211">
      <t>ア</t>
    </rPh>
    <rPh sb="221" eb="223">
      <t>ジザイ</t>
    </rPh>
    <rPh sb="224" eb="226">
      <t>シロイロ</t>
    </rPh>
    <rPh sb="226" eb="227">
      <t>ブ</t>
    </rPh>
    <rPh sb="228" eb="230">
      <t>ハイイロ</t>
    </rPh>
    <rPh sb="230" eb="231">
      <t>ブ</t>
    </rPh>
    <rPh sb="232" eb="234">
      <t>ヘンコウ</t>
    </rPh>
    <rPh sb="246" eb="248">
      <t>インサツ</t>
    </rPh>
    <rPh sb="255" eb="257">
      <t>ハクショク</t>
    </rPh>
    <rPh sb="268" eb="270">
      <t>シテイ</t>
    </rPh>
    <rPh sb="275" eb="277">
      <t>インサツ</t>
    </rPh>
    <phoneticPr fontId="2"/>
  </si>
  <si>
    <t>プルダウンリスト</t>
    <phoneticPr fontId="2"/>
  </si>
  <si>
    <t>入園料</t>
    <rPh sb="0" eb="3">
      <t>ニュウエンリョウ</t>
    </rPh>
    <phoneticPr fontId="2"/>
  </si>
  <si>
    <t>食事代</t>
    <rPh sb="0" eb="3">
      <t>ショクジダイ</t>
    </rPh>
    <phoneticPr fontId="2"/>
  </si>
  <si>
    <t>クラフト</t>
    <phoneticPr fontId="2"/>
  </si>
  <si>
    <t>項目</t>
    <rPh sb="0" eb="2">
      <t>コウモク</t>
    </rPh>
    <phoneticPr fontId="2"/>
  </si>
  <si>
    <t>単価</t>
    <rPh sb="0" eb="2">
      <t>タンカ</t>
    </rPh>
    <phoneticPr fontId="20"/>
  </si>
  <si>
    <t>人・薪
・炭等
総数</t>
    <rPh sb="0" eb="1">
      <t>ヒト</t>
    </rPh>
    <rPh sb="2" eb="3">
      <t>マキ</t>
    </rPh>
    <rPh sb="5" eb="6">
      <t>スミ</t>
    </rPh>
    <rPh sb="6" eb="7">
      <t>トウ</t>
    </rPh>
    <rPh sb="8" eb="10">
      <t>ソウスウ</t>
    </rPh>
    <phoneticPr fontId="20"/>
  </si>
  <si>
    <t xml:space="preserve">小計 </t>
    <rPh sb="0" eb="2">
      <t>ショウケイ</t>
    </rPh>
    <phoneticPr fontId="20"/>
  </si>
  <si>
    <t>小人</t>
    <rPh sb="0" eb="2">
      <t>コビト</t>
    </rPh>
    <phoneticPr fontId="2"/>
  </si>
  <si>
    <t>利用日</t>
    <rPh sb="0" eb="2">
      <t>リヨウ</t>
    </rPh>
    <rPh sb="2" eb="3">
      <t>ビ</t>
    </rPh>
    <phoneticPr fontId="2"/>
  </si>
  <si>
    <t>～</t>
    <phoneticPr fontId="2"/>
  </si>
  <si>
    <t>食事代内訳</t>
    <rPh sb="0" eb="3">
      <t>ショクジダイ</t>
    </rPh>
    <rPh sb="3" eb="5">
      <t>ウチワケ</t>
    </rPh>
    <phoneticPr fontId="2"/>
  </si>
  <si>
    <t>期日</t>
    <rPh sb="0" eb="2">
      <t>キジツ</t>
    </rPh>
    <phoneticPr fontId="2"/>
  </si>
  <si>
    <t>時機</t>
    <rPh sb="0" eb="2">
      <t>ジキ</t>
    </rPh>
    <phoneticPr fontId="2"/>
  </si>
  <si>
    <t>メニュー</t>
    <phoneticPr fontId="2"/>
  </si>
  <si>
    <t>（円）</t>
    <rPh sb="1" eb="2">
      <t>エン</t>
    </rPh>
    <phoneticPr fontId="20"/>
  </si>
  <si>
    <t>人　　数</t>
    <phoneticPr fontId="20"/>
  </si>
  <si>
    <t>人　　数</t>
    <phoneticPr fontId="20"/>
  </si>
  <si>
    <t xml:space="preserve">（円） </t>
    <rPh sb="1" eb="2">
      <t>エン</t>
    </rPh>
    <phoneticPr fontId="20"/>
  </si>
  <si>
    <t>団体割</t>
    <rPh sb="0" eb="2">
      <t>ダンタイ</t>
    </rPh>
    <rPh sb="2" eb="3">
      <t>ワ</t>
    </rPh>
    <phoneticPr fontId="2"/>
  </si>
  <si>
    <t>▼食堂通常食▼</t>
    <rPh sb="1" eb="3">
      <t>ショクドウ</t>
    </rPh>
    <rPh sb="3" eb="5">
      <t>ツウジョウ</t>
    </rPh>
    <rPh sb="5" eb="6">
      <t>ショク</t>
    </rPh>
    <phoneticPr fontId="2"/>
  </si>
  <si>
    <t>風車</t>
    <rPh sb="0" eb="2">
      <t>カザグルマ</t>
    </rPh>
    <phoneticPr fontId="2"/>
  </si>
  <si>
    <t>一般</t>
    <rPh sb="0" eb="2">
      <t>イッパン</t>
    </rPh>
    <phoneticPr fontId="2"/>
  </si>
  <si>
    <t>　昼】通常食(幼児)</t>
    <rPh sb="1" eb="2">
      <t>ヒル</t>
    </rPh>
    <rPh sb="3" eb="5">
      <t>ツウジョウ</t>
    </rPh>
    <rPh sb="5" eb="6">
      <t>ショク</t>
    </rPh>
    <rPh sb="7" eb="9">
      <t>ヨウジ</t>
    </rPh>
    <phoneticPr fontId="2"/>
  </si>
  <si>
    <t>大人</t>
    <rPh sb="0" eb="2">
      <t>オトナ</t>
    </rPh>
    <phoneticPr fontId="2"/>
  </si>
  <si>
    <t>　昼】通常食(小学生)</t>
    <rPh sb="3" eb="5">
      <t>ツウジョウ</t>
    </rPh>
    <rPh sb="5" eb="6">
      <t>ショク</t>
    </rPh>
    <rPh sb="7" eb="10">
      <t>ショウガクセイ</t>
    </rPh>
    <phoneticPr fontId="2"/>
  </si>
  <si>
    <t>　昼】通常食(中学生以上)</t>
    <rPh sb="3" eb="5">
      <t>ツウジョウ</t>
    </rPh>
    <rPh sb="5" eb="6">
      <t>ショク</t>
    </rPh>
    <rPh sb="7" eb="10">
      <t>チュウガクセイ</t>
    </rPh>
    <rPh sb="10" eb="12">
      <t>イジョウ</t>
    </rPh>
    <phoneticPr fontId="2"/>
  </si>
  <si>
    <t>　夕】通常食(幼児)</t>
    <rPh sb="1" eb="2">
      <t>ユウ</t>
    </rPh>
    <rPh sb="3" eb="5">
      <t>ツウジョウ</t>
    </rPh>
    <rPh sb="5" eb="6">
      <t>ショク</t>
    </rPh>
    <rPh sb="7" eb="9">
      <t>ヨウジ</t>
    </rPh>
    <phoneticPr fontId="2"/>
  </si>
  <si>
    <t>　夕】通常食(小学生)</t>
    <rPh sb="3" eb="5">
      <t>ツウジョウ</t>
    </rPh>
    <rPh sb="5" eb="6">
      <t>ショク</t>
    </rPh>
    <rPh sb="7" eb="10">
      <t>ショウガクセイ</t>
    </rPh>
    <phoneticPr fontId="2"/>
  </si>
  <si>
    <t>ボランティア謝礼</t>
    <rPh sb="6" eb="8">
      <t>シャレイ</t>
    </rPh>
    <phoneticPr fontId="2"/>
  </si>
  <si>
    <t>　夕】通常食(中学生以上)</t>
    <rPh sb="3" eb="5">
      <t>ツウジョウ</t>
    </rPh>
    <rPh sb="5" eb="6">
      <t>ショク</t>
    </rPh>
    <rPh sb="7" eb="10">
      <t>チュウガクセイ</t>
    </rPh>
    <rPh sb="10" eb="12">
      <t>イジョウ</t>
    </rPh>
    <phoneticPr fontId="2"/>
  </si>
  <si>
    <t>木のマグネット</t>
    <rPh sb="0" eb="1">
      <t>キ</t>
    </rPh>
    <phoneticPr fontId="2"/>
  </si>
  <si>
    <t>　朝】通常食(幼児)</t>
    <rPh sb="1" eb="2">
      <t>アサ</t>
    </rPh>
    <rPh sb="3" eb="5">
      <t>ツウジョウ</t>
    </rPh>
    <rPh sb="5" eb="6">
      <t>ショク</t>
    </rPh>
    <rPh sb="7" eb="9">
      <t>ヨウジ</t>
    </rPh>
    <phoneticPr fontId="2"/>
  </si>
  <si>
    <t>宛名・支払方法</t>
    <rPh sb="3" eb="5">
      <t>シハラ</t>
    </rPh>
    <rPh sb="5" eb="7">
      <t>ホウホウ</t>
    </rPh>
    <phoneticPr fontId="20"/>
  </si>
  <si>
    <t>領収・請求書１</t>
    <rPh sb="0" eb="2">
      <t>リョウシュウ</t>
    </rPh>
    <rPh sb="3" eb="6">
      <t>セイキュウショ</t>
    </rPh>
    <phoneticPr fontId="20"/>
  </si>
  <si>
    <t>　朝】通常食(小学生)</t>
    <rPh sb="3" eb="5">
      <t>ツウジョウ</t>
    </rPh>
    <rPh sb="5" eb="6">
      <t>ショク</t>
    </rPh>
    <rPh sb="7" eb="10">
      <t>ショウガクセイ</t>
    </rPh>
    <phoneticPr fontId="2"/>
  </si>
  <si>
    <t>マイ箸</t>
    <rPh sb="2" eb="3">
      <t>ハシ</t>
    </rPh>
    <phoneticPr fontId="2"/>
  </si>
  <si>
    <t>領収・請求書２</t>
    <rPh sb="0" eb="2">
      <t>リョウシュウ</t>
    </rPh>
    <rPh sb="3" eb="6">
      <t>セイキュウショ</t>
    </rPh>
    <phoneticPr fontId="20"/>
  </si>
  <si>
    <t>　朝】通常食(中学生以上)</t>
    <rPh sb="3" eb="5">
      <t>ツウジョウ</t>
    </rPh>
    <rPh sb="5" eb="6">
      <t>ショク</t>
    </rPh>
    <rPh sb="7" eb="10">
      <t>チュウガクセイ</t>
    </rPh>
    <rPh sb="10" eb="12">
      <t>イジョウ</t>
    </rPh>
    <phoneticPr fontId="2"/>
  </si>
  <si>
    <t>領収・請求書３</t>
    <rPh sb="0" eb="2">
      <t>リョウシュウ</t>
    </rPh>
    <rPh sb="3" eb="6">
      <t>セイキュウショ</t>
    </rPh>
    <phoneticPr fontId="20"/>
  </si>
  <si>
    <t>▼食堂キッズA▼</t>
    <rPh sb="1" eb="3">
      <t>ショクドウ</t>
    </rPh>
    <phoneticPr fontId="2"/>
  </si>
  <si>
    <t>領収・請求書４</t>
    <rPh sb="0" eb="2">
      <t>リョウシュウ</t>
    </rPh>
    <rPh sb="3" eb="6">
      <t>セイキュウショ</t>
    </rPh>
    <phoneticPr fontId="20"/>
  </si>
  <si>
    <t>時期</t>
    <rPh sb="0" eb="2">
      <t>ジキ</t>
    </rPh>
    <phoneticPr fontId="2"/>
  </si>
  <si>
    <t>領収・請求書５</t>
    <rPh sb="0" eb="2">
      <t>リョウシュウ</t>
    </rPh>
    <rPh sb="3" eb="6">
      <t>セイキュウショ</t>
    </rPh>
    <phoneticPr fontId="20"/>
  </si>
  <si>
    <t>項　　　目</t>
    <rPh sb="0" eb="5">
      <t>コウモク</t>
    </rPh>
    <phoneticPr fontId="20"/>
  </si>
  <si>
    <t>領   収
請求書４</t>
    <rPh sb="0" eb="1">
      <t>リョウ</t>
    </rPh>
    <rPh sb="4" eb="5">
      <t>オサム</t>
    </rPh>
    <rPh sb="6" eb="9">
      <t>セイキュウショ</t>
    </rPh>
    <phoneticPr fontId="20"/>
  </si>
  <si>
    <t>人　　数</t>
    <phoneticPr fontId="20"/>
  </si>
  <si>
    <t>人　　数</t>
    <phoneticPr fontId="20"/>
  </si>
  <si>
    <t>入園料</t>
    <rPh sb="0" eb="3">
      <t>ニュウエンリョウ</t>
    </rPh>
    <phoneticPr fontId="20"/>
  </si>
  <si>
    <t>その他内訳</t>
    <rPh sb="2" eb="3">
      <t>タ</t>
    </rPh>
    <rPh sb="3" eb="5">
      <t>ウチワケ</t>
    </rPh>
    <phoneticPr fontId="2"/>
  </si>
  <si>
    <t>シーツ・枕カバー洗濯</t>
    <rPh sb="4" eb="5">
      <t>マクラ</t>
    </rPh>
    <rPh sb="8" eb="10">
      <t>センタク</t>
    </rPh>
    <phoneticPr fontId="20"/>
  </si>
  <si>
    <t>▼食堂キッズB▼</t>
    <rPh sb="1" eb="3">
      <t>ショクドウ</t>
    </rPh>
    <phoneticPr fontId="2"/>
  </si>
  <si>
    <t>　夕】キッズB(幼児)</t>
    <rPh sb="1" eb="2">
      <t>ユウ</t>
    </rPh>
    <rPh sb="8" eb="10">
      <t>ヨウジ</t>
    </rPh>
    <phoneticPr fontId="2"/>
  </si>
  <si>
    <t>施設使用料内訳</t>
    <rPh sb="0" eb="2">
      <t>シセツ</t>
    </rPh>
    <rPh sb="2" eb="5">
      <t>シヨウリョウ</t>
    </rPh>
    <rPh sb="5" eb="7">
      <t>ウチワケ</t>
    </rPh>
    <phoneticPr fontId="20"/>
  </si>
  <si>
    <t>宿泊</t>
    <phoneticPr fontId="20"/>
  </si>
  <si>
    <t>　夕】キッズB(小学生)</t>
    <rPh sb="1" eb="2">
      <t>ユウ</t>
    </rPh>
    <rPh sb="8" eb="11">
      <t>ショウガクセイ</t>
    </rPh>
    <phoneticPr fontId="2"/>
  </si>
  <si>
    <t>　夕】キッズB(中学生以上)</t>
    <rPh sb="1" eb="2">
      <t>ユウ</t>
    </rPh>
    <rPh sb="8" eb="11">
      <t>チュウガクセイ</t>
    </rPh>
    <rPh sb="11" eb="13">
      <t>イジョウ</t>
    </rPh>
    <phoneticPr fontId="2"/>
  </si>
  <si>
    <t>小・中学生</t>
    <rPh sb="0" eb="1">
      <t>ショウ</t>
    </rPh>
    <rPh sb="2" eb="5">
      <t>チュウガクセイ</t>
    </rPh>
    <phoneticPr fontId="20"/>
  </si>
  <si>
    <t>　朝】キッズB(幼児)</t>
    <rPh sb="1" eb="2">
      <t>アサ</t>
    </rPh>
    <rPh sb="8" eb="10">
      <t>ヨウジ</t>
    </rPh>
    <phoneticPr fontId="2"/>
  </si>
  <si>
    <t>　朝】キッズB(小学生)</t>
    <rPh sb="1" eb="2">
      <t>アサ</t>
    </rPh>
    <rPh sb="8" eb="11">
      <t>ショウガクセイ</t>
    </rPh>
    <phoneticPr fontId="2"/>
  </si>
  <si>
    <t>　朝】キッズB(中学生以上)</t>
    <rPh sb="1" eb="2">
      <t>アサ</t>
    </rPh>
    <rPh sb="8" eb="11">
      <t>チュウガクセイ</t>
    </rPh>
    <rPh sb="11" eb="13">
      <t>イジョウ</t>
    </rPh>
    <phoneticPr fontId="2"/>
  </si>
  <si>
    <t>減免対象者（すべて）</t>
    <rPh sb="0" eb="2">
      <t>ゲンメンニンズウ</t>
    </rPh>
    <rPh sb="2" eb="5">
      <t>タイショウシャ</t>
    </rPh>
    <phoneticPr fontId="20"/>
  </si>
  <si>
    <t>その他（一般）の方</t>
    <rPh sb="2" eb="3">
      <t>タ</t>
    </rPh>
    <rPh sb="4" eb="6">
      <t>イッパン</t>
    </rPh>
    <rPh sb="8" eb="9">
      <t>カタ</t>
    </rPh>
    <phoneticPr fontId="20"/>
  </si>
  <si>
    <t>日帰り</t>
    <phoneticPr fontId="20"/>
  </si>
  <si>
    <t>　カレーライス</t>
    <phoneticPr fontId="2"/>
  </si>
  <si>
    <t>　ジンギスカン</t>
    <phoneticPr fontId="2"/>
  </si>
  <si>
    <t>　ホットドッグ</t>
    <phoneticPr fontId="2"/>
  </si>
  <si>
    <t>　プリン</t>
    <phoneticPr fontId="2"/>
  </si>
  <si>
    <t>　ミニエクレア</t>
    <phoneticPr fontId="2"/>
  </si>
  <si>
    <t>　フライドポテト</t>
    <phoneticPr fontId="2"/>
  </si>
  <si>
    <t>　アイスクリーム（バニラ味）</t>
    <rPh sb="12" eb="13">
      <t>アジ</t>
    </rPh>
    <phoneticPr fontId="2"/>
  </si>
  <si>
    <t>　チキンナゲット</t>
    <phoneticPr fontId="2"/>
  </si>
  <si>
    <t>　フランクフルト</t>
    <phoneticPr fontId="2"/>
  </si>
  <si>
    <t>～</t>
    <phoneticPr fontId="2"/>
  </si>
  <si>
    <t>使用料減免申請書</t>
    <rPh sb="0" eb="3">
      <t>シヨウリョウ</t>
    </rPh>
    <rPh sb="3" eb="5">
      <t>ゲンメン</t>
    </rPh>
    <rPh sb="5" eb="8">
      <t>シンセイショ</t>
    </rPh>
    <phoneticPr fontId="2"/>
  </si>
  <si>
    <t>　札幌市青少年山の家</t>
    <rPh sb="1" eb="8">
      <t>サッポロシセイショウネンヤマ</t>
    </rPh>
    <rPh sb="9" eb="10">
      <t>イエ</t>
    </rPh>
    <phoneticPr fontId="2"/>
  </si>
  <si>
    <t>　　指定管理者</t>
    <rPh sb="2" eb="4">
      <t>シテイ</t>
    </rPh>
    <rPh sb="4" eb="7">
      <t>カンリシャ</t>
    </rPh>
    <phoneticPr fontId="2"/>
  </si>
  <si>
    <t>　　（公財）さっぽろ青少年女性活動協会</t>
    <rPh sb="3" eb="4">
      <t>コウ</t>
    </rPh>
    <rPh sb="4" eb="5">
      <t>ザイ</t>
    </rPh>
    <rPh sb="10" eb="13">
      <t>セイショウネン</t>
    </rPh>
    <rPh sb="13" eb="15">
      <t>ジョセイ</t>
    </rPh>
    <rPh sb="15" eb="17">
      <t>カツドウ</t>
    </rPh>
    <rPh sb="17" eb="19">
      <t>キョウカイ</t>
    </rPh>
    <phoneticPr fontId="2"/>
  </si>
  <si>
    <t>　　理事長様</t>
    <rPh sb="2" eb="3">
      <t>リ</t>
    </rPh>
    <rPh sb="3" eb="4">
      <t>コト</t>
    </rPh>
    <rPh sb="4" eb="5">
      <t>チョウ</t>
    </rPh>
    <rPh sb="5" eb="6">
      <t>サマ</t>
    </rPh>
    <phoneticPr fontId="2"/>
  </si>
  <si>
    <t>代表者氏名</t>
    <rPh sb="0" eb="3">
      <t>ダイヒョウシャ</t>
    </rPh>
    <rPh sb="3" eb="5">
      <t>シメイ</t>
    </rPh>
    <phoneticPr fontId="2"/>
  </si>
  <si>
    <t>住　　　所</t>
    <rPh sb="0" eb="1">
      <t>ジュウ</t>
    </rPh>
    <rPh sb="4" eb="5">
      <t>ショ</t>
    </rPh>
    <phoneticPr fontId="2"/>
  </si>
  <si>
    <t>電　　　話</t>
    <rPh sb="0" eb="1">
      <t>デン</t>
    </rPh>
    <rPh sb="4" eb="5">
      <t>ハナシ</t>
    </rPh>
    <phoneticPr fontId="2"/>
  </si>
  <si>
    <t>　　札幌市青少年山の家を使用するにあたり、次の理由により使用料を減免（免除）願いたい</t>
    <rPh sb="2" eb="5">
      <t>サッポロシ</t>
    </rPh>
    <rPh sb="5" eb="8">
      <t>セイショウネン</t>
    </rPh>
    <rPh sb="8" eb="9">
      <t>ヤマ</t>
    </rPh>
    <rPh sb="10" eb="11">
      <t>イエ</t>
    </rPh>
    <rPh sb="12" eb="14">
      <t>シヨウ</t>
    </rPh>
    <rPh sb="21" eb="22">
      <t>ツギ</t>
    </rPh>
    <rPh sb="23" eb="25">
      <t>リユウ</t>
    </rPh>
    <rPh sb="28" eb="31">
      <t>シヨウリョウ</t>
    </rPh>
    <rPh sb="32" eb="34">
      <t>ゲンメン</t>
    </rPh>
    <rPh sb="35" eb="37">
      <t>メンジョ</t>
    </rPh>
    <rPh sb="38" eb="39">
      <t>ネガ</t>
    </rPh>
    <phoneticPr fontId="2"/>
  </si>
  <si>
    <t>　ので申請します。</t>
    <rPh sb="3" eb="5">
      <t>シンセイ</t>
    </rPh>
    <phoneticPr fontId="2"/>
  </si>
  <si>
    <t>　該当すると認められるので、使用料を減免したい。</t>
    <rPh sb="14" eb="17">
      <t>シヨウリョウ</t>
    </rPh>
    <rPh sb="18" eb="20">
      <t>ゲンメン</t>
    </rPh>
    <phoneticPr fontId="2"/>
  </si>
  <si>
    <t>〔使用料減免額〕</t>
    <rPh sb="1" eb="4">
      <t>シヨウリョウ</t>
    </rPh>
    <rPh sb="4" eb="6">
      <t>ゲンメン</t>
    </rPh>
    <rPh sb="6" eb="7">
      <t>ガク</t>
    </rPh>
    <phoneticPr fontId="2"/>
  </si>
  <si>
    <t>円</t>
    <rPh sb="0" eb="1">
      <t>エン</t>
    </rPh>
    <phoneticPr fontId="2"/>
  </si>
  <si>
    <t>＜内訳＞</t>
    <rPh sb="1" eb="3">
      <t>ウチワケ</t>
    </rPh>
    <phoneticPr fontId="2"/>
  </si>
  <si>
    <t>＠</t>
    <phoneticPr fontId="2"/>
  </si>
  <si>
    <t>係　長</t>
    <rPh sb="0" eb="1">
      <t>カカリ</t>
    </rPh>
    <rPh sb="2" eb="3">
      <t>チョウ</t>
    </rPh>
    <phoneticPr fontId="2"/>
  </si>
  <si>
    <t>利用日変更（取消）報告書</t>
    <rPh sb="0" eb="3">
      <t>リヨウビ</t>
    </rPh>
    <rPh sb="3" eb="5">
      <t>ヘンコウ</t>
    </rPh>
    <rPh sb="6" eb="8">
      <t>トリケシ</t>
    </rPh>
    <rPh sb="9" eb="12">
      <t>ホウコクショ</t>
    </rPh>
    <phoneticPr fontId="2"/>
  </si>
  <si>
    <t>10</t>
    <phoneticPr fontId="2"/>
  </si>
  <si>
    <t>札幌市立青少年山の家小学校</t>
    <phoneticPr fontId="2"/>
  </si>
  <si>
    <t>利用日変更</t>
    <rPh sb="0" eb="3">
      <t>リヨウビ</t>
    </rPh>
    <rPh sb="3" eb="5">
      <t>ヘンコウ</t>
    </rPh>
    <phoneticPr fontId="2"/>
  </si>
  <si>
    <t>について、下記のとおり報告します。</t>
    <rPh sb="5" eb="7">
      <t>カキ</t>
    </rPh>
    <rPh sb="11" eb="13">
      <t>ホウコク</t>
    </rPh>
    <phoneticPr fontId="2"/>
  </si>
  <si>
    <t>利用取消</t>
    <rPh sb="0" eb="2">
      <t>リヨウ</t>
    </rPh>
    <rPh sb="2" eb="4">
      <t>トリケシ</t>
    </rPh>
    <phoneticPr fontId="2"/>
  </si>
  <si>
    <t>１　変更・取消前利用予定日</t>
    <rPh sb="2" eb="4">
      <t>ヘンコウ</t>
    </rPh>
    <rPh sb="5" eb="7">
      <t>トリケシ</t>
    </rPh>
    <rPh sb="7" eb="8">
      <t>マエ</t>
    </rPh>
    <rPh sb="8" eb="10">
      <t>リヨウ</t>
    </rPh>
    <rPh sb="10" eb="13">
      <t>ヨテイビ</t>
    </rPh>
    <phoneticPr fontId="2"/>
  </si>
  <si>
    <t>～</t>
    <phoneticPr fontId="2"/>
  </si>
  <si>
    <t>（</t>
    <phoneticPr fontId="2"/>
  </si>
  <si>
    <t>２　変更後利用予定日</t>
    <rPh sb="2" eb="4">
      <t>ヘンコウ</t>
    </rPh>
    <rPh sb="4" eb="5">
      <t>ゴ</t>
    </rPh>
    <rPh sb="5" eb="7">
      <t>リヨウ</t>
    </rPh>
    <rPh sb="7" eb="10">
      <t>ヨテイビ</t>
    </rPh>
    <phoneticPr fontId="2"/>
  </si>
  <si>
    <t>）</t>
    <phoneticPr fontId="2"/>
  </si>
  <si>
    <t>３　利用予定人数</t>
    <rPh sb="2" eb="4">
      <t>リヨウ</t>
    </rPh>
    <rPh sb="4" eb="6">
      <t>ヨテイ</t>
    </rPh>
    <rPh sb="6" eb="8">
      <t>ニンズウ</t>
    </rPh>
    <phoneticPr fontId="2"/>
  </si>
  <si>
    <t>４　変更・取消の理由</t>
    <rPh sb="2" eb="4">
      <t>ヘンコウ</t>
    </rPh>
    <rPh sb="5" eb="7">
      <t>トリケシ</t>
    </rPh>
    <rPh sb="8" eb="10">
      <t>リユウ</t>
    </rPh>
    <phoneticPr fontId="2"/>
  </si>
  <si>
    <t>　　インフルエンザ感染に伴う学年閉鎖のため、利用予定日変更を行いたい。</t>
    <rPh sb="9" eb="11">
      <t>カンセン</t>
    </rPh>
    <rPh sb="12" eb="13">
      <t>トモナ</t>
    </rPh>
    <rPh sb="14" eb="16">
      <t>ガクネン</t>
    </rPh>
    <rPh sb="16" eb="18">
      <t>ヘイサ</t>
    </rPh>
    <rPh sb="22" eb="24">
      <t>リヨウ</t>
    </rPh>
    <rPh sb="24" eb="27">
      <t>ヨテイビ</t>
    </rPh>
    <rPh sb="27" eb="29">
      <t>ヘンコウ</t>
    </rPh>
    <rPh sb="30" eb="31">
      <t>オコナ</t>
    </rPh>
    <phoneticPr fontId="2"/>
  </si>
  <si>
    <t>団体名</t>
    <rPh sb="0" eb="2">
      <t>ダンタイ</t>
    </rPh>
    <rPh sb="2" eb="3">
      <t>メイ</t>
    </rPh>
    <phoneticPr fontId="2"/>
  </si>
  <si>
    <t>→</t>
    <phoneticPr fontId="2"/>
  </si>
  <si>
    <t>→</t>
    <phoneticPr fontId="2"/>
  </si>
  <si>
    <t>№</t>
    <phoneticPr fontId="2"/>
  </si>
  <si>
    <t>／</t>
    <phoneticPr fontId="2"/>
  </si>
  <si>
    <t>）</t>
    <phoneticPr fontId="2"/>
  </si>
  <si>
    <t>）</t>
    <phoneticPr fontId="2"/>
  </si>
  <si>
    <t>～</t>
    <phoneticPr fontId="2"/>
  </si>
  <si>
    <t>はじめにお読みください</t>
    <rPh sb="5" eb="6">
      <t>ヨ</t>
    </rPh>
    <phoneticPr fontId="4"/>
  </si>
  <si>
    <t>　　　　各シートの</t>
    <rPh sb="4" eb="5">
      <t>カク</t>
    </rPh>
    <phoneticPr fontId="4"/>
  </si>
  <si>
    <t>炊事判定</t>
  </si>
  <si>
    <t>ソート用データ</t>
  </si>
  <si>
    <t>期日</t>
  </si>
  <si>
    <t>昼</t>
  </si>
  <si>
    <t>夕</t>
  </si>
  <si>
    <t>朝</t>
  </si>
  <si>
    <t>メニュー</t>
  </si>
  <si>
    <t>人数</t>
  </si>
  <si>
    <t>班合計人数</t>
  </si>
  <si>
    <t>▼食堂食▼</t>
  </si>
  <si>
    <t>食堂</t>
  </si>
  <si>
    <t>▼時機▼</t>
  </si>
  <si>
    <t>通常食</t>
  </si>
  <si>
    <t>カレーライス</t>
  </si>
  <si>
    <t>携帯食</t>
  </si>
  <si>
    <t>日</t>
  </si>
  <si>
    <t>月</t>
    <rPh sb="0" eb="1">
      <t>ゲツ</t>
    </rPh>
    <phoneticPr fontId="7"/>
  </si>
  <si>
    <t>火</t>
    <rPh sb="0" eb="1">
      <t>ヒ</t>
    </rPh>
    <phoneticPr fontId="7"/>
  </si>
  <si>
    <t>木</t>
    <rPh sb="0" eb="1">
      <t>モク</t>
    </rPh>
    <phoneticPr fontId="7"/>
  </si>
  <si>
    <t>朝　食</t>
    <rPh sb="0" eb="1">
      <t>アサ</t>
    </rPh>
    <rPh sb="2" eb="3">
      <t>ショク</t>
    </rPh>
    <phoneticPr fontId="26"/>
  </si>
  <si>
    <t>昼　食</t>
    <rPh sb="0" eb="1">
      <t>ヒル</t>
    </rPh>
    <rPh sb="2" eb="3">
      <t>ショク</t>
    </rPh>
    <phoneticPr fontId="26"/>
  </si>
  <si>
    <t>夕　食</t>
    <rPh sb="0" eb="1">
      <t>ユウ</t>
    </rPh>
    <rPh sb="2" eb="3">
      <t>ショク</t>
    </rPh>
    <phoneticPr fontId="26"/>
  </si>
  <si>
    <t>場所</t>
    <rPh sb="0" eb="2">
      <t>バショ</t>
    </rPh>
    <phoneticPr fontId="2"/>
  </si>
  <si>
    <t>メニュー</t>
    <phoneticPr fontId="26"/>
  </si>
  <si>
    <t>炊事合計人数</t>
    <rPh sb="0" eb="2">
      <t>スイジ</t>
    </rPh>
    <rPh sb="2" eb="4">
      <t>ゴウケイ</t>
    </rPh>
    <rPh sb="4" eb="6">
      <t>ニンズウ</t>
    </rPh>
    <phoneticPr fontId="26"/>
  </si>
  <si>
    <t>炊事半数</t>
    <rPh sb="0" eb="2">
      <t>スイジ</t>
    </rPh>
    <rPh sb="2" eb="4">
      <t>ハンスウ</t>
    </rPh>
    <phoneticPr fontId="26"/>
  </si>
  <si>
    <t>人数報告用紙転載用ソートデータ</t>
    <rPh sb="0" eb="2">
      <t>ニンズウ</t>
    </rPh>
    <rPh sb="2" eb="4">
      <t>ホウコク</t>
    </rPh>
    <rPh sb="4" eb="6">
      <t>ヨウシ</t>
    </rPh>
    <rPh sb="6" eb="8">
      <t>テンサイ</t>
    </rPh>
    <rPh sb="8" eb="9">
      <t>ヨウ</t>
    </rPh>
    <phoneticPr fontId="26"/>
  </si>
  <si>
    <t>期日</t>
    <rPh sb="0" eb="2">
      <t>キジツ</t>
    </rPh>
    <phoneticPr fontId="26"/>
  </si>
  <si>
    <t>時機</t>
    <rPh sb="0" eb="2">
      <t>ジキ</t>
    </rPh>
    <phoneticPr fontId="26"/>
  </si>
  <si>
    <t>人数</t>
    <rPh sb="0" eb="2">
      <t>ニンズウ</t>
    </rPh>
    <phoneticPr fontId="26"/>
  </si>
  <si>
    <t>幼児</t>
    <rPh sb="0" eb="2">
      <t>ヨウジ</t>
    </rPh>
    <phoneticPr fontId="26"/>
  </si>
  <si>
    <t>小学生</t>
    <rPh sb="0" eb="3">
      <t>ショウガクセイ</t>
    </rPh>
    <phoneticPr fontId="26"/>
  </si>
  <si>
    <t>食堂以外</t>
    <rPh sb="0" eb="2">
      <t>ショクドウ</t>
    </rPh>
    <rPh sb="2" eb="4">
      <t>イガイ</t>
    </rPh>
    <phoneticPr fontId="26"/>
  </si>
  <si>
    <t>中学生以上</t>
    <rPh sb="0" eb="3">
      <t>チュウガクセイ</t>
    </rPh>
    <rPh sb="3" eb="5">
      <t>イジョウ</t>
    </rPh>
    <phoneticPr fontId="26"/>
  </si>
  <si>
    <t>料金</t>
    <rPh sb="0" eb="2">
      <t>リョウキン</t>
    </rPh>
    <phoneticPr fontId="26"/>
  </si>
  <si>
    <t>人数報告書メニュー名</t>
    <rPh sb="0" eb="2">
      <t>ニンズウ</t>
    </rPh>
    <rPh sb="2" eb="5">
      <t>ホウコクショ</t>
    </rPh>
    <rPh sb="9" eb="10">
      <t>メイ</t>
    </rPh>
    <phoneticPr fontId="26"/>
  </si>
  <si>
    <t>判定＆ソート用データ</t>
    <rPh sb="0" eb="2">
      <t>ハンテイ</t>
    </rPh>
    <rPh sb="6" eb="7">
      <t>ヨウ</t>
    </rPh>
    <phoneticPr fontId="26"/>
  </si>
  <si>
    <t>メニュー判定用</t>
    <rPh sb="4" eb="7">
      <t>ハンテイヨウ</t>
    </rPh>
    <phoneticPr fontId="26"/>
  </si>
  <si>
    <t>昼　食通常食幼児</t>
    <rPh sb="0" eb="1">
      <t>ヒル</t>
    </rPh>
    <rPh sb="2" eb="3">
      <t>ショク</t>
    </rPh>
    <rPh sb="3" eb="5">
      <t>ツウジョウ</t>
    </rPh>
    <rPh sb="5" eb="6">
      <t>ショク</t>
    </rPh>
    <rPh sb="6" eb="8">
      <t>ヨウジ</t>
    </rPh>
    <phoneticPr fontId="26"/>
  </si>
  <si>
    <t>昼　食通常食小学生</t>
    <rPh sb="0" eb="1">
      <t>ヒル</t>
    </rPh>
    <rPh sb="2" eb="3">
      <t>ショク</t>
    </rPh>
    <rPh sb="3" eb="5">
      <t>ツウジョウ</t>
    </rPh>
    <rPh sb="5" eb="6">
      <t>ショク</t>
    </rPh>
    <rPh sb="6" eb="9">
      <t>ショウガクセイ</t>
    </rPh>
    <phoneticPr fontId="26"/>
  </si>
  <si>
    <t>昼　食通常食中学生以上</t>
    <rPh sb="0" eb="1">
      <t>ヒル</t>
    </rPh>
    <rPh sb="2" eb="3">
      <t>ショク</t>
    </rPh>
    <rPh sb="3" eb="5">
      <t>ツウジョウ</t>
    </rPh>
    <rPh sb="5" eb="6">
      <t>ショク</t>
    </rPh>
    <rPh sb="6" eb="9">
      <t>チュウガクセイ</t>
    </rPh>
    <rPh sb="9" eb="11">
      <t>イジョウ</t>
    </rPh>
    <phoneticPr fontId="26"/>
  </si>
  <si>
    <t>夕　食通常食幼児</t>
    <rPh sb="0" eb="1">
      <t>ユウ</t>
    </rPh>
    <rPh sb="2" eb="3">
      <t>ショク</t>
    </rPh>
    <rPh sb="3" eb="5">
      <t>ツウジョウ</t>
    </rPh>
    <rPh sb="5" eb="6">
      <t>ショク</t>
    </rPh>
    <rPh sb="6" eb="8">
      <t>ヨウジ</t>
    </rPh>
    <phoneticPr fontId="26"/>
  </si>
  <si>
    <t>夕　食通常食小学生</t>
    <rPh sb="0" eb="1">
      <t>ユウ</t>
    </rPh>
    <rPh sb="2" eb="3">
      <t>ショク</t>
    </rPh>
    <rPh sb="3" eb="5">
      <t>ツウジョウ</t>
    </rPh>
    <rPh sb="5" eb="6">
      <t>ショク</t>
    </rPh>
    <rPh sb="6" eb="9">
      <t>ショウガクセイ</t>
    </rPh>
    <phoneticPr fontId="26"/>
  </si>
  <si>
    <t>夕　食通常食中学生以上</t>
    <rPh sb="0" eb="1">
      <t>ユウ</t>
    </rPh>
    <rPh sb="2" eb="3">
      <t>ショク</t>
    </rPh>
    <rPh sb="3" eb="5">
      <t>ツウジョウ</t>
    </rPh>
    <rPh sb="5" eb="6">
      <t>ショク</t>
    </rPh>
    <rPh sb="6" eb="9">
      <t>チュウガクセイ</t>
    </rPh>
    <rPh sb="9" eb="11">
      <t>イジョウ</t>
    </rPh>
    <phoneticPr fontId="26"/>
  </si>
  <si>
    <t>朝　食通常食幼児</t>
    <rPh sb="0" eb="1">
      <t>アサ</t>
    </rPh>
    <rPh sb="2" eb="3">
      <t>ショク</t>
    </rPh>
    <rPh sb="3" eb="5">
      <t>ツウジョウ</t>
    </rPh>
    <rPh sb="5" eb="6">
      <t>ショク</t>
    </rPh>
    <rPh sb="6" eb="8">
      <t>ヨウジ</t>
    </rPh>
    <phoneticPr fontId="26"/>
  </si>
  <si>
    <t>朝　食通常食小学生</t>
    <rPh sb="0" eb="1">
      <t>アサ</t>
    </rPh>
    <rPh sb="2" eb="3">
      <t>ショク</t>
    </rPh>
    <rPh sb="3" eb="5">
      <t>ツウジョウ</t>
    </rPh>
    <rPh sb="5" eb="6">
      <t>ショク</t>
    </rPh>
    <rPh sb="6" eb="9">
      <t>ショウガクセイ</t>
    </rPh>
    <phoneticPr fontId="26"/>
  </si>
  <si>
    <t>朝　食通常食中学生以上</t>
    <rPh sb="0" eb="1">
      <t>アサ</t>
    </rPh>
    <rPh sb="2" eb="3">
      <t>ショク</t>
    </rPh>
    <rPh sb="3" eb="5">
      <t>ツウジョウ</t>
    </rPh>
    <rPh sb="5" eb="6">
      <t>ショク</t>
    </rPh>
    <rPh sb="6" eb="9">
      <t>チュウガクセイ</t>
    </rPh>
    <rPh sb="9" eb="11">
      <t>イジョウ</t>
    </rPh>
    <phoneticPr fontId="26"/>
  </si>
  <si>
    <t>単価</t>
    <rPh sb="0" eb="2">
      <t>タンカ</t>
    </rPh>
    <phoneticPr fontId="26"/>
  </si>
  <si>
    <t>総数</t>
    <rPh sb="0" eb="2">
      <t>ソウスウ</t>
    </rPh>
    <phoneticPr fontId="26"/>
  </si>
  <si>
    <t>小計</t>
    <rPh sb="0" eb="1">
      <t>ショウ</t>
    </rPh>
    <rPh sb="1" eb="2">
      <t>ケイ</t>
    </rPh>
    <phoneticPr fontId="26"/>
  </si>
  <si>
    <t>ソート用データ</t>
    <rPh sb="3" eb="4">
      <t>ヨウ</t>
    </rPh>
    <phoneticPr fontId="26"/>
  </si>
  <si>
    <t>時機（略）</t>
    <rPh sb="0" eb="2">
      <t>ジキ</t>
    </rPh>
    <rPh sb="3" eb="4">
      <t>リャク</t>
    </rPh>
    <phoneticPr fontId="26"/>
  </si>
  <si>
    <t>日</t>
    <phoneticPr fontId="26"/>
  </si>
  <si>
    <t>引率割引適用者
（４才～小・中学生）</t>
    <rPh sb="0" eb="2">
      <t>インソツ</t>
    </rPh>
    <rPh sb="2" eb="4">
      <t>ワリビキ</t>
    </rPh>
    <rPh sb="4" eb="6">
      <t>テキヨウ</t>
    </rPh>
    <rPh sb="6" eb="7">
      <t>シャ</t>
    </rPh>
    <rPh sb="7" eb="8">
      <t>テキシャ</t>
    </rPh>
    <rPh sb="10" eb="11">
      <t>サイ</t>
    </rPh>
    <rPh sb="12" eb="13">
      <t>ショウ</t>
    </rPh>
    <rPh sb="14" eb="17">
      <t>チュウガクセイ</t>
    </rPh>
    <phoneticPr fontId="20"/>
  </si>
  <si>
    <t>110</t>
    <phoneticPr fontId="2"/>
  </si>
  <si>
    <t>金</t>
    <rPh sb="0" eb="1">
      <t>キン</t>
    </rPh>
    <phoneticPr fontId="7"/>
  </si>
  <si>
    <t>札幌市青少年山の家　【 利用者名簿】</t>
    <phoneticPr fontId="2"/>
  </si>
  <si>
    <t>Ｎｏ．</t>
    <phoneticPr fontId="2"/>
  </si>
  <si>
    <t>a</t>
    <phoneticPr fontId="2"/>
  </si>
  <si>
    <t>（</t>
    <phoneticPr fontId="2"/>
  </si>
  <si>
    <t>）</t>
    <phoneticPr fontId="2"/>
  </si>
  <si>
    <t>）</t>
    <phoneticPr fontId="2"/>
  </si>
  <si>
    <t>～</t>
    <phoneticPr fontId="2"/>
  </si>
  <si>
    <t>b</t>
    <phoneticPr fontId="2"/>
  </si>
  <si>
    <t>c</t>
    <phoneticPr fontId="2"/>
  </si>
  <si>
    <t>d</t>
    <phoneticPr fontId="2"/>
  </si>
  <si>
    <t>№</t>
    <phoneticPr fontId="2"/>
  </si>
  <si>
    <t>№</t>
    <phoneticPr fontId="2"/>
  </si>
  <si>
    <t>e</t>
    <phoneticPr fontId="2"/>
  </si>
  <si>
    <t>f</t>
    <phoneticPr fontId="2"/>
  </si>
  <si>
    <t>g</t>
    <phoneticPr fontId="2"/>
  </si>
  <si>
    <t>h</t>
    <phoneticPr fontId="2"/>
  </si>
  <si>
    <t>i</t>
    <phoneticPr fontId="2"/>
  </si>
  <si>
    <t>札幌市青少年山の家　【 利用者名簿】</t>
    <phoneticPr fontId="2"/>
  </si>
  <si>
    <t>Ｎｏ．</t>
    <phoneticPr fontId="2"/>
  </si>
  <si>
    <t>（</t>
    <phoneticPr fontId="2"/>
  </si>
  <si>
    <t>～</t>
    <phoneticPr fontId="2"/>
  </si>
  <si>
    <t>№</t>
    <phoneticPr fontId="2"/>
  </si>
  <si>
    <t>Ｎｏ．</t>
    <phoneticPr fontId="2"/>
  </si>
  <si>
    <t>）</t>
    <phoneticPr fontId="2"/>
  </si>
  <si>
    <t>Ｎｏ．</t>
    <phoneticPr fontId="2"/>
  </si>
  <si>
    <t>（</t>
    <phoneticPr fontId="2"/>
  </si>
  <si>
    <t>）</t>
    <phoneticPr fontId="2"/>
  </si>
  <si>
    <t>（</t>
    <phoneticPr fontId="2"/>
  </si>
  <si>
    <t>Ｎｏ．</t>
    <phoneticPr fontId="2"/>
  </si>
  <si>
    <t>札幌市青少年山の家　【 利用者名簿】</t>
    <phoneticPr fontId="2"/>
  </si>
  <si>
    <t>Ｎｏ．</t>
    <phoneticPr fontId="2"/>
  </si>
  <si>
    <t>）</t>
    <phoneticPr fontId="2"/>
  </si>
  <si>
    <t>№</t>
    <phoneticPr fontId="2"/>
  </si>
  <si>
    <t>炊事</t>
    <phoneticPr fontId="26"/>
  </si>
  <si>
    <t>課　長</t>
    <rPh sb="0" eb="1">
      <t>カ</t>
    </rPh>
    <rPh sb="2" eb="3">
      <t>チョウ</t>
    </rPh>
    <phoneticPr fontId="2"/>
  </si>
  <si>
    <t>10</t>
    <phoneticPr fontId="7"/>
  </si>
  <si>
    <t>日</t>
    <rPh sb="0" eb="1">
      <t>ニチ</t>
    </rPh>
    <phoneticPr fontId="7"/>
  </si>
  <si>
    <t>▼クラフト（選択してください）▼</t>
    <rPh sb="6" eb="8">
      <t>センタク</t>
    </rPh>
    <phoneticPr fontId="2"/>
  </si>
  <si>
    <t>水</t>
    <rPh sb="0" eb="1">
      <t>ミズ</t>
    </rPh>
    <phoneticPr fontId="7"/>
  </si>
  <si>
    <t>土</t>
    <rPh sb="0" eb="1">
      <t>ド</t>
    </rPh>
    <phoneticPr fontId="7"/>
  </si>
  <si>
    <t>減免区分</t>
    <rPh sb="0" eb="2">
      <t>ゲンメン</t>
    </rPh>
    <rPh sb="2" eb="4">
      <t>クブン</t>
    </rPh>
    <phoneticPr fontId="7"/>
  </si>
  <si>
    <t>準</t>
    <rPh sb="0" eb="1">
      <t>ジュン</t>
    </rPh>
    <phoneticPr fontId="7"/>
  </si>
  <si>
    <t>特</t>
    <rPh sb="0" eb="1">
      <t>トク</t>
    </rPh>
    <phoneticPr fontId="7"/>
  </si>
  <si>
    <t>身</t>
    <rPh sb="0" eb="1">
      <t>ミ</t>
    </rPh>
    <phoneticPr fontId="7"/>
  </si>
  <si>
    <t>療</t>
    <rPh sb="0" eb="1">
      <t>リョウ</t>
    </rPh>
    <phoneticPr fontId="7"/>
  </si>
  <si>
    <t>精</t>
    <rPh sb="0" eb="1">
      <t>セイ</t>
    </rPh>
    <phoneticPr fontId="7"/>
  </si>
  <si>
    <t>療</t>
    <rPh sb="0" eb="1">
      <t>リョウ</t>
    </rPh>
    <phoneticPr fontId="2"/>
  </si>
  <si>
    <t>精</t>
    <rPh sb="0" eb="1">
      <t>セイ</t>
    </rPh>
    <phoneticPr fontId="2"/>
  </si>
  <si>
    <t>介</t>
    <rPh sb="0" eb="1">
      <t>スケ</t>
    </rPh>
    <phoneticPr fontId="2"/>
  </si>
  <si>
    <t>準・特</t>
    <rPh sb="0" eb="1">
      <t>ジュン</t>
    </rPh>
    <rPh sb="2" eb="3">
      <t>トク</t>
    </rPh>
    <phoneticPr fontId="7"/>
  </si>
  <si>
    <t>準・身</t>
    <rPh sb="0" eb="1">
      <t>ジュン</t>
    </rPh>
    <rPh sb="2" eb="3">
      <t>ミ</t>
    </rPh>
    <phoneticPr fontId="7"/>
  </si>
  <si>
    <t>準・療</t>
    <rPh sb="0" eb="1">
      <t>ジュン</t>
    </rPh>
    <rPh sb="2" eb="3">
      <t>リョウ</t>
    </rPh>
    <phoneticPr fontId="7"/>
  </si>
  <si>
    <t>準・精</t>
    <rPh sb="0" eb="1">
      <t>ジュン</t>
    </rPh>
    <rPh sb="2" eb="3">
      <t>セイ</t>
    </rPh>
    <phoneticPr fontId="7"/>
  </si>
  <si>
    <t>特・身</t>
    <rPh sb="0" eb="1">
      <t>トク</t>
    </rPh>
    <rPh sb="2" eb="3">
      <t>ミ</t>
    </rPh>
    <phoneticPr fontId="7"/>
  </si>
  <si>
    <t>特・療</t>
    <rPh sb="0" eb="1">
      <t>トク</t>
    </rPh>
    <rPh sb="2" eb="3">
      <t>リョウ</t>
    </rPh>
    <phoneticPr fontId="7"/>
  </si>
  <si>
    <t>特・精</t>
    <rPh sb="0" eb="1">
      <t>トク</t>
    </rPh>
    <rPh sb="2" eb="3">
      <t>セイ</t>
    </rPh>
    <phoneticPr fontId="7"/>
  </si>
  <si>
    <t>身・療</t>
    <rPh sb="0" eb="1">
      <t>ミ</t>
    </rPh>
    <rPh sb="2" eb="3">
      <t>リョウ</t>
    </rPh>
    <phoneticPr fontId="7"/>
  </si>
  <si>
    <t>身・精</t>
    <rPh sb="0" eb="1">
      <t>ミ</t>
    </rPh>
    <rPh sb="2" eb="3">
      <t>セイ</t>
    </rPh>
    <phoneticPr fontId="7"/>
  </si>
  <si>
    <t>療・精</t>
    <rPh sb="0" eb="1">
      <t>リョウ</t>
    </rPh>
    <rPh sb="2" eb="3">
      <t>セイ</t>
    </rPh>
    <phoneticPr fontId="7"/>
  </si>
  <si>
    <t>準・特・身</t>
    <rPh sb="0" eb="1">
      <t>ジュン</t>
    </rPh>
    <rPh sb="2" eb="3">
      <t>トク</t>
    </rPh>
    <rPh sb="4" eb="5">
      <t>ミ</t>
    </rPh>
    <phoneticPr fontId="7"/>
  </si>
  <si>
    <t>準・特・療</t>
    <rPh sb="0" eb="1">
      <t>ジュン</t>
    </rPh>
    <rPh sb="2" eb="3">
      <t>トク</t>
    </rPh>
    <rPh sb="4" eb="5">
      <t>リョウ</t>
    </rPh>
    <phoneticPr fontId="7"/>
  </si>
  <si>
    <t>準・特・精</t>
    <rPh sb="0" eb="1">
      <t>ジュン</t>
    </rPh>
    <rPh sb="2" eb="3">
      <t>トク</t>
    </rPh>
    <rPh sb="4" eb="5">
      <t>セイ</t>
    </rPh>
    <phoneticPr fontId="7"/>
  </si>
  <si>
    <t>準・身・療</t>
    <rPh sb="0" eb="1">
      <t>ジュン</t>
    </rPh>
    <rPh sb="2" eb="3">
      <t>ミ</t>
    </rPh>
    <rPh sb="4" eb="5">
      <t>リョウ</t>
    </rPh>
    <phoneticPr fontId="7"/>
  </si>
  <si>
    <t>準・身・精</t>
    <rPh sb="0" eb="1">
      <t>ジュン</t>
    </rPh>
    <rPh sb="2" eb="3">
      <t>ミ</t>
    </rPh>
    <rPh sb="4" eb="5">
      <t>セイ</t>
    </rPh>
    <phoneticPr fontId="7"/>
  </si>
  <si>
    <t>準・療・精</t>
    <rPh sb="0" eb="1">
      <t>ジュン</t>
    </rPh>
    <rPh sb="2" eb="3">
      <t>リョウ</t>
    </rPh>
    <rPh sb="4" eb="5">
      <t>セイ</t>
    </rPh>
    <phoneticPr fontId="7"/>
  </si>
  <si>
    <t>特・身・療</t>
    <rPh sb="0" eb="1">
      <t>トク</t>
    </rPh>
    <rPh sb="2" eb="3">
      <t>ミ</t>
    </rPh>
    <rPh sb="4" eb="5">
      <t>リョウ</t>
    </rPh>
    <phoneticPr fontId="7"/>
  </si>
  <si>
    <t>特・身・精</t>
    <rPh sb="0" eb="1">
      <t>トク</t>
    </rPh>
    <rPh sb="2" eb="3">
      <t>ミ</t>
    </rPh>
    <rPh sb="4" eb="5">
      <t>セイ</t>
    </rPh>
    <phoneticPr fontId="7"/>
  </si>
  <si>
    <t>身・療・精</t>
    <rPh sb="0" eb="1">
      <t>ミ</t>
    </rPh>
    <rPh sb="2" eb="3">
      <t>リョウ</t>
    </rPh>
    <rPh sb="4" eb="5">
      <t>セイ</t>
    </rPh>
    <phoneticPr fontId="7"/>
  </si>
  <si>
    <t>減免区分</t>
    <rPh sb="0" eb="2">
      <t>ゲンメン</t>
    </rPh>
    <rPh sb="2" eb="4">
      <t>クブン</t>
    </rPh>
    <phoneticPr fontId="2"/>
  </si>
  <si>
    <t>料金区分</t>
    <rPh sb="0" eb="2">
      <t>リョウキン</t>
    </rPh>
    <rPh sb="2" eb="4">
      <t>クブン</t>
    </rPh>
    <phoneticPr fontId="2"/>
  </si>
  <si>
    <t>料金区分</t>
    <rPh sb="0" eb="2">
      <t>リョウキン</t>
    </rPh>
    <rPh sb="2" eb="4">
      <t>クブン</t>
    </rPh>
    <phoneticPr fontId="7"/>
  </si>
  <si>
    <t>一</t>
    <rPh sb="0" eb="1">
      <t>イッ</t>
    </rPh>
    <phoneticPr fontId="7"/>
  </si>
  <si>
    <t>引</t>
    <rPh sb="0" eb="1">
      <t>イン</t>
    </rPh>
    <phoneticPr fontId="7"/>
  </si>
  <si>
    <t>中</t>
    <rPh sb="0" eb="1">
      <t>チュウ</t>
    </rPh>
    <phoneticPr fontId="7"/>
  </si>
  <si>
    <t>小</t>
    <rPh sb="0" eb="1">
      <t>ショウ</t>
    </rPh>
    <phoneticPr fontId="7"/>
  </si>
  <si>
    <t>介添</t>
    <rPh sb="0" eb="1">
      <t>スケ</t>
    </rPh>
    <rPh sb="1" eb="2">
      <t>ゾ</t>
    </rPh>
    <phoneticPr fontId="7"/>
  </si>
  <si>
    <t>合計</t>
    <rPh sb="0" eb="2">
      <t>ゴウケイ</t>
    </rPh>
    <phoneticPr fontId="7"/>
  </si>
  <si>
    <t>小</t>
    <rPh sb="0" eb="1">
      <t>ショウ</t>
    </rPh>
    <phoneticPr fontId="2"/>
  </si>
  <si>
    <t>延べ日数</t>
    <rPh sb="0" eb="1">
      <t>ノ</t>
    </rPh>
    <rPh sb="2" eb="4">
      <t>ニッスウ</t>
    </rPh>
    <phoneticPr fontId="7"/>
  </si>
  <si>
    <t>減免対象</t>
    <rPh sb="0" eb="2">
      <t>ゲンメン</t>
    </rPh>
    <rPh sb="2" eb="4">
      <t>タイショウ</t>
    </rPh>
    <phoneticPr fontId="7"/>
  </si>
  <si>
    <t>特・療・精</t>
    <rPh sb="0" eb="1">
      <t>トク</t>
    </rPh>
    <rPh sb="2" eb="3">
      <t>リョウ</t>
    </rPh>
    <rPh sb="4" eb="5">
      <t>セイ</t>
    </rPh>
    <phoneticPr fontId="7"/>
  </si>
  <si>
    <t>入園料減免</t>
    <rPh sb="0" eb="3">
      <t>ニュウエンリョウ</t>
    </rPh>
    <rPh sb="3" eb="5">
      <t>ゲンメン</t>
    </rPh>
    <phoneticPr fontId="7"/>
  </si>
  <si>
    <t>2day券判定</t>
    <rPh sb="4" eb="5">
      <t>ケン</t>
    </rPh>
    <rPh sb="5" eb="7">
      <t>ハンテイ</t>
    </rPh>
    <phoneticPr fontId="7"/>
  </si>
  <si>
    <t>中学生</t>
  </si>
  <si>
    <t>引率者</t>
  </si>
  <si>
    <t>一般</t>
    <rPh sb="0" eb="2">
      <t>イッパン</t>
    </rPh>
    <phoneticPr fontId="7"/>
  </si>
  <si>
    <t>延日数</t>
    <rPh sb="0" eb="1">
      <t>ノ</t>
    </rPh>
    <rPh sb="1" eb="3">
      <t>ニッスウ</t>
    </rPh>
    <phoneticPr fontId="7"/>
  </si>
  <si>
    <t>減免者・２DAY除く入園料計</t>
    <rPh sb="0" eb="2">
      <t>ゲンメン</t>
    </rPh>
    <rPh sb="2" eb="3">
      <t>シャ</t>
    </rPh>
    <rPh sb="8" eb="9">
      <t>ノゾ</t>
    </rPh>
    <rPh sb="10" eb="13">
      <t>ニュウエンリョウ</t>
    </rPh>
    <rPh sb="13" eb="14">
      <t>ケイ</t>
    </rPh>
    <phoneticPr fontId="7"/>
  </si>
  <si>
    <t>入園料　小計</t>
    <rPh sb="0" eb="3">
      <t>ニュウエンリョウ</t>
    </rPh>
    <rPh sb="4" eb="6">
      <t>ショウケイ</t>
    </rPh>
    <phoneticPr fontId="2"/>
  </si>
  <si>
    <t>　施設使用料　小計（円）</t>
    <rPh sb="1" eb="3">
      <t>シセツ</t>
    </rPh>
    <rPh sb="3" eb="5">
      <t>シヨウ</t>
    </rPh>
    <rPh sb="5" eb="6">
      <t>リョウ</t>
    </rPh>
    <rPh sb="7" eb="9">
      <t>ショウケイ</t>
    </rPh>
    <rPh sb="10" eb="11">
      <t>エン</t>
    </rPh>
    <phoneticPr fontId="2"/>
  </si>
  <si>
    <t>カレーライス</t>
    <phoneticPr fontId="2"/>
  </si>
  <si>
    <t>牛丼</t>
    <rPh sb="0" eb="2">
      <t>ギュウドン</t>
    </rPh>
    <phoneticPr fontId="2"/>
  </si>
  <si>
    <t>豚汁</t>
    <rPh sb="0" eb="1">
      <t>トン</t>
    </rPh>
    <rPh sb="1" eb="2">
      <t>ジル</t>
    </rPh>
    <phoneticPr fontId="2"/>
  </si>
  <si>
    <t>ホットドッグ</t>
    <phoneticPr fontId="2"/>
  </si>
  <si>
    <t>焼きそば</t>
    <rPh sb="0" eb="1">
      <t>ヤ</t>
    </rPh>
    <phoneticPr fontId="2"/>
  </si>
  <si>
    <t>薪</t>
    <rPh sb="0" eb="1">
      <t>マキ</t>
    </rPh>
    <phoneticPr fontId="2"/>
  </si>
  <si>
    <t>炭</t>
    <rPh sb="0" eb="1">
      <t>スミ</t>
    </rPh>
    <phoneticPr fontId="2"/>
  </si>
  <si>
    <t>①</t>
    <phoneticPr fontId="7"/>
  </si>
  <si>
    <t>②
丁目・番地</t>
    <rPh sb="2" eb="3">
      <t>チョウ</t>
    </rPh>
    <rPh sb="3" eb="4">
      <t>メ</t>
    </rPh>
    <rPh sb="5" eb="7">
      <t>バンチ</t>
    </rPh>
    <phoneticPr fontId="7"/>
  </si>
  <si>
    <t>欠席</t>
    <rPh sb="0" eb="2">
      <t>ケッセキ</t>
    </rPh>
    <phoneticPr fontId="7"/>
  </si>
  <si>
    <t>No.</t>
    <phoneticPr fontId="7"/>
  </si>
  <si>
    <t>宿泊</t>
    <rPh sb="0" eb="2">
      <t>シュクハク</t>
    </rPh>
    <phoneticPr fontId="7"/>
  </si>
  <si>
    <t>日帰り</t>
    <rPh sb="0" eb="2">
      <t>ヒガエ</t>
    </rPh>
    <phoneticPr fontId="7"/>
  </si>
  <si>
    <t>学校名</t>
    <rPh sb="0" eb="2">
      <t>ガッコウ</t>
    </rPh>
    <rPh sb="2" eb="3">
      <t>ガッコウメイ</t>
    </rPh>
    <phoneticPr fontId="20"/>
  </si>
  <si>
    <t>領　収
請求書３</t>
    <rPh sb="0" eb="1">
      <t>リョウ</t>
    </rPh>
    <rPh sb="2" eb="3">
      <t>オサム</t>
    </rPh>
    <rPh sb="4" eb="7">
      <t>セイキュウショ</t>
    </rPh>
    <phoneticPr fontId="2"/>
  </si>
  <si>
    <t>領   収
請求書２</t>
    <rPh sb="0" eb="1">
      <t>リョウ</t>
    </rPh>
    <rPh sb="4" eb="5">
      <t>オサム</t>
    </rPh>
    <rPh sb="6" eb="9">
      <t>セイキュウショ</t>
    </rPh>
    <phoneticPr fontId="20"/>
  </si>
  <si>
    <t>領   収
請求書１</t>
    <rPh sb="0" eb="1">
      <t>リョウ</t>
    </rPh>
    <rPh sb="4" eb="5">
      <t>オサム</t>
    </rPh>
    <rPh sb="6" eb="8">
      <t>セイキュウ</t>
    </rPh>
    <rPh sb="8" eb="9">
      <t>ショ</t>
    </rPh>
    <phoneticPr fontId="20"/>
  </si>
  <si>
    <t>領　収
請求書５</t>
    <rPh sb="0" eb="1">
      <t>リョウ</t>
    </rPh>
    <rPh sb="2" eb="3">
      <t>オサム</t>
    </rPh>
    <rPh sb="4" eb="7">
      <t>セイキュウショ</t>
    </rPh>
    <phoneticPr fontId="2"/>
  </si>
  <si>
    <t>領   収
請求書６</t>
    <rPh sb="0" eb="1">
      <t>リョウ</t>
    </rPh>
    <rPh sb="4" eb="5">
      <t>オサム</t>
    </rPh>
    <rPh sb="6" eb="9">
      <t>セイキュウショ</t>
    </rPh>
    <phoneticPr fontId="20"/>
  </si>
  <si>
    <t>領   収
請求書７</t>
    <rPh sb="0" eb="1">
      <t>リョウ</t>
    </rPh>
    <rPh sb="4" eb="5">
      <t>オサム</t>
    </rPh>
    <rPh sb="6" eb="9">
      <t>セイキュウショ</t>
    </rPh>
    <phoneticPr fontId="20"/>
  </si>
  <si>
    <t>人　数</t>
    <rPh sb="0" eb="1">
      <t>ヒト</t>
    </rPh>
    <rPh sb="2" eb="3">
      <t>スウ</t>
    </rPh>
    <phoneticPr fontId="2"/>
  </si>
  <si>
    <t>2day一般
（入園料用）</t>
    <rPh sb="4" eb="6">
      <t>イッパン</t>
    </rPh>
    <rPh sb="8" eb="10">
      <t>ニュウエン</t>
    </rPh>
    <rPh sb="10" eb="11">
      <t>リョウ</t>
    </rPh>
    <rPh sb="11" eb="12">
      <t>ヨウ</t>
    </rPh>
    <phoneticPr fontId="7"/>
  </si>
  <si>
    <t>2day一般
（施設使用料用）</t>
    <rPh sb="4" eb="6">
      <t>イッパン</t>
    </rPh>
    <rPh sb="8" eb="10">
      <t>シセツ</t>
    </rPh>
    <rPh sb="10" eb="12">
      <t>シヨウ</t>
    </rPh>
    <rPh sb="12" eb="13">
      <t>リョウ</t>
    </rPh>
    <rPh sb="13" eb="14">
      <t>ヨウ</t>
    </rPh>
    <phoneticPr fontId="7"/>
  </si>
  <si>
    <t>領収
請求書１</t>
    <rPh sb="0" eb="1">
      <t>リョウ</t>
    </rPh>
    <rPh sb="1" eb="2">
      <t>オサム</t>
    </rPh>
    <rPh sb="3" eb="5">
      <t>セイキュウ</t>
    </rPh>
    <rPh sb="5" eb="6">
      <t>ショ</t>
    </rPh>
    <phoneticPr fontId="20"/>
  </si>
  <si>
    <t>領収
請求書２</t>
    <rPh sb="0" eb="1">
      <t>リョウ</t>
    </rPh>
    <rPh sb="1" eb="2">
      <t>オサム</t>
    </rPh>
    <rPh sb="3" eb="5">
      <t>セイキュウ</t>
    </rPh>
    <rPh sb="5" eb="6">
      <t>ショ</t>
    </rPh>
    <phoneticPr fontId="20"/>
  </si>
  <si>
    <t>領収
請求書３</t>
    <rPh sb="0" eb="1">
      <t>リョウ</t>
    </rPh>
    <rPh sb="1" eb="2">
      <t>オサム</t>
    </rPh>
    <rPh sb="3" eb="5">
      <t>セイキュウ</t>
    </rPh>
    <rPh sb="5" eb="6">
      <t>ショ</t>
    </rPh>
    <phoneticPr fontId="20"/>
  </si>
  <si>
    <t>領収
請求書４</t>
    <rPh sb="0" eb="1">
      <t>リョウ</t>
    </rPh>
    <rPh sb="1" eb="2">
      <t>オサム</t>
    </rPh>
    <rPh sb="3" eb="5">
      <t>セイキュウ</t>
    </rPh>
    <rPh sb="5" eb="6">
      <t>ショ</t>
    </rPh>
    <phoneticPr fontId="20"/>
  </si>
  <si>
    <t>食事代　小計</t>
    <rPh sb="0" eb="3">
      <t>ショクジダイ</t>
    </rPh>
    <rPh sb="4" eb="6">
      <t>ショウケイ</t>
    </rPh>
    <phoneticPr fontId="2"/>
  </si>
  <si>
    <t>その他料金　小計</t>
    <rPh sb="2" eb="3">
      <t>タ</t>
    </rPh>
    <rPh sb="3" eb="5">
      <t>リョウキン</t>
    </rPh>
    <rPh sb="6" eb="8">
      <t>ショウケイ</t>
    </rPh>
    <phoneticPr fontId="2"/>
  </si>
  <si>
    <t>2day一般
介添</t>
    <rPh sb="4" eb="6">
      <t>イッパン</t>
    </rPh>
    <rPh sb="7" eb="9">
      <t>カイゾエ</t>
    </rPh>
    <phoneticPr fontId="7"/>
  </si>
  <si>
    <t>施設使用料日帰合計延日数</t>
    <rPh sb="0" eb="2">
      <t>シセツ</t>
    </rPh>
    <rPh sb="2" eb="4">
      <t>シヨウ</t>
    </rPh>
    <rPh sb="4" eb="5">
      <t>リョウ</t>
    </rPh>
    <rPh sb="5" eb="7">
      <t>ヒガエ</t>
    </rPh>
    <rPh sb="7" eb="9">
      <t>ゴウケイ</t>
    </rPh>
    <rPh sb="9" eb="10">
      <t>ノ</t>
    </rPh>
    <rPh sb="10" eb="12">
      <t>ニッスウ</t>
    </rPh>
    <phoneticPr fontId="2"/>
  </si>
  <si>
    <t>施設使用料宿泊合計延日数</t>
    <rPh sb="0" eb="2">
      <t>シセツ</t>
    </rPh>
    <rPh sb="2" eb="4">
      <t>シヨウ</t>
    </rPh>
    <rPh sb="4" eb="5">
      <t>リョウ</t>
    </rPh>
    <rPh sb="5" eb="7">
      <t>シュクハク</t>
    </rPh>
    <rPh sb="7" eb="9">
      <t>ゴウケイ</t>
    </rPh>
    <rPh sb="9" eb="10">
      <t>ノ</t>
    </rPh>
    <rPh sb="10" eb="12">
      <t>ニッスウ</t>
    </rPh>
    <phoneticPr fontId="7"/>
  </si>
  <si>
    <t>領収
請求書５</t>
    <rPh sb="0" eb="1">
      <t>リョウ</t>
    </rPh>
    <rPh sb="1" eb="2">
      <t>オサム</t>
    </rPh>
    <rPh sb="3" eb="5">
      <t>セイキュウ</t>
    </rPh>
    <rPh sb="5" eb="6">
      <t>ショ</t>
    </rPh>
    <phoneticPr fontId="20"/>
  </si>
  <si>
    <t>領収
請求書６</t>
    <phoneticPr fontId="2"/>
  </si>
  <si>
    <t>領収
請求書７</t>
    <phoneticPr fontId="2"/>
  </si>
  <si>
    <t>人　　数</t>
    <phoneticPr fontId="2"/>
  </si>
  <si>
    <t>総合計　①　※クラフト無し</t>
    <rPh sb="0" eb="1">
      <t>ソウ</t>
    </rPh>
    <rPh sb="1" eb="2">
      <t>ゴウ</t>
    </rPh>
    <rPh sb="11" eb="12">
      <t>ナ</t>
    </rPh>
    <phoneticPr fontId="2"/>
  </si>
  <si>
    <t>総合計①-入園料</t>
    <rPh sb="0" eb="1">
      <t>ソウ</t>
    </rPh>
    <rPh sb="1" eb="2">
      <t>ゴウ</t>
    </rPh>
    <rPh sb="5" eb="7">
      <t>ニュウエン</t>
    </rPh>
    <rPh sb="7" eb="8">
      <t>リョウ</t>
    </rPh>
    <phoneticPr fontId="2"/>
  </si>
  <si>
    <t>総合計②-入園料</t>
    <rPh sb="0" eb="1">
      <t>ソウ</t>
    </rPh>
    <rPh sb="1" eb="2">
      <t>ゴウ</t>
    </rPh>
    <rPh sb="5" eb="8">
      <t>ニュウエンリョウ</t>
    </rPh>
    <phoneticPr fontId="2"/>
  </si>
  <si>
    <t>総合計　①'　※クラフト有り</t>
    <rPh sb="0" eb="1">
      <t>ソウ</t>
    </rPh>
    <rPh sb="1" eb="3">
      <t>ゴウケイ</t>
    </rPh>
    <rPh sb="12" eb="13">
      <t>アリ</t>
    </rPh>
    <phoneticPr fontId="2"/>
  </si>
  <si>
    <t>←郵便番号はハイフンなし【半角】で入力してください</t>
    <rPh sb="1" eb="5">
      <t>ユウビンバンゴウ</t>
    </rPh>
    <rPh sb="17" eb="19">
      <t>ニュウリョク</t>
    </rPh>
    <phoneticPr fontId="7"/>
  </si>
  <si>
    <t>月</t>
    <rPh sb="0" eb="1">
      <t>ゲツ</t>
    </rPh>
    <phoneticPr fontId="7"/>
  </si>
  <si>
    <t>火</t>
    <rPh sb="0" eb="1">
      <t>カ</t>
    </rPh>
    <phoneticPr fontId="7"/>
  </si>
  <si>
    <t>水</t>
    <rPh sb="0" eb="1">
      <t>スイ</t>
    </rPh>
    <phoneticPr fontId="7"/>
  </si>
  <si>
    <t>木</t>
  </si>
  <si>
    <t>金</t>
  </si>
  <si>
    <t>土</t>
  </si>
  <si>
    <t>小・日帰</t>
    <rPh sb="0" eb="1">
      <t>ショウ</t>
    </rPh>
    <rPh sb="2" eb="4">
      <t>ヒガエ</t>
    </rPh>
    <phoneticPr fontId="7"/>
  </si>
  <si>
    <t>小・宿泊</t>
    <rPh sb="0" eb="1">
      <t>ショウ</t>
    </rPh>
    <rPh sb="2" eb="4">
      <t>シュクハク</t>
    </rPh>
    <phoneticPr fontId="7"/>
  </si>
  <si>
    <t>中・宿泊</t>
    <rPh sb="0" eb="1">
      <t>チュウ</t>
    </rPh>
    <rPh sb="2" eb="4">
      <t>シュクハク</t>
    </rPh>
    <phoneticPr fontId="7"/>
  </si>
  <si>
    <t>中・日帰</t>
    <rPh sb="0" eb="1">
      <t>チュウ</t>
    </rPh>
    <rPh sb="2" eb="4">
      <t>ヒガエ</t>
    </rPh>
    <phoneticPr fontId="7"/>
  </si>
  <si>
    <t>引・宿泊</t>
    <rPh sb="0" eb="1">
      <t>イン</t>
    </rPh>
    <rPh sb="2" eb="4">
      <t>シュクハク</t>
    </rPh>
    <phoneticPr fontId="7"/>
  </si>
  <si>
    <t>引率・日帰</t>
    <rPh sb="0" eb="2">
      <t>インソツ</t>
    </rPh>
    <rPh sb="3" eb="5">
      <t>ヒガエ</t>
    </rPh>
    <phoneticPr fontId="7"/>
  </si>
  <si>
    <t>一般・宿泊</t>
    <rPh sb="0" eb="2">
      <t>イッパン</t>
    </rPh>
    <rPh sb="3" eb="5">
      <t>シュクハク</t>
    </rPh>
    <phoneticPr fontId="7"/>
  </si>
  <si>
    <t>一般・日帰</t>
    <rPh sb="0" eb="2">
      <t>イッパン</t>
    </rPh>
    <rPh sb="3" eb="5">
      <t>ヒガエ</t>
    </rPh>
    <phoneticPr fontId="7"/>
  </si>
  <si>
    <t>減免なし</t>
    <rPh sb="0" eb="2">
      <t>ゲンメン</t>
    </rPh>
    <phoneticPr fontId="7"/>
  </si>
  <si>
    <t>小・泊</t>
    <rPh sb="0" eb="1">
      <t>ショウ</t>
    </rPh>
    <rPh sb="2" eb="3">
      <t>ハク</t>
    </rPh>
    <phoneticPr fontId="7"/>
  </si>
  <si>
    <t>小・日帰</t>
    <rPh sb="0" eb="1">
      <t>ショウ</t>
    </rPh>
    <rPh sb="2" eb="4">
      <t>ヒガエ</t>
    </rPh>
    <phoneticPr fontId="7"/>
  </si>
  <si>
    <t>中・泊</t>
    <rPh sb="0" eb="1">
      <t>チュウ</t>
    </rPh>
    <rPh sb="2" eb="3">
      <t>ハク</t>
    </rPh>
    <phoneticPr fontId="7"/>
  </si>
  <si>
    <t>中・日帰</t>
    <rPh sb="0" eb="1">
      <t>チュウ</t>
    </rPh>
    <rPh sb="2" eb="4">
      <t>ヒガエ</t>
    </rPh>
    <phoneticPr fontId="7"/>
  </si>
  <si>
    <t>引・泊</t>
    <rPh sb="0" eb="1">
      <t>イン</t>
    </rPh>
    <phoneticPr fontId="7"/>
  </si>
  <si>
    <t>引・日帰</t>
    <rPh sb="0" eb="1">
      <t>イン</t>
    </rPh>
    <rPh sb="2" eb="4">
      <t>ヒガエ</t>
    </rPh>
    <phoneticPr fontId="7"/>
  </si>
  <si>
    <t>一般・日帰</t>
    <rPh sb="0" eb="2">
      <t>イッパン</t>
    </rPh>
    <rPh sb="3" eb="5">
      <t>ヒガエ</t>
    </rPh>
    <phoneticPr fontId="7"/>
  </si>
  <si>
    <t>一般・泊</t>
    <rPh sb="0" eb="2">
      <t>イッパン</t>
    </rPh>
    <rPh sb="3" eb="4">
      <t>ハク</t>
    </rPh>
    <phoneticPr fontId="7"/>
  </si>
  <si>
    <t>ソート用No</t>
    <rPh sb="3" eb="4">
      <t>ヨウ</t>
    </rPh>
    <phoneticPr fontId="7"/>
  </si>
  <si>
    <t>利用区分</t>
    <rPh sb="0" eb="2">
      <t>リヨウ</t>
    </rPh>
    <rPh sb="2" eb="4">
      <t>クブン</t>
    </rPh>
    <phoneticPr fontId="7"/>
  </si>
  <si>
    <t>利用者数</t>
    <rPh sb="0" eb="2">
      <t>リヨウ</t>
    </rPh>
    <rPh sb="2" eb="3">
      <t>シャ</t>
    </rPh>
    <rPh sb="3" eb="4">
      <t>スウ</t>
    </rPh>
    <phoneticPr fontId="7"/>
  </si>
  <si>
    <t>小泊/</t>
    <rPh sb="0" eb="1">
      <t>ショウ</t>
    </rPh>
    <rPh sb="1" eb="2">
      <t>トマリ</t>
    </rPh>
    <phoneticPr fontId="7"/>
  </si>
  <si>
    <t>小日帰/</t>
    <rPh sb="0" eb="1">
      <t>ショウ</t>
    </rPh>
    <rPh sb="1" eb="3">
      <t>ヒガエ</t>
    </rPh>
    <phoneticPr fontId="7"/>
  </si>
  <si>
    <t>中泊/</t>
    <rPh sb="0" eb="1">
      <t>チュウ</t>
    </rPh>
    <rPh sb="1" eb="2">
      <t>ハク</t>
    </rPh>
    <phoneticPr fontId="7"/>
  </si>
  <si>
    <t>中日帰/</t>
    <rPh sb="0" eb="1">
      <t>チュウ</t>
    </rPh>
    <rPh sb="1" eb="3">
      <t>ヒガエ</t>
    </rPh>
    <phoneticPr fontId="7"/>
  </si>
  <si>
    <t>引泊/</t>
    <rPh sb="0" eb="1">
      <t>イン</t>
    </rPh>
    <rPh sb="1" eb="2">
      <t>ハク</t>
    </rPh>
    <phoneticPr fontId="7"/>
  </si>
  <si>
    <t>引日帰/</t>
    <rPh sb="0" eb="1">
      <t>イン</t>
    </rPh>
    <rPh sb="1" eb="3">
      <t>ヒガエ</t>
    </rPh>
    <phoneticPr fontId="7"/>
  </si>
  <si>
    <t>一般泊/</t>
    <rPh sb="0" eb="2">
      <t>イッパン</t>
    </rPh>
    <rPh sb="2" eb="3">
      <t>ハク</t>
    </rPh>
    <phoneticPr fontId="7"/>
  </si>
  <si>
    <t>一般日帰/</t>
    <rPh sb="0" eb="2">
      <t>イッパン</t>
    </rPh>
    <rPh sb="2" eb="3">
      <t>ニチ</t>
    </rPh>
    <rPh sb="3" eb="4">
      <t>カエ</t>
    </rPh>
    <phoneticPr fontId="7"/>
  </si>
  <si>
    <t>小・宿【人数】</t>
    <rPh sb="0" eb="1">
      <t>ショウ</t>
    </rPh>
    <rPh sb="2" eb="3">
      <t>シュク</t>
    </rPh>
    <rPh sb="4" eb="6">
      <t>ニンズウ</t>
    </rPh>
    <phoneticPr fontId="7"/>
  </si>
  <si>
    <t>中・宿</t>
    <rPh sb="0" eb="1">
      <t>チュウ</t>
    </rPh>
    <rPh sb="2" eb="3">
      <t>ヤド</t>
    </rPh>
    <phoneticPr fontId="7"/>
  </si>
  <si>
    <t>引・宿</t>
    <rPh sb="0" eb="1">
      <t>イン</t>
    </rPh>
    <rPh sb="2" eb="3">
      <t>ヤド</t>
    </rPh>
    <phoneticPr fontId="7"/>
  </si>
  <si>
    <t>一般・宿</t>
    <rPh sb="0" eb="2">
      <t>イッパン</t>
    </rPh>
    <rPh sb="3" eb="4">
      <t>ヤド</t>
    </rPh>
    <phoneticPr fontId="7"/>
  </si>
  <si>
    <t>人数カウント表</t>
    <rPh sb="0" eb="2">
      <t>ニンズウ</t>
    </rPh>
    <rPh sb="6" eb="7">
      <t>ヒョウ</t>
    </rPh>
    <phoneticPr fontId="7"/>
  </si>
  <si>
    <t>計</t>
    <rPh sb="0" eb="1">
      <t>ケイ</t>
    </rPh>
    <phoneticPr fontId="7"/>
  </si>
  <si>
    <t>利用区分
パターンNo</t>
    <rPh sb="0" eb="2">
      <t>リヨウ</t>
    </rPh>
    <rPh sb="2" eb="4">
      <t>クブン</t>
    </rPh>
    <phoneticPr fontId="7"/>
  </si>
  <si>
    <t>減免者
No</t>
    <rPh sb="0" eb="2">
      <t>ゲンメン</t>
    </rPh>
    <rPh sb="2" eb="3">
      <t>シャ</t>
    </rPh>
    <phoneticPr fontId="7"/>
  </si>
  <si>
    <t>ソートNo</t>
    <phoneticPr fontId="7"/>
  </si>
  <si>
    <t>【減免申請書】　記載用シート</t>
    <rPh sb="1" eb="3">
      <t>ゲンメン</t>
    </rPh>
    <rPh sb="3" eb="6">
      <t>シンセイショ</t>
    </rPh>
    <rPh sb="8" eb="10">
      <t>キサイ</t>
    </rPh>
    <rPh sb="10" eb="11">
      <t>ヨウ</t>
    </rPh>
    <phoneticPr fontId="7"/>
  </si>
  <si>
    <t>【利用者名簿】　記載用シート</t>
    <rPh sb="1" eb="4">
      <t>リヨウシャ</t>
    </rPh>
    <rPh sb="4" eb="6">
      <t>メイボ</t>
    </rPh>
    <phoneticPr fontId="7"/>
  </si>
  <si>
    <t>金額</t>
    <rPh sb="0" eb="2">
      <t>キンガク</t>
    </rPh>
    <phoneticPr fontId="7"/>
  </si>
  <si>
    <t>施設利用
金額</t>
    <rPh sb="0" eb="2">
      <t>シセツ</t>
    </rPh>
    <rPh sb="2" eb="4">
      <t>リヨウ</t>
    </rPh>
    <rPh sb="5" eb="7">
      <t>キンガク</t>
    </rPh>
    <phoneticPr fontId="7"/>
  </si>
  <si>
    <t>準</t>
    <rPh sb="0" eb="1">
      <t>ジュン</t>
    </rPh>
    <phoneticPr fontId="27"/>
  </si>
  <si>
    <t>特</t>
    <rPh sb="0" eb="1">
      <t>トク</t>
    </rPh>
    <phoneticPr fontId="27"/>
  </si>
  <si>
    <t>身</t>
    <rPh sb="0" eb="1">
      <t>ミ</t>
    </rPh>
    <phoneticPr fontId="27"/>
  </si>
  <si>
    <t>療</t>
    <rPh sb="0" eb="1">
      <t>リョウ</t>
    </rPh>
    <phoneticPr fontId="27"/>
  </si>
  <si>
    <t>精</t>
    <rPh sb="0" eb="1">
      <t>セイ</t>
    </rPh>
    <phoneticPr fontId="27"/>
  </si>
  <si>
    <t>介添</t>
    <rPh sb="0" eb="2">
      <t>カイゾエ</t>
    </rPh>
    <phoneticPr fontId="27"/>
  </si>
  <si>
    <t>減免判定データ</t>
    <rPh sb="0" eb="2">
      <t>ゲンメン</t>
    </rPh>
    <rPh sb="2" eb="4">
      <t>ハンテイ</t>
    </rPh>
    <phoneticPr fontId="27"/>
  </si>
  <si>
    <t>施設使用料減免【日帰り】</t>
    <rPh sb="0" eb="2">
      <t>シセツ</t>
    </rPh>
    <rPh sb="2" eb="4">
      <t>シヨウ</t>
    </rPh>
    <rPh sb="4" eb="5">
      <t>リョウ</t>
    </rPh>
    <rPh sb="5" eb="7">
      <t>ゲンメン</t>
    </rPh>
    <rPh sb="8" eb="10">
      <t>ヒガエ</t>
    </rPh>
    <phoneticPr fontId="7"/>
  </si>
  <si>
    <t>施設使用料減免【宿泊】</t>
    <rPh sb="0" eb="5">
      <t>シセツシヨウリョウ</t>
    </rPh>
    <rPh sb="5" eb="7">
      <t>ゲンメン</t>
    </rPh>
    <rPh sb="8" eb="10">
      <t>シュクハク</t>
    </rPh>
    <phoneticPr fontId="7"/>
  </si>
  <si>
    <t>合計延日数</t>
    <rPh sb="0" eb="2">
      <t>ゴウケイ</t>
    </rPh>
    <rPh sb="2" eb="3">
      <t>ノ</t>
    </rPh>
    <rPh sb="3" eb="5">
      <t>ニッスウ</t>
    </rPh>
    <phoneticPr fontId="7"/>
  </si>
  <si>
    <t xml:space="preserve">    基準を超える使用を希望</t>
    <rPh sb="4" eb="6">
      <t>キジュン</t>
    </rPh>
    <rPh sb="7" eb="8">
      <t>コ</t>
    </rPh>
    <rPh sb="10" eb="12">
      <t>シヨウ</t>
    </rPh>
    <rPh sb="13" eb="15">
      <t>キボウ</t>
    </rPh>
    <phoneticPr fontId="2"/>
  </si>
  <si>
    <t xml:space="preserve">    希望しない</t>
    <rPh sb="4" eb="6">
      <t>キボウ</t>
    </rPh>
    <phoneticPr fontId="2"/>
  </si>
  <si>
    <t xml:space="preserve">  希望する</t>
    <rPh sb="2" eb="4">
      <t>キボウ</t>
    </rPh>
    <phoneticPr fontId="2"/>
  </si>
  <si>
    <t xml:space="preserve">     有</t>
    <rPh sb="5" eb="6">
      <t>ユウ</t>
    </rPh>
    <phoneticPr fontId="2"/>
  </si>
  <si>
    <t xml:space="preserve">     無</t>
    <rPh sb="5" eb="6">
      <t>ム</t>
    </rPh>
    <phoneticPr fontId="2"/>
  </si>
  <si>
    <t>号の規定に</t>
    <phoneticPr fontId="27"/>
  </si>
  <si>
    <t>【特】-2号　　特別支援学校・学級の在籍児童生徒</t>
    <rPh sb="1" eb="2">
      <t>トク</t>
    </rPh>
    <rPh sb="5" eb="6">
      <t>ゴウ</t>
    </rPh>
    <phoneticPr fontId="2"/>
  </si>
  <si>
    <t>札幌市南区滝野</t>
    <rPh sb="0" eb="3">
      <t>サッポロシ</t>
    </rPh>
    <rPh sb="3" eb="5">
      <t>ミナミク</t>
    </rPh>
    <rPh sb="5" eb="7">
      <t>タキノ</t>
    </rPh>
    <phoneticPr fontId="7"/>
  </si>
  <si>
    <t>011-591-0303</t>
    <phoneticPr fontId="7"/>
  </si>
  <si>
    <t>011-591-0394</t>
    <phoneticPr fontId="7"/>
  </si>
  <si>
    <t>13</t>
    <phoneticPr fontId="2"/>
  </si>
  <si>
    <t>●</t>
    <phoneticPr fontId="26"/>
  </si>
  <si>
    <t>使　用　期　間</t>
    <rPh sb="0" eb="1">
      <t>シ</t>
    </rPh>
    <rPh sb="2" eb="3">
      <t>ヨウ</t>
    </rPh>
    <rPh sb="4" eb="5">
      <t>キ</t>
    </rPh>
    <rPh sb="6" eb="7">
      <t>アイダ</t>
    </rPh>
    <phoneticPr fontId="2"/>
  </si>
  <si>
    <t>使　用　目　的</t>
    <rPh sb="0" eb="1">
      <t>シ</t>
    </rPh>
    <rPh sb="2" eb="3">
      <t>ヨウ</t>
    </rPh>
    <rPh sb="4" eb="5">
      <t>メ</t>
    </rPh>
    <rPh sb="6" eb="7">
      <t>マト</t>
    </rPh>
    <phoneticPr fontId="2"/>
  </si>
  <si>
    <t>減 免 申 請 人 数</t>
    <rPh sb="0" eb="1">
      <t>ゲン</t>
    </rPh>
    <rPh sb="2" eb="3">
      <t>メン</t>
    </rPh>
    <rPh sb="4" eb="5">
      <t>サル</t>
    </rPh>
    <rPh sb="6" eb="7">
      <t>ショウ</t>
    </rPh>
    <rPh sb="8" eb="9">
      <t>ヒト</t>
    </rPh>
    <rPh sb="10" eb="11">
      <t>スウ</t>
    </rPh>
    <phoneticPr fontId="2"/>
  </si>
  <si>
    <t>減 免 申 請 理 由</t>
    <rPh sb="0" eb="1">
      <t>ゲン</t>
    </rPh>
    <rPh sb="2" eb="3">
      <t>メン</t>
    </rPh>
    <rPh sb="4" eb="5">
      <t>サル</t>
    </rPh>
    <rPh sb="6" eb="7">
      <t>ショウ</t>
    </rPh>
    <rPh sb="8" eb="9">
      <t>リ</t>
    </rPh>
    <rPh sb="10" eb="11">
      <t>ヨシ</t>
    </rPh>
    <phoneticPr fontId="2"/>
  </si>
  <si>
    <t>011-591-0303</t>
    <phoneticPr fontId="2"/>
  </si>
  <si>
    <t>小泊/準</t>
    <rPh sb="0" eb="1">
      <t>ショウ</t>
    </rPh>
    <rPh sb="1" eb="2">
      <t>ハク</t>
    </rPh>
    <rPh sb="3" eb="4">
      <t>ジュン</t>
    </rPh>
    <phoneticPr fontId="27"/>
  </si>
  <si>
    <t>小泊/準・特・療</t>
    <phoneticPr fontId="27"/>
  </si>
  <si>
    <t>引泊/介添</t>
    <rPh sb="0" eb="1">
      <t>イン</t>
    </rPh>
    <rPh sb="1" eb="2">
      <t>ハク</t>
    </rPh>
    <rPh sb="3" eb="5">
      <t>カイゾエ</t>
    </rPh>
    <phoneticPr fontId="27"/>
  </si>
  <si>
    <t>　　上記の申請について、札幌市青少年山の家使用料減免取扱要領　第2条　第　　</t>
    <rPh sb="2" eb="4">
      <t>ジョウキ</t>
    </rPh>
    <rPh sb="5" eb="7">
      <t>シンセイ</t>
    </rPh>
    <rPh sb="12" eb="19">
      <t>サッポロシセイショウネンヤマ</t>
    </rPh>
    <rPh sb="20" eb="21">
      <t>イエ</t>
    </rPh>
    <rPh sb="21" eb="24">
      <t>シヨウリョウ</t>
    </rPh>
    <rPh sb="24" eb="26">
      <t>ゲンメン</t>
    </rPh>
    <rPh sb="26" eb="28">
      <t>トリアツカイ</t>
    </rPh>
    <rPh sb="28" eb="30">
      <t>ヨウリョウ</t>
    </rPh>
    <rPh sb="31" eb="32">
      <t>ダイ</t>
    </rPh>
    <rPh sb="33" eb="34">
      <t>ジョウ</t>
    </rPh>
    <rPh sb="35" eb="36">
      <t>ダイ</t>
    </rPh>
    <phoneticPr fontId="2"/>
  </si>
  <si>
    <t>月</t>
    <rPh sb="0" eb="1">
      <t>ゲツ</t>
    </rPh>
    <phoneticPr fontId="7"/>
  </si>
  <si>
    <t>火</t>
    <rPh sb="0" eb="1">
      <t>ヒ</t>
    </rPh>
    <phoneticPr fontId="7"/>
  </si>
  <si>
    <t>011-591-0303</t>
    <phoneticPr fontId="2"/>
  </si>
  <si>
    <t>炊き出し</t>
    <rPh sb="0" eb="1">
      <t>タ</t>
    </rPh>
    <rPh sb="2" eb="3">
      <t>ダ</t>
    </rPh>
    <phoneticPr fontId="2"/>
  </si>
  <si>
    <t>　　について、下記のとおり報告します。</t>
    <rPh sb="7" eb="9">
      <t>カキ</t>
    </rPh>
    <rPh sb="13" eb="15">
      <t>ホウコク</t>
    </rPh>
    <phoneticPr fontId="2"/>
  </si>
  <si>
    <t>　利用日変更</t>
    <rPh sb="1" eb="4">
      <t>リヨウビ</t>
    </rPh>
    <rPh sb="4" eb="6">
      <t>ヘンコウ</t>
    </rPh>
    <phoneticPr fontId="2"/>
  </si>
  <si>
    <t>昼　食キッズ幼児</t>
    <rPh sb="0" eb="1">
      <t>ヒル</t>
    </rPh>
    <rPh sb="2" eb="3">
      <t>ショク</t>
    </rPh>
    <rPh sb="6" eb="8">
      <t>ヨウジ</t>
    </rPh>
    <phoneticPr fontId="26"/>
  </si>
  <si>
    <t>昼　食キッズ小学生</t>
    <rPh sb="0" eb="1">
      <t>ヒル</t>
    </rPh>
    <rPh sb="2" eb="3">
      <t>ショク</t>
    </rPh>
    <rPh sb="6" eb="9">
      <t>ショウガクセイ</t>
    </rPh>
    <phoneticPr fontId="26"/>
  </si>
  <si>
    <t>夕　食キッズ幼児</t>
    <phoneticPr fontId="26"/>
  </si>
  <si>
    <t>昼　食キッズ中学生以上</t>
    <rPh sb="0" eb="1">
      <t>ヒル</t>
    </rPh>
    <rPh sb="2" eb="3">
      <t>ショク</t>
    </rPh>
    <rPh sb="6" eb="9">
      <t>チュウガクセイ</t>
    </rPh>
    <rPh sb="9" eb="11">
      <t>イジョウ</t>
    </rPh>
    <phoneticPr fontId="26"/>
  </si>
  <si>
    <t>夕　食キッズ小学生</t>
    <phoneticPr fontId="26"/>
  </si>
  <si>
    <t>夕　食キッズ中学生以上</t>
    <rPh sb="0" eb="1">
      <t>ユウ</t>
    </rPh>
    <rPh sb="2" eb="3">
      <t>ショク</t>
    </rPh>
    <rPh sb="6" eb="9">
      <t>チュウガクセイ</t>
    </rPh>
    <rPh sb="9" eb="11">
      <t>イジョウ</t>
    </rPh>
    <phoneticPr fontId="26"/>
  </si>
  <si>
    <t>朝　食キッズ幼児</t>
    <rPh sb="0" eb="1">
      <t>アサ</t>
    </rPh>
    <rPh sb="2" eb="3">
      <t>ショク</t>
    </rPh>
    <rPh sb="6" eb="8">
      <t>ヨウジ</t>
    </rPh>
    <phoneticPr fontId="26"/>
  </si>
  <si>
    <t>朝　食キッズ小学生</t>
    <rPh sb="0" eb="1">
      <t>アサ</t>
    </rPh>
    <rPh sb="2" eb="3">
      <t>ショク</t>
    </rPh>
    <rPh sb="6" eb="9">
      <t>ショウガクセイ</t>
    </rPh>
    <phoneticPr fontId="26"/>
  </si>
  <si>
    <t>朝　食キッズ中学生以上</t>
    <rPh sb="0" eb="1">
      <t>アサ</t>
    </rPh>
    <rPh sb="2" eb="3">
      <t>ショク</t>
    </rPh>
    <rPh sb="6" eb="9">
      <t>チュウガクセイ</t>
    </rPh>
    <rPh sb="9" eb="11">
      <t>イジョウ</t>
    </rPh>
    <phoneticPr fontId="26"/>
  </si>
  <si>
    <t>　昼】キッズ(幼児)</t>
    <rPh sb="1" eb="2">
      <t>ヒル</t>
    </rPh>
    <rPh sb="7" eb="9">
      <t>ヨウジ</t>
    </rPh>
    <phoneticPr fontId="2"/>
  </si>
  <si>
    <t>　昼】キッズ(小学生)</t>
    <rPh sb="1" eb="2">
      <t>ヒル</t>
    </rPh>
    <rPh sb="7" eb="10">
      <t>ショウガクセイ</t>
    </rPh>
    <phoneticPr fontId="2"/>
  </si>
  <si>
    <t>　昼】キッズ(中学生以上)</t>
    <rPh sb="1" eb="2">
      <t>ヒル</t>
    </rPh>
    <rPh sb="7" eb="10">
      <t>チュウガクセイ</t>
    </rPh>
    <rPh sb="10" eb="12">
      <t>イジョウ</t>
    </rPh>
    <phoneticPr fontId="2"/>
  </si>
  <si>
    <t>　夕】キッズ(幼児)</t>
    <rPh sb="1" eb="2">
      <t>ユウ</t>
    </rPh>
    <rPh sb="7" eb="9">
      <t>ヨウジ</t>
    </rPh>
    <phoneticPr fontId="2"/>
  </si>
  <si>
    <t>　夕】キッズ(小学生)</t>
    <rPh sb="1" eb="2">
      <t>ユウ</t>
    </rPh>
    <rPh sb="7" eb="10">
      <t>ショウガクセイ</t>
    </rPh>
    <phoneticPr fontId="2"/>
  </si>
  <si>
    <t>　夕】キッズ(中学生以上)</t>
    <rPh sb="1" eb="2">
      <t>ユウ</t>
    </rPh>
    <rPh sb="7" eb="10">
      <t>チュウガクセイ</t>
    </rPh>
    <rPh sb="10" eb="12">
      <t>イジョウ</t>
    </rPh>
    <phoneticPr fontId="2"/>
  </si>
  <si>
    <t>　朝】キッズ(幼児)</t>
    <rPh sb="1" eb="2">
      <t>アサ</t>
    </rPh>
    <rPh sb="7" eb="9">
      <t>ヨウジ</t>
    </rPh>
    <phoneticPr fontId="2"/>
  </si>
  <si>
    <t>　朝】キッズ(小学生)</t>
    <rPh sb="1" eb="2">
      <t>アサ</t>
    </rPh>
    <rPh sb="7" eb="10">
      <t>ショウガクセイ</t>
    </rPh>
    <phoneticPr fontId="2"/>
  </si>
  <si>
    <t>　朝】キッズ(中学生以上)</t>
    <rPh sb="1" eb="2">
      <t>アサ</t>
    </rPh>
    <rPh sb="7" eb="10">
      <t>チュウガクセイ</t>
    </rPh>
    <rPh sb="10" eb="12">
      <t>イジョウ</t>
    </rPh>
    <phoneticPr fontId="2"/>
  </si>
  <si>
    <t>　注意④：総食数が２０食に満たない場合は個別食となります。</t>
    <rPh sb="1" eb="3">
      <t>チュウイ</t>
    </rPh>
    <phoneticPr fontId="2"/>
  </si>
  <si>
    <r>
      <t>③　食数　（</t>
    </r>
    <r>
      <rPr>
        <b/>
        <sz val="12"/>
        <color indexed="8"/>
        <rFont val="BIZ UDPゴシック"/>
        <family val="3"/>
        <charset val="128"/>
      </rPr>
      <t>太枠内のみ記入）</t>
    </r>
    <rPh sb="2" eb="3">
      <t>ショク</t>
    </rPh>
    <rPh sb="3" eb="4">
      <t>スウ</t>
    </rPh>
    <rPh sb="6" eb="9">
      <t>フトワクナイ</t>
    </rPh>
    <rPh sb="11" eb="13">
      <t>キニュウ</t>
    </rPh>
    <phoneticPr fontId="2"/>
  </si>
  <si>
    <r>
      <t>②　特別事情による持込食の有無　（</t>
    </r>
    <r>
      <rPr>
        <b/>
        <sz val="12"/>
        <color indexed="8"/>
        <rFont val="BIZ UDPゴシック"/>
        <family val="3"/>
        <charset val="128"/>
      </rPr>
      <t>太枠内のみ記入）</t>
    </r>
    <rPh sb="2" eb="4">
      <t>トクベツ</t>
    </rPh>
    <rPh sb="4" eb="6">
      <t>ジジョウ</t>
    </rPh>
    <rPh sb="9" eb="11">
      <t>モチコミ</t>
    </rPh>
    <rPh sb="11" eb="12">
      <t>ショク</t>
    </rPh>
    <rPh sb="13" eb="15">
      <t>ウム</t>
    </rPh>
    <rPh sb="17" eb="20">
      <t>フトワクナイ</t>
    </rPh>
    <rPh sb="22" eb="24">
      <t>キニュウ</t>
    </rPh>
    <phoneticPr fontId="2"/>
  </si>
  <si>
    <t>（</t>
    <phoneticPr fontId="26"/>
  </si>
  <si>
    <t>変更</t>
    <rPh sb="0" eb="2">
      <t>ヘンコウ</t>
    </rPh>
    <phoneticPr fontId="2"/>
  </si>
  <si>
    <t>新規</t>
    <rPh sb="0" eb="2">
      <t>シンキ</t>
    </rPh>
    <phoneticPr fontId="2"/>
  </si>
  <si>
    <t>午後1時
       ～午後1時</t>
    <rPh sb="0" eb="2">
      <t>ゴゴ</t>
    </rPh>
    <rPh sb="3" eb="4">
      <t>ジ</t>
    </rPh>
    <rPh sb="13" eb="15">
      <t>ゴゴ</t>
    </rPh>
    <rPh sb="16" eb="17">
      <t>ジ</t>
    </rPh>
    <phoneticPr fontId="2"/>
  </si>
  <si>
    <r>
      <rPr>
        <b/>
        <sz val="12"/>
        <color theme="1"/>
        <rFont val="BIZ UDPゴシック"/>
        <family val="3"/>
        <charset val="128"/>
      </rPr>
      <t>注意１：</t>
    </r>
    <r>
      <rPr>
        <sz val="12"/>
        <color theme="1"/>
        <rFont val="BIZ UDPゴシック"/>
        <family val="3"/>
        <charset val="128"/>
      </rPr>
      <t>利用延べ日数欄には延べ数を記入・選択してください。（例：日帰り２日→日帰り欄に「２」と記入）</t>
    </r>
    <rPh sb="0" eb="2">
      <t>チュウイ</t>
    </rPh>
    <rPh sb="4" eb="6">
      <t>リヨウ</t>
    </rPh>
    <rPh sb="6" eb="7">
      <t>ノ</t>
    </rPh>
    <rPh sb="8" eb="10">
      <t>ニッスウ</t>
    </rPh>
    <rPh sb="10" eb="11">
      <t>ラン</t>
    </rPh>
    <rPh sb="13" eb="14">
      <t>ノ</t>
    </rPh>
    <rPh sb="15" eb="16">
      <t>スウ</t>
    </rPh>
    <rPh sb="17" eb="19">
      <t>キニュウ</t>
    </rPh>
    <rPh sb="20" eb="22">
      <t>センタク</t>
    </rPh>
    <rPh sb="30" eb="31">
      <t>レイ</t>
    </rPh>
    <rPh sb="32" eb="34">
      <t>ヒガエ</t>
    </rPh>
    <rPh sb="36" eb="37">
      <t>ニチ</t>
    </rPh>
    <rPh sb="38" eb="40">
      <t>ヒガエ</t>
    </rPh>
    <rPh sb="41" eb="42">
      <t>ラン</t>
    </rPh>
    <rPh sb="47" eb="49">
      <t>キニュウ</t>
    </rPh>
    <phoneticPr fontId="2"/>
  </si>
  <si>
    <t>☑</t>
    <phoneticPr fontId="7"/>
  </si>
  <si>
    <t>□</t>
    <phoneticPr fontId="7"/>
  </si>
  <si>
    <t>　　上記の申請について、札幌市青少年山の家使用料減免取扱要領　第2条　第</t>
    <rPh sb="2" eb="4">
      <t>ジョウキ</t>
    </rPh>
    <rPh sb="5" eb="7">
      <t>シンセイ</t>
    </rPh>
    <rPh sb="12" eb="19">
      <t>サッポロシセイショウネンヤマ</t>
    </rPh>
    <rPh sb="20" eb="21">
      <t>イエ</t>
    </rPh>
    <rPh sb="21" eb="24">
      <t>シヨウリョウ</t>
    </rPh>
    <rPh sb="24" eb="26">
      <t>ゲンメン</t>
    </rPh>
    <rPh sb="26" eb="28">
      <t>トリアツカイ</t>
    </rPh>
    <rPh sb="28" eb="30">
      <t>ヨウリョウ</t>
    </rPh>
    <rPh sb="31" eb="32">
      <t>ダイ</t>
    </rPh>
    <rPh sb="33" eb="34">
      <t>ジョウ</t>
    </rPh>
    <rPh sb="35" eb="36">
      <t>ダイ</t>
    </rPh>
    <phoneticPr fontId="2"/>
  </si>
  <si>
    <r>
      <t>　注意②：食事の申し込みは</t>
    </r>
    <r>
      <rPr>
        <b/>
        <u/>
        <sz val="11"/>
        <rFont val="HG丸ｺﾞｼｯｸM-PRO"/>
        <family val="3"/>
        <charset val="128"/>
      </rPr>
      <t>原則５食以上から</t>
    </r>
    <r>
      <rPr>
        <sz val="11"/>
        <rFont val="HG丸ｺﾞｼｯｸM-PRO"/>
        <family val="3"/>
        <charset val="128"/>
      </rPr>
      <t>となります。</t>
    </r>
    <rPh sb="1" eb="3">
      <t>チュウイ</t>
    </rPh>
    <rPh sb="5" eb="7">
      <t>ショクジ</t>
    </rPh>
    <rPh sb="8" eb="9">
      <t>モウ</t>
    </rPh>
    <rPh sb="10" eb="11">
      <t>コ</t>
    </rPh>
    <rPh sb="16" eb="17">
      <t>ショク</t>
    </rPh>
    <rPh sb="17" eb="19">
      <t>イジョウ</t>
    </rPh>
    <phoneticPr fontId="2"/>
  </si>
  <si>
    <t>連絡の必要はありません</t>
    <phoneticPr fontId="26"/>
  </si>
  <si>
    <t>料金区分</t>
    <rPh sb="0" eb="4">
      <t>リョウキンクブン</t>
    </rPh>
    <phoneticPr fontId="7"/>
  </si>
  <si>
    <t>減免区分</t>
    <rPh sb="0" eb="4">
      <t>ゲンメンクブン</t>
    </rPh>
    <phoneticPr fontId="7"/>
  </si>
  <si>
    <t>介添</t>
    <rPh sb="0" eb="2">
      <t>カイゾ</t>
    </rPh>
    <phoneticPr fontId="7"/>
  </si>
  <si>
    <t>一般日帰/２DAY</t>
    <rPh sb="0" eb="2">
      <t>イッパン</t>
    </rPh>
    <rPh sb="2" eb="4">
      <t>ヒガエ</t>
    </rPh>
    <phoneticPr fontId="7"/>
  </si>
  <si>
    <t>　おにぎり（梅・梅）</t>
    <rPh sb="6" eb="7">
      <t>ウメ</t>
    </rPh>
    <rPh sb="8" eb="9">
      <t>ウメ</t>
    </rPh>
    <phoneticPr fontId="2"/>
  </si>
  <si>
    <t>おにぎり（梅・梅）</t>
    <phoneticPr fontId="26"/>
  </si>
  <si>
    <t>代表者</t>
    <rPh sb="0" eb="3">
      <t>ダイヒョウシャ</t>
    </rPh>
    <phoneticPr fontId="2"/>
  </si>
  <si>
    <r>
      <rPr>
        <b/>
        <sz val="9"/>
        <color theme="1"/>
        <rFont val="BIZ UDPゴシック"/>
        <family val="3"/>
        <charset val="128"/>
      </rPr>
      <t>注１：</t>
    </r>
    <r>
      <rPr>
        <sz val="9"/>
        <color theme="1"/>
        <rFont val="BIZ UDPゴシック"/>
        <family val="3"/>
        <charset val="128"/>
      </rPr>
      <t xml:space="preserve">入館日の1か月前から部屋割り等の調整をしますのでそれまでに申請書類を提出ください。提出が遅れた場合、先に提出した団体を優先的に調整します。
</t>
    </r>
    <r>
      <rPr>
        <b/>
        <sz val="9"/>
        <color theme="1"/>
        <rFont val="BIZ UDPゴシック"/>
        <family val="3"/>
        <charset val="128"/>
      </rPr>
      <t>注２：</t>
    </r>
    <r>
      <rPr>
        <sz val="9"/>
        <color theme="1"/>
        <rFont val="BIZ UDPゴシック"/>
        <family val="3"/>
        <charset val="128"/>
      </rPr>
      <t xml:space="preserve">入館日の2週間前までに、すべての申請書類をご提出ください。
</t>
    </r>
    <r>
      <rPr>
        <b/>
        <sz val="9"/>
        <color theme="1"/>
        <rFont val="BIZ UDPゴシック"/>
        <family val="3"/>
        <charset val="128"/>
      </rPr>
      <t>注3：</t>
    </r>
    <r>
      <rPr>
        <sz val="9"/>
        <color theme="1"/>
        <rFont val="BIZ UDPゴシック"/>
        <family val="3"/>
        <charset val="128"/>
      </rPr>
      <t>当施設における学校団体とは、学校教育法第1条及び認定こども園法による教育施設並びに保育所を区分とします。
この際、教育施設及び保育所全体の教育課程、事業計画等に位置づけられていない利用は、学校団体ではなく、一般団体扱いとなります。　　</t>
    </r>
    <rPh sb="0" eb="1">
      <t>チュウ</t>
    </rPh>
    <rPh sb="13" eb="16">
      <t>ヘヤワ</t>
    </rPh>
    <rPh sb="17" eb="18">
      <t>トウ</t>
    </rPh>
    <rPh sb="19" eb="21">
      <t>チョウセイ</t>
    </rPh>
    <rPh sb="44" eb="46">
      <t>テイシュツ</t>
    </rPh>
    <rPh sb="47" eb="48">
      <t>オク</t>
    </rPh>
    <rPh sb="53" eb="54">
      <t>サキ</t>
    </rPh>
    <rPh sb="55" eb="57">
      <t>テイシュツ</t>
    </rPh>
    <rPh sb="59" eb="61">
      <t>ダンタイ</t>
    </rPh>
    <rPh sb="62" eb="65">
      <t>ユウセンテキ</t>
    </rPh>
    <rPh sb="66" eb="68">
      <t>チョウセイ</t>
    </rPh>
    <rPh sb="74" eb="75">
      <t>チュウ</t>
    </rPh>
    <rPh sb="77" eb="79">
      <t>ニュウカン</t>
    </rPh>
    <rPh sb="79" eb="80">
      <t>ビ</t>
    </rPh>
    <rPh sb="93" eb="97">
      <t>シンセイショルイ</t>
    </rPh>
    <rPh sb="99" eb="101">
      <t>テイシュツ</t>
    </rPh>
    <rPh sb="107" eb="108">
      <t>トウシセツ</t>
    </rPh>
    <rPh sb="108" eb="109">
      <t>チュウ</t>
    </rPh>
    <rPh sb="111" eb="113">
      <t>ガッコウ</t>
    </rPh>
    <rPh sb="113" eb="115">
      <t>ダンタイ</t>
    </rPh>
    <rPh sb="118" eb="120">
      <t>ガッコウ</t>
    </rPh>
    <rPh sb="126" eb="127">
      <t>ダイ</t>
    </rPh>
    <rPh sb="128" eb="130">
      <t>ニンテイ</t>
    </rPh>
    <rPh sb="133" eb="134">
      <t>エン</t>
    </rPh>
    <rPh sb="134" eb="135">
      <t>ホウ</t>
    </rPh>
    <rPh sb="138" eb="140">
      <t>キョウイク</t>
    </rPh>
    <rPh sb="140" eb="142">
      <t>シセツ</t>
    </rPh>
    <rPh sb="145" eb="146">
      <t>ナラ</t>
    </rPh>
    <rPh sb="149" eb="151">
      <t>クブン</t>
    </rPh>
    <rPh sb="163" eb="164">
      <t>サイキョウイク</t>
    </rPh>
    <rPh sb="165" eb="166">
      <t>オヨ</t>
    </rPh>
    <rPh sb="167" eb="170">
      <t>ホイクショ</t>
    </rPh>
    <rPh sb="170" eb="172">
      <t>ゼンタイ</t>
    </rPh>
    <rPh sb="173" eb="175">
      <t>キョウイク</t>
    </rPh>
    <rPh sb="181" eb="183">
      <t>ジギョウ</t>
    </rPh>
    <rPh sb="194" eb="196">
      <t>リヨウ</t>
    </rPh>
    <rPh sb="201" eb="203">
      <t>ガッコウ</t>
    </rPh>
    <rPh sb="203" eb="205">
      <t>ダンタイ</t>
    </rPh>
    <rPh sb="207" eb="209">
      <t>イッパン</t>
    </rPh>
    <rPh sb="209" eb="211">
      <t>ダンタイ</t>
    </rPh>
    <rPh sb="211" eb="212">
      <t>アツカ</t>
    </rPh>
    <phoneticPr fontId="2"/>
  </si>
  <si>
    <t>ベースボールスクール山の家</t>
    <rPh sb="10" eb="11">
      <t>ヤマ</t>
    </rPh>
    <rPh sb="12" eb="13">
      <t>イエ</t>
    </rPh>
    <phoneticPr fontId="2"/>
  </si>
  <si>
    <t>べーすぼーるすくーるやまのいえ</t>
    <phoneticPr fontId="2"/>
  </si>
  <si>
    <t>身体障害者手
帳所持者</t>
    <rPh sb="0" eb="2">
      <t>シンタイ</t>
    </rPh>
    <rPh sb="2" eb="5">
      <t>ショウガイシャ</t>
    </rPh>
    <rPh sb="5" eb="6">
      <t>テ</t>
    </rPh>
    <rPh sb="7" eb="8">
      <t>チョウ</t>
    </rPh>
    <rPh sb="8" eb="10">
      <t>ショジ</t>
    </rPh>
    <rPh sb="10" eb="11">
      <t>シャ</t>
    </rPh>
    <phoneticPr fontId="2"/>
  </si>
  <si>
    <t>療育手帳所持
者</t>
    <rPh sb="0" eb="2">
      <t>リョウイク</t>
    </rPh>
    <rPh sb="2" eb="3">
      <t>テ</t>
    </rPh>
    <rPh sb="3" eb="4">
      <t>チョウ</t>
    </rPh>
    <rPh sb="4" eb="6">
      <t>ショジ</t>
    </rPh>
    <rPh sb="7" eb="8">
      <t>シャ</t>
    </rPh>
    <phoneticPr fontId="2"/>
  </si>
  <si>
    <t>精神障害者福
祉手帳所持者</t>
    <rPh sb="0" eb="2">
      <t>セイシン</t>
    </rPh>
    <rPh sb="2" eb="5">
      <t>ショウガイシャ</t>
    </rPh>
    <rPh sb="5" eb="6">
      <t>フク</t>
    </rPh>
    <rPh sb="7" eb="8">
      <t>シ</t>
    </rPh>
    <rPh sb="8" eb="10">
      <t>テチョウ</t>
    </rPh>
    <rPh sb="10" eb="12">
      <t>ショジ</t>
    </rPh>
    <rPh sb="12" eb="13">
      <t>シャ</t>
    </rPh>
    <phoneticPr fontId="2"/>
  </si>
  <si>
    <t>児童福祉法に
規定する児童　
福祉施設</t>
    <rPh sb="0" eb="2">
      <t>ジドウ</t>
    </rPh>
    <rPh sb="2" eb="5">
      <t>フクシホウ</t>
    </rPh>
    <rPh sb="7" eb="9">
      <t>キテイ</t>
    </rPh>
    <rPh sb="11" eb="13">
      <t>ジドウ</t>
    </rPh>
    <rPh sb="15" eb="17">
      <t>フクシ</t>
    </rPh>
    <rPh sb="17" eb="19">
      <t>シセツ</t>
    </rPh>
    <phoneticPr fontId="2"/>
  </si>
  <si>
    <t>身</t>
  </si>
  <si>
    <t>身</t>
    <rPh sb="0" eb="1">
      <t>シン</t>
    </rPh>
    <phoneticPr fontId="2"/>
  </si>
  <si>
    <t>療</t>
  </si>
  <si>
    <t>児</t>
    <rPh sb="0" eb="1">
      <t>ジ</t>
    </rPh>
    <phoneticPr fontId="2"/>
  </si>
  <si>
    <t>左記の手帳保持者を介護する職員など</t>
    <rPh sb="0" eb="2">
      <t>サキ</t>
    </rPh>
    <rPh sb="3" eb="8">
      <t>テチョウホジシャ</t>
    </rPh>
    <rPh sb="9" eb="11">
      <t>カイゴ</t>
    </rPh>
    <rPh sb="13" eb="15">
      <t>ショクイン</t>
    </rPh>
    <phoneticPr fontId="2"/>
  </si>
  <si>
    <t>高</t>
    <rPh sb="0" eb="1">
      <t>コウ</t>
    </rPh>
    <phoneticPr fontId="2"/>
  </si>
  <si>
    <t>高校生</t>
    <rPh sb="0" eb="3">
      <t>コウコウセイ</t>
    </rPh>
    <phoneticPr fontId="7"/>
  </si>
  <si>
    <t>引①</t>
    <rPh sb="0" eb="1">
      <t>イン</t>
    </rPh>
    <phoneticPr fontId="7"/>
  </si>
  <si>
    <t>引②</t>
    <rPh sb="0" eb="1">
      <t>イン</t>
    </rPh>
    <phoneticPr fontId="2"/>
  </si>
  <si>
    <t>引率者
（～６４才）</t>
    <rPh sb="0" eb="3">
      <t>インソツシャ</t>
    </rPh>
    <rPh sb="8" eb="9">
      <t>サイ</t>
    </rPh>
    <phoneticPr fontId="7"/>
  </si>
  <si>
    <t>引率者
（６５才～）</t>
    <rPh sb="0" eb="3">
      <t>インソツシャ</t>
    </rPh>
    <rPh sb="7" eb="8">
      <t>サイ</t>
    </rPh>
    <phoneticPr fontId="7"/>
  </si>
  <si>
    <t>一般
（～６４才）</t>
    <rPh sb="0" eb="2">
      <t>イッパン</t>
    </rPh>
    <rPh sb="7" eb="8">
      <t>サイ</t>
    </rPh>
    <phoneticPr fontId="7"/>
  </si>
  <si>
    <t>一①</t>
    <rPh sb="0" eb="1">
      <t>イチ</t>
    </rPh>
    <phoneticPr fontId="7"/>
  </si>
  <si>
    <t>一②</t>
    <rPh sb="0" eb="1">
      <t>イチ</t>
    </rPh>
    <phoneticPr fontId="2"/>
  </si>
  <si>
    <t>一般
(65才～）</t>
    <rPh sb="0" eb="2">
      <t>イッパン</t>
    </rPh>
    <rPh sb="6" eb="7">
      <t>サイ</t>
    </rPh>
    <phoneticPr fontId="2"/>
  </si>
  <si>
    <t>～２才</t>
    <phoneticPr fontId="7"/>
  </si>
  <si>
    <t>３才</t>
    <phoneticPr fontId="7"/>
  </si>
  <si>
    <t>４才～</t>
    <phoneticPr fontId="7"/>
  </si>
  <si>
    <t>幼①</t>
    <rPh sb="0" eb="1">
      <t>ヨウ</t>
    </rPh>
    <phoneticPr fontId="7"/>
  </si>
  <si>
    <t>幼②</t>
    <rPh sb="0" eb="1">
      <t>ヨウ</t>
    </rPh>
    <phoneticPr fontId="7"/>
  </si>
  <si>
    <t>幼③</t>
    <rPh sb="0" eb="1">
      <t>ヨウ</t>
    </rPh>
    <phoneticPr fontId="7"/>
  </si>
  <si>
    <t>高</t>
    <rPh sb="0" eb="1">
      <t>コウ</t>
    </rPh>
    <phoneticPr fontId="7"/>
  </si>
  <si>
    <t>引②</t>
    <rPh sb="0" eb="1">
      <t>イン</t>
    </rPh>
    <phoneticPr fontId="7"/>
  </si>
  <si>
    <t>一②</t>
    <rPh sb="0" eb="1">
      <t>イチ</t>
    </rPh>
    <phoneticPr fontId="7"/>
  </si>
  <si>
    <t>団体（20名以上）：高校生～大人</t>
    <rPh sb="0" eb="2">
      <t>ダンタイ</t>
    </rPh>
    <rPh sb="5" eb="6">
      <t>メイ</t>
    </rPh>
    <rPh sb="6" eb="8">
      <t>イジョウ</t>
    </rPh>
    <rPh sb="10" eb="13">
      <t>コウコウセイ</t>
    </rPh>
    <rPh sb="14" eb="16">
      <t>オトナ</t>
    </rPh>
    <phoneticPr fontId="2"/>
  </si>
  <si>
    <t>一般：高校生～大人</t>
    <rPh sb="0" eb="2">
      <t>イッパン</t>
    </rPh>
    <rPh sb="3" eb="6">
      <t>コウコウセイ</t>
    </rPh>
    <rPh sb="7" eb="9">
      <t>オトナ</t>
    </rPh>
    <phoneticPr fontId="2"/>
  </si>
  <si>
    <t>シルバー（65才以上）</t>
    <rPh sb="7" eb="8">
      <t>サイ</t>
    </rPh>
    <rPh sb="8" eb="10">
      <t>イジョウ</t>
    </rPh>
    <phoneticPr fontId="2"/>
  </si>
  <si>
    <t>無料、減免対象者　（小学生
未満、手帳所持者・介添者）</t>
    <rPh sb="0" eb="2">
      <t>ムリョウ</t>
    </rPh>
    <rPh sb="3" eb="5">
      <t>ゲンメン</t>
    </rPh>
    <rPh sb="5" eb="7">
      <t>タイショウ</t>
    </rPh>
    <rPh sb="7" eb="8">
      <t>シャ</t>
    </rPh>
    <rPh sb="10" eb="13">
      <t>ショウガクセイ</t>
    </rPh>
    <rPh sb="14" eb="16">
      <t>ミマン</t>
    </rPh>
    <rPh sb="17" eb="19">
      <t>テチョウ</t>
    </rPh>
    <rPh sb="19" eb="22">
      <t>ショジシャ</t>
    </rPh>
    <rPh sb="23" eb="25">
      <t>カイゾ</t>
    </rPh>
    <rPh sb="25" eb="26">
      <t>シャ</t>
    </rPh>
    <phoneticPr fontId="20"/>
  </si>
  <si>
    <t>▼選択してください（高校生～大人）▼</t>
    <rPh sb="1" eb="3">
      <t>センタク</t>
    </rPh>
    <rPh sb="10" eb="13">
      <t>コウコウセイ</t>
    </rPh>
    <rPh sb="14" eb="16">
      <t>オトナ</t>
    </rPh>
    <phoneticPr fontId="2"/>
  </si>
  <si>
    <t>団体（20名以上）：高校生～大人（２日券）</t>
    <rPh sb="0" eb="2">
      <t>ダンタイ</t>
    </rPh>
    <rPh sb="5" eb="8">
      <t>メイイジョウ</t>
    </rPh>
    <rPh sb="10" eb="13">
      <t>コウコウセイ</t>
    </rPh>
    <rPh sb="14" eb="16">
      <t>オトナ</t>
    </rPh>
    <rPh sb="18" eb="19">
      <t>ニチ</t>
    </rPh>
    <rPh sb="19" eb="20">
      <t>ケン</t>
    </rPh>
    <phoneticPr fontId="2"/>
  </si>
  <si>
    <t>一般：高校生～大人（２日券）</t>
    <rPh sb="0" eb="2">
      <t>イッパン</t>
    </rPh>
    <rPh sb="3" eb="6">
      <t>コウコウセイ</t>
    </rPh>
    <rPh sb="7" eb="9">
      <t>オトナ</t>
    </rPh>
    <rPh sb="11" eb="12">
      <t>ニチ</t>
    </rPh>
    <rPh sb="12" eb="13">
      <t>ケン</t>
    </rPh>
    <phoneticPr fontId="2"/>
  </si>
  <si>
    <t>▼選択してください（６５才以上）▼</t>
    <rPh sb="1" eb="3">
      <t>センタク</t>
    </rPh>
    <rPh sb="12" eb="15">
      <t>サイイジョウ</t>
    </rPh>
    <phoneticPr fontId="2"/>
  </si>
  <si>
    <t>2泊：シルバー（65才以上）</t>
    <rPh sb="1" eb="2">
      <t>ハク</t>
    </rPh>
    <rPh sb="10" eb="11">
      <t>サイ</t>
    </rPh>
    <rPh sb="11" eb="13">
      <t>イジョウ</t>
    </rPh>
    <phoneticPr fontId="2"/>
  </si>
  <si>
    <t>無料（４才未満）</t>
    <rPh sb="0" eb="2">
      <t>ムリョウ</t>
    </rPh>
    <rPh sb="4" eb="5">
      <t>サイ</t>
    </rPh>
    <rPh sb="5" eb="7">
      <t>ミマン</t>
    </rPh>
    <phoneticPr fontId="20"/>
  </si>
  <si>
    <t>４才～小学生未満</t>
    <rPh sb="1" eb="2">
      <t>サイ</t>
    </rPh>
    <rPh sb="3" eb="6">
      <t>ショウガクセイ</t>
    </rPh>
    <rPh sb="6" eb="8">
      <t>ミマン</t>
    </rPh>
    <phoneticPr fontId="20"/>
  </si>
  <si>
    <t>高校生</t>
    <rPh sb="0" eb="3">
      <t>コウコウセイ</t>
    </rPh>
    <phoneticPr fontId="20"/>
  </si>
  <si>
    <t>引率割引適用者
（高校生）</t>
    <rPh sb="0" eb="2">
      <t>インソツ</t>
    </rPh>
    <rPh sb="2" eb="4">
      <t>ワリビキ</t>
    </rPh>
    <rPh sb="4" eb="6">
      <t>テキヨウ</t>
    </rPh>
    <rPh sb="6" eb="7">
      <t>シャ</t>
    </rPh>
    <rPh sb="7" eb="8">
      <t>テキシャ</t>
    </rPh>
    <rPh sb="9" eb="11">
      <t>コウコウ</t>
    </rPh>
    <rPh sb="11" eb="12">
      <t>セイ</t>
    </rPh>
    <phoneticPr fontId="20"/>
  </si>
  <si>
    <t>無料</t>
    <rPh sb="0" eb="2">
      <t>ムリョウ</t>
    </rPh>
    <phoneticPr fontId="2"/>
  </si>
  <si>
    <t>無料</t>
    <phoneticPr fontId="2"/>
  </si>
  <si>
    <t>　　　　</t>
    <phoneticPr fontId="4"/>
  </si>
  <si>
    <t>　なお、具体的な記入内容は、各シート内の記入例をご確認ください。</t>
    <phoneticPr fontId="4"/>
  </si>
  <si>
    <t>団体名</t>
    <rPh sb="0" eb="3">
      <t>ダンタイメイガッコウメイ</t>
    </rPh>
    <phoneticPr fontId="20"/>
  </si>
  <si>
    <t>　防災炊事</t>
  </si>
  <si>
    <t>　夕】通常食(小学生)</t>
  </si>
  <si>
    <t>　夕】通常食(中学生以上)</t>
  </si>
  <si>
    <t>　朝】通常食(小学生)</t>
  </si>
  <si>
    <t>　朝】通常食(中学生以上)</t>
  </si>
  <si>
    <t>　携帯弁当（鮭・梅）</t>
  </si>
  <si>
    <t>　携帯弁当（塩・塩）</t>
  </si>
  <si>
    <t>準</t>
    <rPh sb="0" eb="1">
      <t>ジュン</t>
    </rPh>
    <phoneticPr fontId="2"/>
  </si>
  <si>
    <t>特</t>
    <rPh sb="0" eb="1">
      <t>トク</t>
    </rPh>
    <phoneticPr fontId="2"/>
  </si>
  <si>
    <t>札</t>
    <rPh sb="0" eb="1">
      <t>サツ</t>
    </rPh>
    <phoneticPr fontId="2"/>
  </si>
  <si>
    <t>準要保護の児童
※要保護は対象外</t>
    <rPh sb="0" eb="1">
      <t>ジュン</t>
    </rPh>
    <rPh sb="1" eb="4">
      <t>ヨウホゴ</t>
    </rPh>
    <rPh sb="5" eb="7">
      <t>ジドウ</t>
    </rPh>
    <rPh sb="9" eb="12">
      <t>ヨウホゴ</t>
    </rPh>
    <rPh sb="13" eb="16">
      <t>タイショウガイ</t>
    </rPh>
    <phoneticPr fontId="2"/>
  </si>
  <si>
    <t>特別支援学校
学級の在籍児童</t>
    <rPh sb="0" eb="4">
      <t>トクベツシエン</t>
    </rPh>
    <rPh sb="4" eb="6">
      <t>ガッコウ</t>
    </rPh>
    <rPh sb="7" eb="9">
      <t>ガッキュウ</t>
    </rPh>
    <rPh sb="10" eb="12">
      <t>ザイセキ</t>
    </rPh>
    <rPh sb="12" eb="14">
      <t>ジドウ</t>
    </rPh>
    <phoneticPr fontId="2"/>
  </si>
  <si>
    <t>札幌市・同教委での使用</t>
    <rPh sb="0" eb="3">
      <t>サッポロシ</t>
    </rPh>
    <rPh sb="4" eb="7">
      <t>ドウキョウイ</t>
    </rPh>
    <rPh sb="9" eb="11">
      <t>シヨウ</t>
    </rPh>
    <phoneticPr fontId="2"/>
  </si>
  <si>
    <t>【準】-1号　　準要保護の利用者　※要保護は対象外</t>
    <rPh sb="1" eb="2">
      <t>ジュン</t>
    </rPh>
    <rPh sb="5" eb="6">
      <t>ゴウ</t>
    </rPh>
    <rPh sb="13" eb="16">
      <t>リヨウシャ</t>
    </rPh>
    <phoneticPr fontId="2"/>
  </si>
  <si>
    <t>【身】-3号　　身体障害者手帳所持の利用者</t>
    <rPh sb="1" eb="2">
      <t>ミ</t>
    </rPh>
    <rPh sb="5" eb="6">
      <t>ゴウ</t>
    </rPh>
    <rPh sb="18" eb="21">
      <t>リヨウシャ</t>
    </rPh>
    <phoneticPr fontId="2"/>
  </si>
  <si>
    <t>【療】-4号　　療育手帳所持の利用者</t>
    <rPh sb="1" eb="2">
      <t>リョウ</t>
    </rPh>
    <rPh sb="5" eb="6">
      <t>ゴウ</t>
    </rPh>
    <rPh sb="15" eb="18">
      <t>リヨウシャ</t>
    </rPh>
    <phoneticPr fontId="2"/>
  </si>
  <si>
    <t>【精】-5号　　精神障害者福祉手帳所持の利用者</t>
    <rPh sb="1" eb="2">
      <t>セイ</t>
    </rPh>
    <rPh sb="5" eb="6">
      <t>ゴウ</t>
    </rPh>
    <rPh sb="20" eb="23">
      <t>リヨウシャ</t>
    </rPh>
    <phoneticPr fontId="2"/>
  </si>
  <si>
    <t>【介添】-7号　各種手帳所持者を引率する介護・介添引率者</t>
    <rPh sb="1" eb="3">
      <t>カイゾ</t>
    </rPh>
    <rPh sb="6" eb="7">
      <t>ゴウ</t>
    </rPh>
    <phoneticPr fontId="2"/>
  </si>
  <si>
    <t>【札】-８号　札幌市・同教委での使用</t>
    <rPh sb="1" eb="2">
      <t>サツ</t>
    </rPh>
    <rPh sb="5" eb="6">
      <t>ゴウ</t>
    </rPh>
    <phoneticPr fontId="2"/>
  </si>
  <si>
    <t>号の規定に</t>
    <phoneticPr fontId="2"/>
  </si>
  <si>
    <t>身</t>
    <rPh sb="0" eb="1">
      <t>ミ</t>
    </rPh>
    <phoneticPr fontId="2"/>
  </si>
  <si>
    <t>介添</t>
    <rPh sb="0" eb="2">
      <t>カイゾエ</t>
    </rPh>
    <phoneticPr fontId="2"/>
  </si>
  <si>
    <t>　札幌市青少年山の家</t>
    <phoneticPr fontId="2"/>
  </si>
  <si>
    <t>団体</t>
    <rPh sb="0" eb="2">
      <t>ダンタイ</t>
    </rPh>
    <phoneticPr fontId="2"/>
  </si>
  <si>
    <t>【施】-６号　　児童福祉法に規定する児童福祉施設所属の利用者</t>
    <rPh sb="1" eb="2">
      <t>シ</t>
    </rPh>
    <rPh sb="5" eb="6">
      <t>ゴウ</t>
    </rPh>
    <rPh sb="24" eb="26">
      <t>ショゾク</t>
    </rPh>
    <rPh sb="27" eb="30">
      <t>リヨウシャ</t>
    </rPh>
    <phoneticPr fontId="2"/>
  </si>
  <si>
    <t>yama@syaa.jp</t>
    <phoneticPr fontId="4"/>
  </si>
  <si>
    <t>　は、入力箇所となります。</t>
    <rPh sb="3" eb="5">
      <t>ニュウリョク</t>
    </rPh>
    <rPh sb="5" eb="7">
      <t>カショ</t>
    </rPh>
    <phoneticPr fontId="4"/>
  </si>
  <si>
    <t>炊事薪（カレーライス）</t>
    <rPh sb="0" eb="3">
      <t>スイジマキ</t>
    </rPh>
    <phoneticPr fontId="2"/>
  </si>
  <si>
    <t>丸太から薪づくり体験</t>
    <phoneticPr fontId="2"/>
  </si>
  <si>
    <t>火おこし体験</t>
    <rPh sb="0" eb="1">
      <t>ヒ</t>
    </rPh>
    <rPh sb="4" eb="6">
      <t>タイケン</t>
    </rPh>
    <phoneticPr fontId="2"/>
  </si>
  <si>
    <t>滝野のいきものさがし図鑑</t>
    <phoneticPr fontId="2"/>
  </si>
  <si>
    <r>
      <rPr>
        <b/>
        <sz val="12"/>
        <color rgb="FF000000"/>
        <rFont val="BIZ UDPゴシック"/>
        <family val="3"/>
        <charset val="128"/>
      </rPr>
      <t>注意２：</t>
    </r>
    <r>
      <rPr>
        <b/>
        <u/>
        <sz val="12"/>
        <color indexed="8"/>
        <rFont val="BIZ UDPゴシック"/>
        <family val="3"/>
        <charset val="128"/>
      </rPr>
      <t>「引率者」の料金区分適用は、４才～高校生までの総人数の２割まで</t>
    </r>
    <r>
      <rPr>
        <sz val="12"/>
        <color indexed="8"/>
        <rFont val="BIZ UDPゴシック"/>
        <family val="3"/>
        <charset val="128"/>
      </rPr>
      <t>（小数点以下切り捨て）となっております。</t>
    </r>
    <rPh sb="19" eb="20">
      <t>サイ</t>
    </rPh>
    <rPh sb="21" eb="24">
      <t>コウコウセイ</t>
    </rPh>
    <rPh sb="27" eb="30">
      <t>ソウニンズウ</t>
    </rPh>
    <rPh sb="32" eb="33">
      <t>ワリ</t>
    </rPh>
    <phoneticPr fontId="7"/>
  </si>
  <si>
    <t>一①</t>
    <rPh sb="0" eb="1">
      <t>イッ</t>
    </rPh>
    <phoneticPr fontId="7"/>
  </si>
  <si>
    <t>一②</t>
    <rPh sb="0" eb="1">
      <t>イッ</t>
    </rPh>
    <phoneticPr fontId="7"/>
  </si>
  <si>
    <t>日帰</t>
    <rPh sb="0" eb="2">
      <t>ヒガエ</t>
    </rPh>
    <phoneticPr fontId="7"/>
  </si>
  <si>
    <t>団体名</t>
    <rPh sb="0" eb="3">
      <t>ダンタイメイ</t>
    </rPh>
    <phoneticPr fontId="150"/>
  </si>
  <si>
    <t>利用形態</t>
    <rPh sb="0" eb="4">
      <t>リヨウケイタイ</t>
    </rPh>
    <phoneticPr fontId="150"/>
  </si>
  <si>
    <t>日帰り</t>
    <rPh sb="0" eb="2">
      <t>ヒガエ</t>
    </rPh>
    <phoneticPr fontId="150"/>
  </si>
  <si>
    <t>乗用車</t>
    <rPh sb="0" eb="3">
      <t>ジョウヨウシャ</t>
    </rPh>
    <phoneticPr fontId="150"/>
  </si>
  <si>
    <t>▼選択▼</t>
    <rPh sb="1" eb="3">
      <t>センタク</t>
    </rPh>
    <phoneticPr fontId="150"/>
  </si>
  <si>
    <t>宿泊</t>
    <rPh sb="0" eb="2">
      <t>シュクハク</t>
    </rPh>
    <phoneticPr fontId="150"/>
  </si>
  <si>
    <t>バス</t>
    <phoneticPr fontId="150"/>
  </si>
  <si>
    <t>）</t>
    <phoneticPr fontId="150"/>
  </si>
  <si>
    <t>（</t>
    <phoneticPr fontId="150"/>
  </si>
  <si>
    <t>日</t>
    <rPh sb="0" eb="1">
      <t>ニチ</t>
    </rPh>
    <phoneticPr fontId="150"/>
  </si>
  <si>
    <t>月</t>
    <rPh sb="0" eb="1">
      <t>ガツ</t>
    </rPh>
    <phoneticPr fontId="150"/>
  </si>
  <si>
    <t>備考</t>
    <rPh sb="0" eb="2">
      <t>ビコウ</t>
    </rPh>
    <phoneticPr fontId="150"/>
  </si>
  <si>
    <t>補助</t>
    <rPh sb="0" eb="2">
      <t>ホジョ</t>
    </rPh>
    <phoneticPr fontId="150"/>
  </si>
  <si>
    <t>マイクロ</t>
    <phoneticPr fontId="150"/>
  </si>
  <si>
    <t>00</t>
    <phoneticPr fontId="150"/>
  </si>
  <si>
    <t>担当</t>
    <rPh sb="0" eb="2">
      <t>タントウ</t>
    </rPh>
    <phoneticPr fontId="2"/>
  </si>
  <si>
    <t>ベースボールスクール山の家</t>
    <rPh sb="10" eb="11">
      <t>ヤマ</t>
    </rPh>
    <rPh sb="12" eb="13">
      <t>イエ</t>
    </rPh>
    <phoneticPr fontId="150"/>
  </si>
  <si>
    <t>消灯・就寝</t>
    <rPh sb="0" eb="2">
      <t>ショウトウ</t>
    </rPh>
    <rPh sb="3" eb="5">
      <t>シュウシン</t>
    </rPh>
    <phoneticPr fontId="150"/>
  </si>
  <si>
    <t>軟石クラフト</t>
    <rPh sb="0" eb="2">
      <t>ナンセキ</t>
    </rPh>
    <phoneticPr fontId="2"/>
  </si>
  <si>
    <t>おにぎり（鮭・鮭）</t>
    <rPh sb="7" eb="8">
      <t>サケ</t>
    </rPh>
    <phoneticPr fontId="26"/>
  </si>
  <si>
    <t>　おにぎり（鮭・鮭）</t>
    <rPh sb="6" eb="7">
      <t>サケ</t>
    </rPh>
    <rPh sb="8" eb="9">
      <t>サケ</t>
    </rPh>
    <phoneticPr fontId="2"/>
  </si>
  <si>
    <t>　携帯弁当（鮭・鮭）</t>
    <rPh sb="8" eb="9">
      <t>サケ</t>
    </rPh>
    <phoneticPr fontId="26"/>
  </si>
  <si>
    <t>携帯弁当（鮭・鮭）</t>
    <rPh sb="0" eb="4">
      <t>ケイタイベントウ</t>
    </rPh>
    <rPh sb="7" eb="8">
      <t>サケ</t>
    </rPh>
    <phoneticPr fontId="26"/>
  </si>
  <si>
    <t>キャンプファイヤー薪（1セット）</t>
    <rPh sb="9" eb="10">
      <t>マキ</t>
    </rPh>
    <phoneticPr fontId="20"/>
  </si>
  <si>
    <t>滝野花子</t>
    <rPh sb="0" eb="2">
      <t>タキノ</t>
    </rPh>
    <rPh sb="2" eb="4">
      <t>ハナコ</t>
    </rPh>
    <phoneticPr fontId="7"/>
  </si>
  <si>
    <t>山田太郎</t>
    <rPh sb="0" eb="2">
      <t>ヤマダ</t>
    </rPh>
    <rPh sb="2" eb="4">
      <t>タロウ</t>
    </rPh>
    <phoneticPr fontId="7"/>
  </si>
  <si>
    <t>食数×班数</t>
    <rPh sb="0" eb="2">
      <t>ショクスウ</t>
    </rPh>
    <rPh sb="3" eb="4">
      <t>ハン</t>
    </rPh>
    <rPh sb="4" eb="5">
      <t>カズ</t>
    </rPh>
    <phoneticPr fontId="2"/>
  </si>
  <si>
    <t>班</t>
    <rPh sb="0" eb="1">
      <t>ハン</t>
    </rPh>
    <phoneticPr fontId="2"/>
  </si>
  <si>
    <t>■　炊事班編成</t>
    <rPh sb="2" eb="5">
      <t>スイジハン</t>
    </rPh>
    <rPh sb="5" eb="7">
      <t>ヘンセイ</t>
    </rPh>
    <phoneticPr fontId="2"/>
  </si>
  <si>
    <t>食数×班数</t>
    <rPh sb="0" eb="2">
      <t>ショクスウ</t>
    </rPh>
    <rPh sb="3" eb="4">
      <t>ハン</t>
    </rPh>
    <rPh sb="4" eb="5">
      <t>スウ</t>
    </rPh>
    <phoneticPr fontId="2"/>
  </si>
  <si>
    <t>班</t>
    <phoneticPr fontId="2"/>
  </si>
  <si>
    <t>【宿泊減免】</t>
    <rPh sb="1" eb="5">
      <t>シュクハクゲンメン</t>
    </rPh>
    <phoneticPr fontId="2"/>
  </si>
  <si>
    <t>宿泊　【減免】対象者（４歳～６歳）</t>
    <phoneticPr fontId="2"/>
  </si>
  <si>
    <t>←</t>
    <phoneticPr fontId="2"/>
  </si>
  <si>
    <t>合計人数が入る列</t>
    <rPh sb="0" eb="4">
      <t>ゴウケイニンズウ</t>
    </rPh>
    <rPh sb="5" eb="6">
      <t>ハイ</t>
    </rPh>
    <rPh sb="7" eb="8">
      <t>レツ</t>
    </rPh>
    <phoneticPr fontId="2"/>
  </si>
  <si>
    <t>宿泊　【減免】対象者（小～中学生）</t>
    <phoneticPr fontId="2"/>
  </si>
  <si>
    <t>宿泊　【減免】対象者（高校生）</t>
    <phoneticPr fontId="2"/>
  </si>
  <si>
    <t>宿泊　【減免】対象者（一般）</t>
    <phoneticPr fontId="2"/>
  </si>
  <si>
    <t>宿泊　【減免】対象者（引率割引４歳～中）</t>
    <phoneticPr fontId="2"/>
  </si>
  <si>
    <t>宿泊　【減免】対象者（引率割引高校生）</t>
    <phoneticPr fontId="2"/>
  </si>
  <si>
    <t>【日帰り減免】</t>
    <rPh sb="1" eb="3">
      <t>ヒガエ</t>
    </rPh>
    <rPh sb="4" eb="6">
      <t>ゲンメン</t>
    </rPh>
    <phoneticPr fontId="2"/>
  </si>
  <si>
    <t>日帰り　【減免】対象者（４歳～６歳）</t>
    <phoneticPr fontId="2"/>
  </si>
  <si>
    <t>日帰り　【減免】対象者（小～中学生）</t>
    <phoneticPr fontId="2"/>
  </si>
  <si>
    <t>日帰り　【減免】対象者（高校生）</t>
    <phoneticPr fontId="2"/>
  </si>
  <si>
    <t>日帰り　【減免】対象者（一般）</t>
    <phoneticPr fontId="2"/>
  </si>
  <si>
    <t>日帰り【減免】対象者（引率割引4歳～中）</t>
    <phoneticPr fontId="2"/>
  </si>
  <si>
    <t>日帰り　【減免】対象者（引率割引高校生）</t>
    <phoneticPr fontId="2"/>
  </si>
  <si>
    <t>【補助的指導者】</t>
    <rPh sb="1" eb="7">
      <t>ホジョテキシドウシャ</t>
    </rPh>
    <phoneticPr fontId="2"/>
  </si>
  <si>
    <t>収入区分コードを入れる列</t>
    <rPh sb="0" eb="4">
      <t>シュウニュウクブン</t>
    </rPh>
    <rPh sb="8" eb="9">
      <t>イ</t>
    </rPh>
    <rPh sb="11" eb="12">
      <t>レツ</t>
    </rPh>
    <phoneticPr fontId="2"/>
  </si>
  <si>
    <t>001101</t>
    <phoneticPr fontId="2"/>
  </si>
  <si>
    <t>001102</t>
    <phoneticPr fontId="2"/>
  </si>
  <si>
    <t>001103</t>
    <phoneticPr fontId="2"/>
  </si>
  <si>
    <t>001105</t>
    <phoneticPr fontId="2"/>
  </si>
  <si>
    <t>001106</t>
    <phoneticPr fontId="2"/>
  </si>
  <si>
    <t>001110</t>
    <phoneticPr fontId="2"/>
  </si>
  <si>
    <t>001201</t>
    <phoneticPr fontId="2"/>
  </si>
  <si>
    <t>001202</t>
    <phoneticPr fontId="2"/>
  </si>
  <si>
    <t>001203</t>
    <phoneticPr fontId="2"/>
  </si>
  <si>
    <t>001204</t>
    <phoneticPr fontId="2"/>
  </si>
  <si>
    <t>001205</t>
    <phoneticPr fontId="2"/>
  </si>
  <si>
    <t>001206</t>
    <phoneticPr fontId="2"/>
  </si>
  <si>
    <t>001210</t>
    <phoneticPr fontId="2"/>
  </si>
  <si>
    <t>001113</t>
    <phoneticPr fontId="2"/>
  </si>
  <si>
    <t>001107</t>
    <phoneticPr fontId="2"/>
  </si>
  <si>
    <t>001108</t>
    <phoneticPr fontId="2"/>
  </si>
  <si>
    <t>001109</t>
    <phoneticPr fontId="2"/>
  </si>
  <si>
    <t>001111</t>
    <phoneticPr fontId="2"/>
  </si>
  <si>
    <t>001112</t>
    <phoneticPr fontId="2"/>
  </si>
  <si>
    <t>001213</t>
    <phoneticPr fontId="2"/>
  </si>
  <si>
    <t>001207</t>
    <phoneticPr fontId="2"/>
  </si>
  <si>
    <t>001208</t>
    <phoneticPr fontId="2"/>
  </si>
  <si>
    <t>001209</t>
    <phoneticPr fontId="2"/>
  </si>
  <si>
    <t>001211</t>
    <phoneticPr fontId="2"/>
  </si>
  <si>
    <t>001212</t>
    <phoneticPr fontId="2"/>
  </si>
  <si>
    <t>002910</t>
    <phoneticPr fontId="2"/>
  </si>
  <si>
    <t>004101</t>
    <phoneticPr fontId="2"/>
  </si>
  <si>
    <t>001401</t>
    <phoneticPr fontId="2"/>
  </si>
  <si>
    <t>✓</t>
    <phoneticPr fontId="27"/>
  </si>
  <si>
    <t>様式10　車両動向報告書</t>
    <rPh sb="0" eb="2">
      <t>ヨウシキ</t>
    </rPh>
    <rPh sb="5" eb="12">
      <t>シャリョウドウコウホウコクショ</t>
    </rPh>
    <phoneticPr fontId="150"/>
  </si>
  <si>
    <t>注意事項</t>
    <rPh sb="0" eb="4">
      <t>チュウイジコウ</t>
    </rPh>
    <phoneticPr fontId="150"/>
  </si>
  <si>
    <t>（ブルー）</t>
    <phoneticPr fontId="150"/>
  </si>
  <si>
    <t>日にち</t>
    <rPh sb="0" eb="1">
      <t>ヒ</t>
    </rPh>
    <phoneticPr fontId="150"/>
  </si>
  <si>
    <t>南駐車場</t>
    <rPh sb="0" eb="4">
      <t>ミナミチュウシャジョウ</t>
    </rPh>
    <phoneticPr fontId="150"/>
  </si>
  <si>
    <t>（オレンジ）</t>
    <phoneticPr fontId="150"/>
  </si>
  <si>
    <t>山の家駐車場</t>
    <rPh sb="0" eb="1">
      <t>ヤマ</t>
    </rPh>
    <rPh sb="2" eb="3">
      <t>イエ</t>
    </rPh>
    <rPh sb="3" eb="6">
      <t>チュウシャジョウ</t>
    </rPh>
    <phoneticPr fontId="150"/>
  </si>
  <si>
    <t>（グリーン）</t>
    <phoneticPr fontId="150"/>
  </si>
  <si>
    <t>南第２駐車場</t>
    <rPh sb="0" eb="1">
      <t>ミナミ</t>
    </rPh>
    <rPh sb="1" eb="2">
      <t>ダイ</t>
    </rPh>
    <rPh sb="3" eb="6">
      <t>チュウシャジョウ</t>
    </rPh>
    <phoneticPr fontId="150"/>
  </si>
  <si>
    <t>（イエロー）</t>
    <phoneticPr fontId="150"/>
  </si>
  <si>
    <t>団体記入欄（送迎バス、教員・カメラマン・保護者の車　など）</t>
    <rPh sb="0" eb="5">
      <t>ダンタイキニュウラン</t>
    </rPh>
    <rPh sb="6" eb="8">
      <t>ソウゲイ</t>
    </rPh>
    <rPh sb="11" eb="13">
      <t>キョウイン</t>
    </rPh>
    <rPh sb="20" eb="23">
      <t>ホゴシャ</t>
    </rPh>
    <rPh sb="24" eb="25">
      <t>クルマ</t>
    </rPh>
    <phoneticPr fontId="150"/>
  </si>
  <si>
    <t>駐停車位置
（カード）</t>
    <rPh sb="0" eb="5">
      <t>チュウテイシャイチ</t>
    </rPh>
    <phoneticPr fontId="150"/>
  </si>
  <si>
    <t>料金所記入欄</t>
    <rPh sb="0" eb="6">
      <t>リョウキンジョキニュウラン</t>
    </rPh>
    <phoneticPr fontId="150"/>
  </si>
  <si>
    <t>（補助）</t>
    <rPh sb="1" eb="3">
      <t>ホジョ</t>
    </rPh>
    <phoneticPr fontId="150"/>
  </si>
  <si>
    <t>入園時間</t>
    <rPh sb="0" eb="4">
      <t>ニュウエンジカン</t>
    </rPh>
    <phoneticPr fontId="150"/>
  </si>
  <si>
    <t>退園時間</t>
    <rPh sb="0" eb="2">
      <t>タイエン</t>
    </rPh>
    <rPh sb="2" eb="4">
      <t>ジカン</t>
    </rPh>
    <phoneticPr fontId="150"/>
  </si>
  <si>
    <t>運転者</t>
    <rPh sb="0" eb="3">
      <t>ウンテンシャ</t>
    </rPh>
    <phoneticPr fontId="150"/>
  </si>
  <si>
    <t>車両</t>
    <rPh sb="0" eb="2">
      <t>シャリョウ</t>
    </rPh>
    <phoneticPr fontId="150"/>
  </si>
  <si>
    <t>台数</t>
    <rPh sb="0" eb="2">
      <t>ダイスウ</t>
    </rPh>
    <phoneticPr fontId="150"/>
  </si>
  <si>
    <t>（ピンク）</t>
    <phoneticPr fontId="150"/>
  </si>
  <si>
    <t>（送迎）</t>
    <rPh sb="1" eb="3">
      <t>ソウゲイ</t>
    </rPh>
    <phoneticPr fontId="150"/>
  </si>
  <si>
    <t/>
  </si>
  <si>
    <t>ブルー</t>
    <phoneticPr fontId="150"/>
  </si>
  <si>
    <t>オレンジ</t>
    <phoneticPr fontId="150"/>
  </si>
  <si>
    <t>グリーン</t>
    <phoneticPr fontId="150"/>
  </si>
  <si>
    <t>イエロー</t>
    <phoneticPr fontId="150"/>
  </si>
  <si>
    <t>ピンク</t>
    <phoneticPr fontId="150"/>
  </si>
  <si>
    <t>送迎（乗用）</t>
    <rPh sb="0" eb="2">
      <t>ソウゲイ</t>
    </rPh>
    <rPh sb="3" eb="5">
      <t>ジョウヨウ</t>
    </rPh>
    <phoneticPr fontId="150"/>
  </si>
  <si>
    <t>送迎（バス）</t>
    <rPh sb="0" eb="2">
      <t>ソウゲイ</t>
    </rPh>
    <phoneticPr fontId="150"/>
  </si>
  <si>
    <t>調整</t>
    <rPh sb="0" eb="2">
      <t>チョウセイ</t>
    </rPh>
    <phoneticPr fontId="150"/>
  </si>
  <si>
    <t>送信</t>
    <rPh sb="0" eb="2">
      <t>ソウシン</t>
    </rPh>
    <phoneticPr fontId="150"/>
  </si>
  <si>
    <t>15時小計</t>
    <rPh sb="2" eb="3">
      <t>ジ</t>
    </rPh>
    <rPh sb="3" eb="5">
      <t>ショウケイ</t>
    </rPh>
    <phoneticPr fontId="150"/>
  </si>
  <si>
    <t>最終合計</t>
    <rPh sb="0" eb="4">
      <t>サイシュウゴウケイ</t>
    </rPh>
    <phoneticPr fontId="150"/>
  </si>
  <si>
    <t>シート名</t>
    <rPh sb="3" eb="4">
      <t>メイ</t>
    </rPh>
    <phoneticPr fontId="2"/>
  </si>
  <si>
    <t>提出時期</t>
    <rPh sb="0" eb="2">
      <t>テイシュツ</t>
    </rPh>
    <rPh sb="2" eb="4">
      <t>ジキ</t>
    </rPh>
    <phoneticPr fontId="2"/>
  </si>
  <si>
    <t>01 使用承認申請書</t>
    <rPh sb="3" eb="5">
      <t>シヨウ</t>
    </rPh>
    <rPh sb="5" eb="7">
      <t>ショウニン</t>
    </rPh>
    <rPh sb="7" eb="10">
      <t>シンセイショ</t>
    </rPh>
    <phoneticPr fontId="2"/>
  </si>
  <si>
    <r>
      <t>ご入館日</t>
    </r>
    <r>
      <rPr>
        <b/>
        <u/>
        <sz val="10.5"/>
        <color theme="0"/>
        <rFont val="BIZ UDPゴシック"/>
        <family val="3"/>
        <charset val="128"/>
      </rPr>
      <t>1か月前まで</t>
    </r>
    <rPh sb="1" eb="3">
      <t>ニュウカン</t>
    </rPh>
    <rPh sb="3" eb="4">
      <t>ビ</t>
    </rPh>
    <rPh sb="6" eb="7">
      <t>ゲツ</t>
    </rPh>
    <rPh sb="7" eb="8">
      <t>マエ</t>
    </rPh>
    <phoneticPr fontId="2"/>
  </si>
  <si>
    <t>02 利用計画書</t>
    <rPh sb="3" eb="5">
      <t>リヨウ</t>
    </rPh>
    <rPh sb="5" eb="7">
      <t>ケイカク</t>
    </rPh>
    <rPh sb="7" eb="8">
      <t>ショ</t>
    </rPh>
    <phoneticPr fontId="2"/>
  </si>
  <si>
    <t>03 食事申込書</t>
    <rPh sb="3" eb="5">
      <t>ショクジ</t>
    </rPh>
    <rPh sb="5" eb="8">
      <t>モウシコミショ</t>
    </rPh>
    <phoneticPr fontId="2"/>
  </si>
  <si>
    <t>04 利用者名簿</t>
    <rPh sb="3" eb="6">
      <t>リヨウシャ</t>
    </rPh>
    <rPh sb="6" eb="8">
      <t>メイボ</t>
    </rPh>
    <phoneticPr fontId="2"/>
  </si>
  <si>
    <t>05 人数報告用紙</t>
    <rPh sb="3" eb="5">
      <t>ニンズウ</t>
    </rPh>
    <rPh sb="5" eb="7">
      <t>ホウコク</t>
    </rPh>
    <rPh sb="7" eb="9">
      <t>ヨウシ</t>
    </rPh>
    <phoneticPr fontId="2"/>
  </si>
  <si>
    <t>06 使用料減免申請書</t>
    <rPh sb="3" eb="6">
      <t>シヨウリョウ</t>
    </rPh>
    <rPh sb="6" eb="8">
      <t>ゲンメン</t>
    </rPh>
    <rPh sb="8" eb="11">
      <t>シンセイショ</t>
    </rPh>
    <phoneticPr fontId="2"/>
  </si>
  <si>
    <t>必要時に提出</t>
    <rPh sb="0" eb="2">
      <t>ヒツヨウ</t>
    </rPh>
    <rPh sb="2" eb="3">
      <t>ジ</t>
    </rPh>
    <rPh sb="4" eb="6">
      <t>テイシュツ</t>
    </rPh>
    <phoneticPr fontId="2"/>
  </si>
  <si>
    <t>07 車両動向報告書</t>
    <rPh sb="3" eb="5">
      <t>シャリョウ</t>
    </rPh>
    <rPh sb="5" eb="7">
      <t>ドウコウ</t>
    </rPh>
    <rPh sb="7" eb="10">
      <t>ホウコクショ</t>
    </rPh>
    <phoneticPr fontId="2"/>
  </si>
  <si>
    <t>08 利用日変更(取消)報告書</t>
    <rPh sb="3" eb="5">
      <t>リヨウ</t>
    </rPh>
    <rPh sb="5" eb="6">
      <t>ビ</t>
    </rPh>
    <rPh sb="6" eb="8">
      <t>ヘンコウ</t>
    </rPh>
    <rPh sb="9" eb="11">
      <t>トリケシ</t>
    </rPh>
    <rPh sb="12" eb="15">
      <t>ホウコクショ</t>
    </rPh>
    <phoneticPr fontId="2"/>
  </si>
  <si>
    <t>色付きの枠</t>
    <rPh sb="0" eb="2">
      <t>イロツ</t>
    </rPh>
    <rPh sb="4" eb="5">
      <t>ワク</t>
    </rPh>
    <phoneticPr fontId="2"/>
  </si>
  <si>
    <r>
      <t>　注意①：</t>
    </r>
    <r>
      <rPr>
        <b/>
        <u/>
        <sz val="11"/>
        <rFont val="HG丸ｺﾞｼｯｸM-PRO"/>
        <family val="3"/>
        <charset val="128"/>
      </rPr>
      <t>食事・食材・飲料を食堂内に持ち込むことは原則禁止</t>
    </r>
    <r>
      <rPr>
        <sz val="11"/>
        <rFont val="HG丸ｺﾞｼｯｸM-PRO"/>
        <family val="3"/>
        <charset val="128"/>
      </rPr>
      <t>です。</t>
    </r>
    <rPh sb="1" eb="3">
      <t>チュウイ</t>
    </rPh>
    <rPh sb="5" eb="7">
      <t>ショクジ</t>
    </rPh>
    <rPh sb="8" eb="10">
      <t>ショクザイ</t>
    </rPh>
    <rPh sb="11" eb="13">
      <t>インリョウ</t>
    </rPh>
    <rPh sb="14" eb="17">
      <t>ショクドウナイ</t>
    </rPh>
    <rPh sb="18" eb="19">
      <t>モ</t>
    </rPh>
    <rPh sb="20" eb="21">
      <t>コ</t>
    </rPh>
    <rPh sb="25" eb="27">
      <t>ゲンソク</t>
    </rPh>
    <rPh sb="27" eb="29">
      <t>キンシ</t>
    </rPh>
    <phoneticPr fontId="2"/>
  </si>
  <si>
    <r>
      <rPr>
        <b/>
        <sz val="12"/>
        <color indexed="8"/>
        <rFont val="BIZ UDPゴシック"/>
        <family val="3"/>
        <charset val="128"/>
      </rPr>
      <t>①</t>
    </r>
    <r>
      <rPr>
        <b/>
        <sz val="11"/>
        <color theme="1"/>
        <rFont val="BIZ UDPゴシック"/>
        <family val="3"/>
        <charset val="128"/>
      </rPr>
      <t>　アレルギー対応について</t>
    </r>
    <rPh sb="7" eb="9">
      <t>タイオウ</t>
    </rPh>
    <phoneticPr fontId="2"/>
  </si>
  <si>
    <t>特別な事情により、食事をお持ち込みになる方はいますか。</t>
    <rPh sb="9" eb="11">
      <t>ショクジ</t>
    </rPh>
    <phoneticPr fontId="2"/>
  </si>
  <si>
    <r>
      <t>④　炊事班編成　（</t>
    </r>
    <r>
      <rPr>
        <b/>
        <sz val="12"/>
        <color indexed="8"/>
        <rFont val="BIZ UDPゴシック"/>
        <family val="3"/>
        <charset val="128"/>
      </rPr>
      <t>太枠内のみ記入）</t>
    </r>
    <r>
      <rPr>
        <b/>
        <sz val="12"/>
        <color theme="1"/>
        <rFont val="BIZ UDPゴシック"/>
        <family val="3"/>
        <charset val="128"/>
      </rPr>
      <t>※１班あたりの目安は６人となります。</t>
    </r>
    <rPh sb="2" eb="5">
      <t>スイジハン</t>
    </rPh>
    <rPh sb="5" eb="7">
      <t>ヘンセイ</t>
    </rPh>
    <rPh sb="9" eb="12">
      <t>フトワクナイ</t>
    </rPh>
    <rPh sb="14" eb="16">
      <t>キニュウ</t>
    </rPh>
    <rPh sb="19" eb="20">
      <t>ハン</t>
    </rPh>
    <rPh sb="24" eb="26">
      <t>メヤス</t>
    </rPh>
    <rPh sb="28" eb="29">
      <t>ニン</t>
    </rPh>
    <phoneticPr fontId="2"/>
  </si>
  <si>
    <t>実利用者数</t>
    <rPh sb="0" eb="5">
      <t>ジツリヨウシャスウ</t>
    </rPh>
    <phoneticPr fontId="2"/>
  </si>
  <si>
    <t>延利用者数</t>
    <rPh sb="0" eb="1">
      <t>ノベ</t>
    </rPh>
    <rPh sb="1" eb="3">
      <t>リヨウ</t>
    </rPh>
    <rPh sb="3" eb="4">
      <t>シャ</t>
    </rPh>
    <rPh sb="4" eb="5">
      <t>スウ</t>
    </rPh>
    <phoneticPr fontId="2"/>
  </si>
  <si>
    <t>1泊</t>
    <rPh sb="1" eb="2">
      <t>ハク</t>
    </rPh>
    <phoneticPr fontId="2"/>
  </si>
  <si>
    <t>2泊</t>
    <rPh sb="1" eb="2">
      <t>ハク</t>
    </rPh>
    <phoneticPr fontId="2"/>
  </si>
  <si>
    <t>3泊</t>
    <rPh sb="1" eb="2">
      <t>ハク</t>
    </rPh>
    <phoneticPr fontId="2"/>
  </si>
  <si>
    <t>4泊</t>
    <rPh sb="1" eb="2">
      <t>ハク</t>
    </rPh>
    <phoneticPr fontId="2"/>
  </si>
  <si>
    <t>5泊</t>
    <rPh sb="1" eb="2">
      <t>ハク</t>
    </rPh>
    <phoneticPr fontId="2"/>
  </si>
  <si>
    <t>　令和５年度より、通常食における8大アレルゲン（小麦・乳・卵・えび・落花生・かに・そば・くるみ）の提供はありません。８大アレルゲン以外のアレルギー成分が含まれるものについては、団体の判断で自己除去をお願いします。なお、携帯弁当のみ８大アレルゲンが含まれます（小麦のみ）ので、該当する方は「アレルギー対応弁当」を選択してください。</t>
    <rPh sb="1" eb="3">
      <t>レイワ</t>
    </rPh>
    <rPh sb="4" eb="6">
      <t>ネンド</t>
    </rPh>
    <rPh sb="9" eb="12">
      <t>ツウジョウショク</t>
    </rPh>
    <rPh sb="17" eb="18">
      <t>ダイ</t>
    </rPh>
    <rPh sb="24" eb="26">
      <t>コムギ</t>
    </rPh>
    <rPh sb="27" eb="28">
      <t>ニュウ</t>
    </rPh>
    <rPh sb="29" eb="30">
      <t>タマゴ</t>
    </rPh>
    <rPh sb="34" eb="37">
      <t>ラッカセイ</t>
    </rPh>
    <rPh sb="49" eb="51">
      <t>テイキョウ</t>
    </rPh>
    <rPh sb="59" eb="60">
      <t>ダイ</t>
    </rPh>
    <rPh sb="65" eb="67">
      <t>イガイ</t>
    </rPh>
    <rPh sb="73" eb="75">
      <t>セイブン</t>
    </rPh>
    <rPh sb="76" eb="77">
      <t>フク</t>
    </rPh>
    <rPh sb="88" eb="90">
      <t>ダンタイ</t>
    </rPh>
    <rPh sb="91" eb="93">
      <t>ハンダン</t>
    </rPh>
    <rPh sb="94" eb="98">
      <t>ジコジョキョ</t>
    </rPh>
    <rPh sb="100" eb="101">
      <t>ネガ</t>
    </rPh>
    <rPh sb="109" eb="113">
      <t>ケイタイベントウ</t>
    </rPh>
    <rPh sb="116" eb="117">
      <t>ダイ</t>
    </rPh>
    <rPh sb="123" eb="124">
      <t>フク</t>
    </rPh>
    <rPh sb="129" eb="131">
      <t>コムギ</t>
    </rPh>
    <rPh sb="137" eb="139">
      <t>ガイトウ</t>
    </rPh>
    <rPh sb="141" eb="142">
      <t>カタ</t>
    </rPh>
    <rPh sb="149" eb="153">
      <t>タイオウベントウ</t>
    </rPh>
    <rPh sb="155" eb="157">
      <t>センタク</t>
    </rPh>
    <phoneticPr fontId="2"/>
  </si>
  <si>
    <t>（紙パック）麦茶</t>
    <rPh sb="1" eb="2">
      <t>カミ</t>
    </rPh>
    <rPh sb="6" eb="8">
      <t>ムギチャ</t>
    </rPh>
    <phoneticPr fontId="26"/>
  </si>
  <si>
    <t>（紙パック）りんご</t>
    <rPh sb="1" eb="2">
      <t>カミ</t>
    </rPh>
    <phoneticPr fontId="26"/>
  </si>
  <si>
    <t>（紙パック）オレンジ</t>
    <rPh sb="1" eb="2">
      <t>カミ</t>
    </rPh>
    <phoneticPr fontId="26"/>
  </si>
  <si>
    <t>（PET）麦茶</t>
    <rPh sb="5" eb="7">
      <t>ムギチャ</t>
    </rPh>
    <phoneticPr fontId="26"/>
  </si>
  <si>
    <t>炊事薪（防災炊事・おやつ）</t>
    <rPh sb="0" eb="3">
      <t>スイジマキ</t>
    </rPh>
    <rPh sb="4" eb="8">
      <t>ボウサイスイジ</t>
    </rPh>
    <phoneticPr fontId="2"/>
  </si>
  <si>
    <t>コード</t>
    <phoneticPr fontId="2"/>
  </si>
  <si>
    <t>001104</t>
    <phoneticPr fontId="2"/>
  </si>
  <si>
    <r>
      <t>ご入館日</t>
    </r>
    <r>
      <rPr>
        <b/>
        <u/>
        <sz val="10.5"/>
        <color theme="1"/>
        <rFont val="BIZ UDPゴシック"/>
        <family val="3"/>
        <charset val="128"/>
      </rPr>
      <t>２週間前まで</t>
    </r>
    <rPh sb="1" eb="3">
      <t>ニュウカン</t>
    </rPh>
    <rPh sb="3" eb="4">
      <t>ヒ</t>
    </rPh>
    <rPh sb="5" eb="7">
      <t>シュウカン</t>
    </rPh>
    <rPh sb="7" eb="8">
      <t>マエ</t>
    </rPh>
    <phoneticPr fontId="2"/>
  </si>
  <si>
    <t>14</t>
    <phoneticPr fontId="2"/>
  </si>
  <si>
    <t>月</t>
    <rPh sb="0" eb="1">
      <t>ゲツ</t>
    </rPh>
    <phoneticPr fontId="150"/>
  </si>
  <si>
    <t>30</t>
    <phoneticPr fontId="2"/>
  </si>
  <si>
    <t>31</t>
    <phoneticPr fontId="2"/>
  </si>
  <si>
    <t>令和7</t>
    <rPh sb="0" eb="2">
      <t>レイワ</t>
    </rPh>
    <phoneticPr fontId="7"/>
  </si>
  <si>
    <t>（紙パック）麦茶</t>
    <rPh sb="1" eb="2">
      <t>カミ</t>
    </rPh>
    <rPh sb="6" eb="8">
      <t>ムギチャ</t>
    </rPh>
    <phoneticPr fontId="2"/>
  </si>
  <si>
    <t>（紙パック）りんご</t>
    <rPh sb="1" eb="2">
      <t>カミ</t>
    </rPh>
    <phoneticPr fontId="2"/>
  </si>
  <si>
    <t>（紙パック）オレンジ</t>
    <rPh sb="1" eb="2">
      <t>カミ</t>
    </rPh>
    <phoneticPr fontId="2"/>
  </si>
  <si>
    <t>（PET）麦茶</t>
    <rPh sb="5" eb="7">
      <t>ムギチャ</t>
    </rPh>
    <phoneticPr fontId="2"/>
  </si>
  <si>
    <t>（PET）水</t>
    <rPh sb="5" eb="6">
      <t>ミズ</t>
    </rPh>
    <phoneticPr fontId="2"/>
  </si>
  <si>
    <t>マシュマロ（1人5個程度）</t>
    <rPh sb="7" eb="8">
      <t>ニン</t>
    </rPh>
    <rPh sb="9" eb="10">
      <t>コ</t>
    </rPh>
    <rPh sb="10" eb="12">
      <t>テイド</t>
    </rPh>
    <phoneticPr fontId="2"/>
  </si>
  <si>
    <t>カレーライス（材料、米0.6合）</t>
    <rPh sb="7" eb="9">
      <t>ザイリョウ</t>
    </rPh>
    <rPh sb="10" eb="11">
      <t>コメ</t>
    </rPh>
    <rPh sb="14" eb="15">
      <t>ゴウ</t>
    </rPh>
    <phoneticPr fontId="2"/>
  </si>
  <si>
    <t>肉野菜炒め（材料、米0.6合）</t>
    <rPh sb="0" eb="4">
      <t>ニクヤサイイタ</t>
    </rPh>
    <rPh sb="6" eb="8">
      <t>ザイリョウ</t>
    </rPh>
    <rPh sb="9" eb="10">
      <t>コメ</t>
    </rPh>
    <rPh sb="13" eb="14">
      <t>ゴウ</t>
    </rPh>
    <phoneticPr fontId="2"/>
  </si>
  <si>
    <t>豚汁（材料、米0.6合）</t>
    <rPh sb="0" eb="2">
      <t>ブタジル</t>
    </rPh>
    <rPh sb="3" eb="5">
      <t>ザイリョウ</t>
    </rPh>
    <rPh sb="6" eb="7">
      <t>コメ</t>
    </rPh>
    <rPh sb="10" eb="11">
      <t>ゴウ</t>
    </rPh>
    <phoneticPr fontId="2"/>
  </si>
  <si>
    <t>カレーライス（材料、米0.6合）</t>
    <phoneticPr fontId="2"/>
  </si>
  <si>
    <t>　カレーライス（材料、米0.6合）</t>
    <phoneticPr fontId="2"/>
  </si>
  <si>
    <t>肉野菜炒め（材料、米0.6合）</t>
    <phoneticPr fontId="2"/>
  </si>
  <si>
    <t>　肉野菜炒め（材料、米0.6合）</t>
    <phoneticPr fontId="2"/>
  </si>
  <si>
    <t>　マシュマロ（1人5個程度）</t>
    <rPh sb="8" eb="9">
      <t>ニン</t>
    </rPh>
    <rPh sb="10" eb="11">
      <t>コ</t>
    </rPh>
    <rPh sb="11" eb="13">
      <t>テイド</t>
    </rPh>
    <phoneticPr fontId="2"/>
  </si>
  <si>
    <t>　ポップコーン（1人50粒程度）</t>
    <phoneticPr fontId="2"/>
  </si>
  <si>
    <t>　豚汁（材料、米0.6合）</t>
    <rPh sb="1" eb="3">
      <t>ブタジル</t>
    </rPh>
    <rPh sb="4" eb="6">
      <t>ザイリョウ</t>
    </rPh>
    <rPh sb="7" eb="8">
      <t>コメ</t>
    </rPh>
    <rPh sb="11" eb="12">
      <t>ゴウ</t>
    </rPh>
    <phoneticPr fontId="2"/>
  </si>
  <si>
    <t>令和7</t>
    <rPh sb="0" eb="2">
      <t>レイワ</t>
    </rPh>
    <phoneticPr fontId="27"/>
  </si>
  <si>
    <t>ご飯大盛</t>
    <rPh sb="1" eb="2">
      <t>ハン</t>
    </rPh>
    <rPh sb="2" eb="4">
      <t>オオモリ</t>
    </rPh>
    <phoneticPr fontId="26"/>
  </si>
  <si>
    <t>ご飯大盛</t>
    <rPh sb="1" eb="2">
      <t>ハン</t>
    </rPh>
    <rPh sb="2" eb="4">
      <t>オオモリ</t>
    </rPh>
    <phoneticPr fontId="2"/>
  </si>
  <si>
    <t>塩おにぎり（おにぎり2個のみ）</t>
    <rPh sb="0" eb="1">
      <t>シオ</t>
    </rPh>
    <rPh sb="11" eb="12">
      <t>コ</t>
    </rPh>
    <phoneticPr fontId="2"/>
  </si>
  <si>
    <t>（PET）スポドリ</t>
    <phoneticPr fontId="26"/>
  </si>
  <si>
    <t>（PET）水</t>
    <rPh sb="5" eb="6">
      <t>ミズ</t>
    </rPh>
    <phoneticPr fontId="26"/>
  </si>
  <si>
    <t>　防災炊事（レトルトカレー、米0.7合、スプーン、炊飯用袋）</t>
    <phoneticPr fontId="2"/>
  </si>
  <si>
    <t>（PET）スポドリ</t>
    <phoneticPr fontId="2"/>
  </si>
  <si>
    <t>令和8</t>
    <rPh sb="0" eb="2">
      <t>レイワ</t>
    </rPh>
    <phoneticPr fontId="7"/>
  </si>
  <si>
    <t>令和7</t>
    <rPh sb="0" eb="2">
      <t>レイワ</t>
    </rPh>
    <phoneticPr fontId="2"/>
  </si>
  <si>
    <r>
      <t>　注意③：</t>
    </r>
    <r>
      <rPr>
        <b/>
        <u/>
        <sz val="14"/>
        <color rgb="FFFF0000"/>
        <rFont val="HG丸ｺﾞｼｯｸM-PRO"/>
        <family val="3"/>
        <charset val="128"/>
      </rPr>
      <t>食数変更は入館日5日前17：00まで</t>
    </r>
    <r>
      <rPr>
        <sz val="11"/>
        <rFont val="HG丸ｺﾞｼｯｸM-PRO"/>
        <family val="3"/>
        <charset val="128"/>
      </rPr>
      <t>、</t>
    </r>
    <r>
      <rPr>
        <b/>
        <u/>
        <sz val="11"/>
        <rFont val="HG丸ｺﾞｼｯｸM-PRO"/>
        <family val="3"/>
        <charset val="128"/>
      </rPr>
      <t>メニュー変更は入館日２週間前17：00まで</t>
    </r>
    <r>
      <rPr>
        <sz val="11"/>
        <rFont val="HG丸ｺﾞｼｯｸM-PRO"/>
        <family val="3"/>
        <charset val="128"/>
      </rPr>
      <t>です。
　　　　　　変更の際は、変更したい食事の「変更」欄をチェックして本書を再提出ください。</t>
    </r>
    <rPh sb="1" eb="3">
      <t>チュウイ</t>
    </rPh>
    <rPh sb="5" eb="7">
      <t>ショクスウ</t>
    </rPh>
    <rPh sb="7" eb="9">
      <t>ヘンコウ</t>
    </rPh>
    <rPh sb="10" eb="12">
      <t>ニュウカン</t>
    </rPh>
    <rPh sb="12" eb="13">
      <t>ビ</t>
    </rPh>
    <rPh sb="14" eb="16">
      <t>ニチマエ</t>
    </rPh>
    <rPh sb="28" eb="30">
      <t>ヘンコウ</t>
    </rPh>
    <rPh sb="31" eb="33">
      <t>ニュウカン</t>
    </rPh>
    <rPh sb="33" eb="34">
      <t>ビ</t>
    </rPh>
    <rPh sb="35" eb="37">
      <t>シュウカン</t>
    </rPh>
    <rPh sb="37" eb="38">
      <t>マエ</t>
    </rPh>
    <phoneticPr fontId="2"/>
  </si>
  <si>
    <t>食数変更
締切日</t>
    <rPh sb="0" eb="2">
      <t>ショクスウ</t>
    </rPh>
    <rPh sb="2" eb="4">
      <t>ヘンコウ</t>
    </rPh>
    <rPh sb="5" eb="7">
      <t>シメキリ</t>
    </rPh>
    <rPh sb="7" eb="8">
      <t>ビ</t>
    </rPh>
    <phoneticPr fontId="2"/>
  </si>
  <si>
    <t>令和8</t>
    <rPh sb="0" eb="2">
      <t>レイワ</t>
    </rPh>
    <phoneticPr fontId="27"/>
  </si>
  <si>
    <t>バス</t>
  </si>
  <si>
    <t>1</t>
    <phoneticPr fontId="7"/>
  </si>
  <si>
    <t>確認</t>
    <rPh sb="0" eb="2">
      <t>カクニン</t>
    </rPh>
    <phoneticPr fontId="2"/>
  </si>
  <si>
    <t>当日現金支払い</t>
    <rPh sb="0" eb="2">
      <t>トウジツ</t>
    </rPh>
    <rPh sb="2" eb="6">
      <t>ゲンキンシハラ</t>
    </rPh>
    <phoneticPr fontId="2"/>
  </si>
  <si>
    <t>入園料及び施設使用料</t>
    <rPh sb="0" eb="3">
      <t>ニュウエンリョウ</t>
    </rPh>
    <rPh sb="3" eb="4">
      <t>オヨ</t>
    </rPh>
    <rPh sb="5" eb="7">
      <t>シセツ</t>
    </rPh>
    <rPh sb="7" eb="9">
      <t>シヨウ</t>
    </rPh>
    <rPh sb="9" eb="10">
      <t>リョウ</t>
    </rPh>
    <phoneticPr fontId="2"/>
  </si>
  <si>
    <t>　■　領収・請求書を分割する場合は、領収・請求書を振り分けて宛名（※30文字上限）を記入してください。
　■　各領収・請求書に該当する数値を、下表以降の太枠内に記入してください。
　■　冬季（11/11～4/19）における入園料の記載は不要です。
　■　当日、午前8：45～9：00の間に、欠席の有無に関わらず、人数確定のお電話をお願いします。（011-591-0303）</t>
    <phoneticPr fontId="2"/>
  </si>
  <si>
    <t>札幌市青少年山の家　【人数報告用紙】</t>
    <rPh sb="0" eb="3">
      <t>サッポロシ</t>
    </rPh>
    <rPh sb="3" eb="7">
      <t>セイショウネンヤマ</t>
    </rPh>
    <rPh sb="8" eb="9">
      <t>イエ</t>
    </rPh>
    <rPh sb="11" eb="15">
      <t>ニンズウホウコク</t>
    </rPh>
    <rPh sb="15" eb="17">
      <t>ヨウシ</t>
    </rPh>
    <phoneticPr fontId="20"/>
  </si>
  <si>
    <t>★　支払い方法は入館日当日現金支払いのみとなります。ご確認ください。</t>
    <rPh sb="2" eb="4">
      <t>シハラ</t>
    </rPh>
    <rPh sb="5" eb="7">
      <t>ホウホウ</t>
    </rPh>
    <rPh sb="8" eb="11">
      <t>ニュウカンビ</t>
    </rPh>
    <rPh sb="11" eb="13">
      <t>トウジツ</t>
    </rPh>
    <rPh sb="13" eb="17">
      <t>ゲンキンシハラ</t>
    </rPh>
    <rPh sb="27" eb="29">
      <t>カクニン</t>
    </rPh>
    <phoneticPr fontId="2"/>
  </si>
  <si>
    <t>変更締切:利用日5日前午後5時</t>
    <phoneticPr fontId="2"/>
  </si>
  <si>
    <t>施設使用料・食事代</t>
    <rPh sb="0" eb="5">
      <t>シセツシヨウリョウ</t>
    </rPh>
    <rPh sb="6" eb="9">
      <t>ショクジダイ</t>
    </rPh>
    <phoneticPr fontId="2"/>
  </si>
  <si>
    <t>利用日の5日前午後5時締切</t>
    <rPh sb="0" eb="3">
      <t>リヨウビ</t>
    </rPh>
    <rPh sb="5" eb="7">
      <t>ニチマエ</t>
    </rPh>
    <rPh sb="7" eb="9">
      <t>ゴゴ</t>
    </rPh>
    <rPh sb="10" eb="11">
      <t>ジ</t>
    </rPh>
    <rPh sb="11" eb="13">
      <t>シメキリ</t>
    </rPh>
    <phoneticPr fontId="2"/>
  </si>
  <si>
    <t>入園料・その他</t>
    <rPh sb="0" eb="3">
      <t>ニュウエンリョウ</t>
    </rPh>
    <rPh sb="6" eb="7">
      <t>タ</t>
    </rPh>
    <phoneticPr fontId="2"/>
  </si>
  <si>
    <t>利用日の午前９時締切</t>
    <rPh sb="0" eb="3">
      <t>リヨウビ</t>
    </rPh>
    <rPh sb="4" eb="6">
      <t>ゴゼン</t>
    </rPh>
    <rPh sb="7" eb="8">
      <t>ジ</t>
    </rPh>
    <rPh sb="8" eb="10">
      <t>シメキリ</t>
    </rPh>
    <phoneticPr fontId="2"/>
  </si>
  <si>
    <t>変更締切日:当日午前9時</t>
    <phoneticPr fontId="2"/>
  </si>
  <si>
    <t>変更締切:当日午前9時</t>
    <phoneticPr fontId="2"/>
  </si>
  <si>
    <t>塩おにぎり（おにぎり2個のみ）</t>
    <phoneticPr fontId="2"/>
  </si>
  <si>
    <t>お弁当（おにぎり2、おかず）※小麦含む</t>
    <rPh sb="1" eb="3">
      <t>ベントウ</t>
    </rPh>
    <rPh sb="15" eb="17">
      <t>コムギ</t>
    </rPh>
    <rPh sb="17" eb="18">
      <t>フク</t>
    </rPh>
    <phoneticPr fontId="2"/>
  </si>
  <si>
    <t>麦茶（粉スティック、紙コップ）</t>
    <phoneticPr fontId="26"/>
  </si>
  <si>
    <t>お弁当（おにぎり2、おかず）※小麦含む</t>
    <rPh sb="15" eb="18">
      <t>コムギフク</t>
    </rPh>
    <phoneticPr fontId="2"/>
  </si>
  <si>
    <t>アレルギー弁当(8大対応)</t>
    <rPh sb="5" eb="7">
      <t>ベントウ</t>
    </rPh>
    <rPh sb="9" eb="10">
      <t>ダイ</t>
    </rPh>
    <rPh sb="10" eb="12">
      <t>タイオウ</t>
    </rPh>
    <phoneticPr fontId="2"/>
  </si>
  <si>
    <t>アレルギー弁当(8大対応)</t>
    <phoneticPr fontId="2"/>
  </si>
  <si>
    <t>ごはん炊き出し</t>
    <rPh sb="3" eb="4">
      <t>タ</t>
    </rPh>
    <rPh sb="5" eb="6">
      <t>ダ</t>
    </rPh>
    <phoneticPr fontId="2"/>
  </si>
  <si>
    <t>002237</t>
    <phoneticPr fontId="2"/>
  </si>
  <si>
    <t>002238</t>
    <phoneticPr fontId="2"/>
  </si>
  <si>
    <t>002239</t>
    <phoneticPr fontId="2"/>
  </si>
  <si>
    <t>002327</t>
    <phoneticPr fontId="2"/>
  </si>
  <si>
    <t>002328</t>
    <phoneticPr fontId="2"/>
  </si>
  <si>
    <t>002329</t>
    <phoneticPr fontId="2"/>
  </si>
  <si>
    <t>002127</t>
    <phoneticPr fontId="2"/>
  </si>
  <si>
    <t>002128</t>
    <phoneticPr fontId="2"/>
  </si>
  <si>
    <t>002129</t>
    <phoneticPr fontId="2"/>
  </si>
  <si>
    <t>002338</t>
    <phoneticPr fontId="2"/>
  </si>
  <si>
    <t>002339</t>
    <phoneticPr fontId="2"/>
  </si>
  <si>
    <t>002340</t>
    <phoneticPr fontId="2"/>
  </si>
  <si>
    <t>002341</t>
    <phoneticPr fontId="2"/>
  </si>
  <si>
    <t>002758</t>
    <phoneticPr fontId="2"/>
  </si>
  <si>
    <t>002760</t>
    <phoneticPr fontId="2"/>
  </si>
  <si>
    <t>002759</t>
    <phoneticPr fontId="2"/>
  </si>
  <si>
    <t>002953</t>
    <phoneticPr fontId="2"/>
  </si>
  <si>
    <t>002955</t>
    <phoneticPr fontId="2"/>
  </si>
  <si>
    <t>002954</t>
    <phoneticPr fontId="2"/>
  </si>
  <si>
    <t>002956</t>
    <phoneticPr fontId="2"/>
  </si>
  <si>
    <t>002957</t>
    <phoneticPr fontId="2"/>
  </si>
  <si>
    <t>002958</t>
    <phoneticPr fontId="2"/>
  </si>
  <si>
    <t>002520</t>
    <phoneticPr fontId="2"/>
  </si>
  <si>
    <t>002614</t>
    <phoneticPr fontId="2"/>
  </si>
  <si>
    <t>002521</t>
    <phoneticPr fontId="2"/>
  </si>
  <si>
    <t>002616</t>
    <phoneticPr fontId="2"/>
  </si>
  <si>
    <t>002522</t>
    <phoneticPr fontId="2"/>
  </si>
  <si>
    <t>002615</t>
    <phoneticPr fontId="2"/>
  </si>
  <si>
    <t>002609</t>
    <phoneticPr fontId="2"/>
  </si>
  <si>
    <t>002612</t>
    <phoneticPr fontId="2"/>
  </si>
  <si>
    <t>009929</t>
    <phoneticPr fontId="2"/>
  </si>
  <si>
    <t>009928</t>
    <phoneticPr fontId="2"/>
  </si>
  <si>
    <t>009927</t>
    <phoneticPr fontId="2"/>
  </si>
  <si>
    <t>009926</t>
    <phoneticPr fontId="2"/>
  </si>
  <si>
    <t>009924</t>
    <phoneticPr fontId="2"/>
  </si>
  <si>
    <t>005101</t>
    <phoneticPr fontId="2"/>
  </si>
  <si>
    <t>005102</t>
    <phoneticPr fontId="2"/>
  </si>
  <si>
    <t>005103</t>
    <phoneticPr fontId="2"/>
  </si>
  <si>
    <t>005104</t>
    <phoneticPr fontId="2"/>
  </si>
  <si>
    <t>キャンプファイヤー薪セット</t>
    <rPh sb="9" eb="10">
      <t>マキ</t>
    </rPh>
    <phoneticPr fontId="20"/>
  </si>
  <si>
    <t>009925</t>
    <phoneticPr fontId="2"/>
  </si>
  <si>
    <t>宿泊税</t>
    <rPh sb="0" eb="3">
      <t>シュクハクゼイ</t>
    </rPh>
    <phoneticPr fontId="2"/>
  </si>
  <si>
    <t>300</t>
    <phoneticPr fontId="2"/>
  </si>
  <si>
    <r>
      <t>■領収書又は請求書は、当日会計手続き時にお渡しいたします。なお、</t>
    </r>
    <r>
      <rPr>
        <b/>
        <u/>
        <sz val="16"/>
        <rFont val="BIZ UDPゴシック"/>
        <family val="3"/>
        <charset val="128"/>
      </rPr>
      <t>領収書及び請求書は再発行できません</t>
    </r>
    <r>
      <rPr>
        <sz val="16"/>
        <rFont val="BIZ UDPゴシック"/>
        <family val="3"/>
        <charset val="128"/>
      </rPr>
      <t>ので、記入内容を十分に確認してください。
■利用者名簿の人数と本紙は関連付けされております。</t>
    </r>
    <r>
      <rPr>
        <b/>
        <u/>
        <sz val="16"/>
        <rFont val="BIZ UDPゴシック"/>
        <family val="3"/>
        <charset val="128"/>
      </rPr>
      <t>人数の変更があった場合は、必ず【利用者名簿】の修正から</t>
    </r>
    <r>
      <rPr>
        <sz val="16"/>
        <rFont val="BIZ UDPゴシック"/>
        <family val="3"/>
        <charset val="128"/>
      </rPr>
      <t>おこなってください。</t>
    </r>
    <rPh sb="1" eb="4">
      <t>リョウシュウショ</t>
    </rPh>
    <rPh sb="4" eb="5">
      <t>マタ</t>
    </rPh>
    <rPh sb="6" eb="9">
      <t>セイキュウショ</t>
    </rPh>
    <rPh sb="11" eb="13">
      <t>トウジツ</t>
    </rPh>
    <rPh sb="13" eb="15">
      <t>カイケイ</t>
    </rPh>
    <rPh sb="15" eb="17">
      <t>テツヅ</t>
    </rPh>
    <rPh sb="18" eb="19">
      <t>ジ</t>
    </rPh>
    <rPh sb="21" eb="22">
      <t>ワタ</t>
    </rPh>
    <rPh sb="34" eb="35">
      <t>ショ</t>
    </rPh>
    <rPh sb="35" eb="36">
      <t>オヨ</t>
    </rPh>
    <rPh sb="57" eb="59">
      <t>ジュウブン</t>
    </rPh>
    <rPh sb="60" eb="62">
      <t>カクニン</t>
    </rPh>
    <rPh sb="71" eb="74">
      <t>リヨウシャ</t>
    </rPh>
    <rPh sb="74" eb="76">
      <t>メイボ</t>
    </rPh>
    <rPh sb="77" eb="79">
      <t>ニンズウ</t>
    </rPh>
    <rPh sb="80" eb="82">
      <t>ホンシ</t>
    </rPh>
    <rPh sb="83" eb="85">
      <t>カンレン</t>
    </rPh>
    <rPh sb="85" eb="86">
      <t>ヅ</t>
    </rPh>
    <rPh sb="95" eb="97">
      <t>ニンズウ</t>
    </rPh>
    <rPh sb="98" eb="100">
      <t>ヘンコウ</t>
    </rPh>
    <rPh sb="104" eb="106">
      <t>バアイ</t>
    </rPh>
    <rPh sb="108" eb="109">
      <t>カナラ</t>
    </rPh>
    <rPh sb="111" eb="114">
      <t>リヨウシャ</t>
    </rPh>
    <rPh sb="114" eb="116">
      <t>メイボ</t>
    </rPh>
    <rPh sb="118" eb="120">
      <t>シュウセイ</t>
    </rPh>
    <phoneticPr fontId="2"/>
  </si>
  <si>
    <r>
      <rPr>
        <sz val="19"/>
        <rFont val="BIZ UDPゴシック"/>
        <family val="3"/>
        <charset val="128"/>
      </rPr>
      <t>以下の主催行事に参加する満3歳以上の幼児と引率職員がいる団体は</t>
    </r>
    <r>
      <rPr>
        <sz val="19"/>
        <rFont val="Segoe UI Symbol"/>
        <family val="3"/>
      </rPr>
      <t>☑</t>
    </r>
    <r>
      <rPr>
        <sz val="19"/>
        <rFont val="BIZ UDPゴシック"/>
        <family val="3"/>
        <charset val="128"/>
      </rPr>
      <t>を付けてください。</t>
    </r>
    <r>
      <rPr>
        <sz val="20"/>
        <rFont val="BIZ UDPゴシック"/>
        <family val="3"/>
        <charset val="128"/>
      </rPr>
      <t xml:space="preserve">
</t>
    </r>
    <r>
      <rPr>
        <sz val="14"/>
        <rFont val="BIZ UDPゴシック"/>
        <family val="3"/>
        <charset val="128"/>
      </rPr>
      <t>　※幼保連携型認定こども園、家庭的保育事業、小規模保育事業、居宅訪問型保育事業又は事業所内保育事業を行う施設
　　　保育所、認可外保育施設</t>
    </r>
    <rPh sb="0" eb="2">
      <t>イカ</t>
    </rPh>
    <rPh sb="33" eb="34">
      <t>ツ</t>
    </rPh>
    <phoneticPr fontId="2"/>
  </si>
  <si>
    <t>令和9</t>
    <rPh sb="0" eb="2">
      <t>レイワ</t>
    </rPh>
    <phoneticPr fontId="7"/>
  </si>
  <si>
    <t>駐車
料金</t>
    <rPh sb="0" eb="2">
      <t>チュウシャ</t>
    </rPh>
    <rPh sb="3" eb="5">
      <t>リョウキン</t>
    </rPh>
    <phoneticPr fontId="150"/>
  </si>
  <si>
    <t>（実費支払）</t>
    <rPh sb="1" eb="6">
      <t>ジッピ</t>
    </rPh>
    <phoneticPr fontId="150"/>
  </si>
  <si>
    <t>●　事前報告のあった車両のみ入・退園することができます。
●　滝野の森口（通称：森口）通行可能時間は、緊急時を除き、原則7：00～19：00です。
●　入・退園及び荷物積込の際、マイクロバス以外の大型バス駐・停車場所は、南駐車場です。
●　乗用車の駐車台数が５台を超えた場合、南駐車場への駐車をお願いします。
　　　　　　　　　　　　　　　　　　　　　　　　　　　　　　　　（6台目から駐車料金は各団体の負担となります）
●　送迎車は30分以内の入退園のみ無料です。</t>
    <rPh sb="120" eb="123">
      <t>ジョウヨウシャ</t>
    </rPh>
    <rPh sb="124" eb="128">
      <t>チュウシャダイスウ</t>
    </rPh>
    <rPh sb="130" eb="131">
      <t>ダイ</t>
    </rPh>
    <rPh sb="132" eb="133">
      <t>コ</t>
    </rPh>
    <rPh sb="135" eb="137">
      <t>バアイ</t>
    </rPh>
    <rPh sb="138" eb="142">
      <t>ミナミチュウシャジョウ</t>
    </rPh>
    <rPh sb="144" eb="146">
      <t>チュウシャ</t>
    </rPh>
    <rPh sb="148" eb="149">
      <t>ネガ</t>
    </rPh>
    <rPh sb="189" eb="191">
      <t>ダイメ</t>
    </rPh>
    <rPh sb="193" eb="197">
      <t>チュウシャリョウキン</t>
    </rPh>
    <rPh sb="198" eb="201">
      <t>カクダンタイ</t>
    </rPh>
    <rPh sb="213" eb="216">
      <t>ソウゲイシャ</t>
    </rPh>
    <rPh sb="219" eb="220">
      <t>フン</t>
    </rPh>
    <rPh sb="220" eb="222">
      <t>イナイ</t>
    </rPh>
    <phoneticPr fontId="150"/>
  </si>
  <si>
    <t>領収・請求書６</t>
    <rPh sb="0" eb="2">
      <t>リョウシュウ</t>
    </rPh>
    <rPh sb="3" eb="6">
      <t>セイキュウショ</t>
    </rPh>
    <phoneticPr fontId="20"/>
  </si>
  <si>
    <t>●　事前報告のあった車両のみ入・退園することができます。
●　滝野の森口（通称：森口）通行可能時間は、緊急時を除き、原則7：00～19：00です。
●　入・退園及び荷物積込の際、マイクロバス以外の大型バス駐・停車場所は、南駐車場です。
●　乗用車の駐車台数が５台を超えた場合、南駐車場への駐車をお願いします。（6台目から駐車料金(1台500円)は各団体の負担となります）
●　送迎車は30分以内の入退園のみ無料です。</t>
    <rPh sb="120" eb="123">
      <t>ジョウヨウシャ</t>
    </rPh>
    <rPh sb="124" eb="128">
      <t>チュウシャダイスウ</t>
    </rPh>
    <rPh sb="130" eb="131">
      <t>ダイ</t>
    </rPh>
    <rPh sb="132" eb="133">
      <t>コ</t>
    </rPh>
    <rPh sb="135" eb="137">
      <t>バアイ</t>
    </rPh>
    <rPh sb="138" eb="142">
      <t>ミナミチュウシャジョウ</t>
    </rPh>
    <rPh sb="144" eb="146">
      <t>チュウシャ</t>
    </rPh>
    <rPh sb="148" eb="149">
      <t>ネガ</t>
    </rPh>
    <rPh sb="156" eb="158">
      <t>ダイメ</t>
    </rPh>
    <rPh sb="160" eb="164">
      <t>チュウシャリョウキン</t>
    </rPh>
    <rPh sb="166" eb="167">
      <t>ダイ</t>
    </rPh>
    <rPh sb="170" eb="171">
      <t>エン</t>
    </rPh>
    <rPh sb="173" eb="176">
      <t>カクダンタイ</t>
    </rPh>
    <rPh sb="188" eb="191">
      <t>ソウゲイシャ</t>
    </rPh>
    <rPh sb="194" eb="195">
      <t>フン</t>
    </rPh>
    <rPh sb="195" eb="197">
      <t>イナイ</t>
    </rPh>
    <phoneticPr fontId="150"/>
  </si>
  <si>
    <t>通常食ボリュームアップ
（うす味チヂミ）</t>
    <rPh sb="0" eb="3">
      <t>ツウジョウショク</t>
    </rPh>
    <rPh sb="15" eb="16">
      <t>アジ</t>
    </rPh>
    <phoneticPr fontId="26"/>
  </si>
  <si>
    <t>通常食ボリュームアップ
（うす味たれ付肉団子）</t>
    <rPh sb="0" eb="3">
      <t>ツウジョウショク</t>
    </rPh>
    <rPh sb="15" eb="16">
      <t>アジ</t>
    </rPh>
    <rPh sb="18" eb="19">
      <t>ツキ</t>
    </rPh>
    <rPh sb="19" eb="22">
      <t>ニクダンゴ</t>
    </rPh>
    <phoneticPr fontId="26"/>
  </si>
  <si>
    <t>通常食ボリュームアップ
（チキンナゲット）</t>
    <rPh sb="0" eb="3">
      <t>ツウジョウショク</t>
    </rPh>
    <phoneticPr fontId="26"/>
  </si>
  <si>
    <t>通常食ボリュームアップ
（豆腐包み焼き）</t>
    <rPh sb="0" eb="3">
      <t>ツウジョウショク</t>
    </rPh>
    <rPh sb="13" eb="16">
      <t>トウフツツ</t>
    </rPh>
    <rPh sb="17" eb="18">
      <t>ヤ</t>
    </rPh>
    <phoneticPr fontId="26"/>
  </si>
  <si>
    <t>豚汁（材料、米なし）</t>
    <rPh sb="0" eb="2">
      <t>ブタジル</t>
    </rPh>
    <rPh sb="3" eb="5">
      <t>ザイリョウ</t>
    </rPh>
    <rPh sb="6" eb="7">
      <t>コメ</t>
    </rPh>
    <phoneticPr fontId="2"/>
  </si>
  <si>
    <t>炊事</t>
  </si>
  <si>
    <t>未就学児</t>
    <rPh sb="0" eb="4">
      <t>ミシュウガクジ</t>
    </rPh>
    <phoneticPr fontId="26"/>
  </si>
  <si>
    <t>　■　領収・請求書を分割する場合は、領収・請求書を振り分けて宛名（※30文字上限）を記入してください。
　■　各領収・請求書に該当する数値を、下表以降の太枠内に記入してください。
　■　冬季（11/11～4/18）における入園料の記載は不要です。
　■　当日、午前8：45～9：00の間に、欠席の有無に関わらず、人数確定のお電話をお願いします。（011-591-0303）</t>
    <phoneticPr fontId="2"/>
  </si>
  <si>
    <t>R7メニュー</t>
    <phoneticPr fontId="2"/>
  </si>
  <si>
    <t>ハンバーグ</t>
    <phoneticPr fontId="2"/>
  </si>
  <si>
    <t>グラタン</t>
    <phoneticPr fontId="2"/>
  </si>
  <si>
    <t>メンチカツ</t>
    <phoneticPr fontId="2"/>
  </si>
  <si>
    <t>通常食ボリュームアップ
（チヂミ）</t>
    <rPh sb="0" eb="3">
      <t>ツウジョウショク</t>
    </rPh>
    <phoneticPr fontId="26"/>
  </si>
  <si>
    <t>ふくろ炊飯+レトルトカレー（米0.6合、レトルトカレー、袋、スプーン）</t>
    <rPh sb="3" eb="5">
      <t>スイハン</t>
    </rPh>
    <rPh sb="14" eb="15">
      <t>コメ</t>
    </rPh>
    <rPh sb="18" eb="19">
      <t>ゴウ</t>
    </rPh>
    <rPh sb="28" eb="29">
      <t>フクロ</t>
    </rPh>
    <phoneticPr fontId="26"/>
  </si>
  <si>
    <t>カレーライス（材料、米0.6合おまかせ炊飯）</t>
    <rPh sb="7" eb="9">
      <t>ザイリョウ</t>
    </rPh>
    <rPh sb="10" eb="11">
      <t>コメ</t>
    </rPh>
    <rPh sb="14" eb="15">
      <t>ゴウ</t>
    </rPh>
    <rPh sb="19" eb="21">
      <t>スイハン</t>
    </rPh>
    <phoneticPr fontId="2"/>
  </si>
  <si>
    <t>肉野菜炒め（材料、米0.6合おまかせ炊飯）</t>
    <rPh sb="0" eb="4">
      <t>ニクヤサイイタ</t>
    </rPh>
    <rPh sb="6" eb="8">
      <t>ザイリョウ</t>
    </rPh>
    <rPh sb="9" eb="10">
      <t>コメ</t>
    </rPh>
    <rPh sb="13" eb="14">
      <t>ゴウ</t>
    </rPh>
    <rPh sb="18" eb="20">
      <t>スイハン</t>
    </rPh>
    <phoneticPr fontId="2"/>
  </si>
  <si>
    <t>豚汁（材料、米0.6合おまかせ炊飯）</t>
    <rPh sb="0" eb="2">
      <t>ブタジル</t>
    </rPh>
    <rPh sb="3" eb="5">
      <t>ザイリョウ</t>
    </rPh>
    <rPh sb="6" eb="7">
      <t>コメ</t>
    </rPh>
    <rPh sb="10" eb="11">
      <t>ゴウ</t>
    </rPh>
    <rPh sb="15" eb="17">
      <t>スイハン</t>
    </rPh>
    <phoneticPr fontId="2"/>
  </si>
  <si>
    <t>火</t>
    <rPh sb="0" eb="1">
      <t>カ</t>
    </rPh>
    <phoneticPr fontId="2"/>
  </si>
  <si>
    <t>水</t>
    <rPh sb="0" eb="1">
      <t>スイ</t>
    </rPh>
    <phoneticPr fontId="2"/>
  </si>
  <si>
    <t>※炊事を選択された場合、かまど数確認のため、食数分の班編成をご記入ください。</t>
    <rPh sb="1" eb="3">
      <t>スイジ</t>
    </rPh>
    <rPh sb="4" eb="6">
      <t>センタク</t>
    </rPh>
    <rPh sb="9" eb="11">
      <t>バアイ</t>
    </rPh>
    <rPh sb="15" eb="16">
      <t>スウ</t>
    </rPh>
    <rPh sb="16" eb="18">
      <t>カクニン</t>
    </rPh>
    <rPh sb="22" eb="25">
      <t>ショクスウブン</t>
    </rPh>
    <rPh sb="26" eb="29">
      <t>ハンヘンセイ</t>
    </rPh>
    <rPh sb="31" eb="33">
      <t>キニュウ</t>
    </rPh>
    <phoneticPr fontId="26"/>
  </si>
  <si>
    <t>キャンプファイヤートーチ棒（1本）</t>
    <rPh sb="12" eb="13">
      <t>ボウ</t>
    </rPh>
    <rPh sb="15" eb="16">
      <t>ホン</t>
    </rPh>
    <phoneticPr fontId="20"/>
  </si>
  <si>
    <t>通常食ボリュームアップ
（肉団子）</t>
    <rPh sb="0" eb="3">
      <t>ツウジョウショク</t>
    </rPh>
    <rPh sb="13" eb="16">
      <t>ニクダンゴ</t>
    </rPh>
    <phoneticPr fontId="26"/>
  </si>
  <si>
    <t>通常食ボリュームアップ
（ナゲット）</t>
    <rPh sb="0" eb="3">
      <t>ツウジョウショク</t>
    </rPh>
    <phoneticPr fontId="26"/>
  </si>
  <si>
    <t>通常食ボリュームアップ
（豆腐）</t>
    <rPh sb="0" eb="3">
      <t>ツウジョウショク</t>
    </rPh>
    <rPh sb="13" eb="15">
      <t>トウフ</t>
    </rPh>
    <phoneticPr fontId="26"/>
  </si>
  <si>
    <t>***</t>
    <phoneticPr fontId="2"/>
  </si>
  <si>
    <t>札幌市青少年山の家【利用計画書】</t>
  </si>
  <si>
    <t>団体名：</t>
  </si>
  <si>
    <t>人数：</t>
  </si>
  <si>
    <t>特記事項
備考</t>
    <rPh sb="0" eb="2">
      <t>トッキ</t>
    </rPh>
    <rPh sb="2" eb="4">
      <t>ジコウ</t>
    </rPh>
    <phoneticPr fontId="150"/>
  </si>
  <si>
    <t>利用日</t>
  </si>
  <si>
    <r>
      <rPr>
        <sz val="15"/>
        <color rgb="FF000000"/>
        <rFont val="ＭＳ Ｐゴシック"/>
        <family val="3"/>
        <charset val="128"/>
        <scheme val="major"/>
      </rPr>
      <t>晴天時プログラム</t>
    </r>
  </si>
  <si>
    <r>
      <rPr>
        <sz val="15"/>
        <color rgb="FF000000"/>
        <rFont val="ＭＳ Ｐゴシック"/>
        <family val="3"/>
        <charset val="128"/>
        <scheme val="major"/>
      </rPr>
      <t>荒天時プログラム</t>
    </r>
  </si>
  <si>
    <r>
      <rPr>
        <b/>
        <sz val="14"/>
        <color rgb="FF000000"/>
        <rFont val="ＭＳ Ｐゴシック"/>
        <family val="3"/>
        <charset val="128"/>
        <scheme val="major"/>
      </rPr>
      <t>消灯</t>
    </r>
  </si>
  <si>
    <r>
      <rPr>
        <b/>
        <sz val="12"/>
        <color rgb="FF000000"/>
        <rFont val="ＭＳ Ｐゴシック"/>
        <family val="3"/>
        <charset val="128"/>
        <scheme val="major"/>
      </rPr>
      <t>食堂利用可能時間</t>
    </r>
  </si>
  <si>
    <r>
      <rPr>
        <b/>
        <sz val="12"/>
        <color rgb="FF000000"/>
        <rFont val="ＭＳ Ｐゴシック"/>
        <family val="3"/>
        <charset val="128"/>
        <scheme val="major"/>
      </rPr>
      <t>入浴可能時間</t>
    </r>
  </si>
  <si>
    <t>メニュー変更、
取り消し　締切日</t>
    <rPh sb="4" eb="6">
      <t>ヘンコウ</t>
    </rPh>
    <rPh sb="8" eb="9">
      <t>ト</t>
    </rPh>
    <rPh sb="10" eb="11">
      <t>ケ</t>
    </rPh>
    <rPh sb="13" eb="15">
      <t>シメキリ</t>
    </rPh>
    <rPh sb="15" eb="16">
      <t>ビ</t>
    </rPh>
    <phoneticPr fontId="2"/>
  </si>
  <si>
    <t>入館</t>
    <rPh sb="0" eb="2">
      <t>ニュウカン</t>
    </rPh>
    <phoneticPr fontId="150"/>
  </si>
  <si>
    <t>ハイキング</t>
    <phoneticPr fontId="150"/>
  </si>
  <si>
    <t>運動（多目）</t>
    <rPh sb="0" eb="2">
      <t>ウンドウ</t>
    </rPh>
    <rPh sb="3" eb="5">
      <t>タモク</t>
    </rPh>
    <phoneticPr fontId="150"/>
  </si>
  <si>
    <t>入浴</t>
    <rPh sb="0" eb="2">
      <t>ニュウヨク</t>
    </rPh>
    <phoneticPr fontId="150"/>
  </si>
  <si>
    <t>焚火（くわのみ広場）</t>
    <rPh sb="0" eb="2">
      <t>タキビ</t>
    </rPh>
    <rPh sb="7" eb="9">
      <t>ヒロバ</t>
    </rPh>
    <phoneticPr fontId="150"/>
  </si>
  <si>
    <t>起床</t>
    <rPh sb="0" eb="2">
      <t>キショウ</t>
    </rPh>
    <phoneticPr fontId="150"/>
  </si>
  <si>
    <t>通常食（食堂）</t>
    <rPh sb="0" eb="3">
      <t>ツウジョウショク</t>
    </rPh>
    <rPh sb="4" eb="6">
      <t>ショクドウ</t>
    </rPh>
    <phoneticPr fontId="150"/>
  </si>
  <si>
    <t>通常食（食堂）</t>
    <rPh sb="0" eb="2">
      <t>ツウジョウ</t>
    </rPh>
    <rPh sb="2" eb="3">
      <t>ショク</t>
    </rPh>
    <rPh sb="4" eb="6">
      <t>ショクドウ</t>
    </rPh>
    <phoneticPr fontId="150"/>
  </si>
  <si>
    <t>就寝準備・就寝</t>
    <rPh sb="0" eb="2">
      <t>シュウシン</t>
    </rPh>
    <rPh sb="2" eb="4">
      <t>ジュンビ</t>
    </rPh>
    <rPh sb="5" eb="7">
      <t>シュウシン</t>
    </rPh>
    <phoneticPr fontId="150"/>
  </si>
  <si>
    <t>荷物整理</t>
    <rPh sb="0" eb="4">
      <t>ニモツセイリ</t>
    </rPh>
    <phoneticPr fontId="150"/>
  </si>
  <si>
    <t>退館</t>
    <rPh sb="0" eb="2">
      <t>タイカン</t>
    </rPh>
    <phoneticPr fontId="150"/>
  </si>
  <si>
    <t>振り返り（スズラン）</t>
    <rPh sb="0" eb="1">
      <t>フ</t>
    </rPh>
    <rPh sb="2" eb="3">
      <t>カエ</t>
    </rPh>
    <phoneticPr fontId="150"/>
  </si>
  <si>
    <t>始まりの会、レク（スズラン）</t>
    <rPh sb="0" eb="1">
      <t>ハジ</t>
    </rPh>
    <rPh sb="4" eb="5">
      <t>カイ</t>
    </rPh>
    <phoneticPr fontId="150"/>
  </si>
  <si>
    <t>清掃自主チェック、スズランへ荷物移動</t>
    <rPh sb="0" eb="2">
      <t>セイソウ</t>
    </rPh>
    <rPh sb="2" eb="4">
      <t>ジシュ</t>
    </rPh>
    <rPh sb="14" eb="18">
      <t>ニモツイドウ</t>
    </rPh>
    <phoneticPr fontId="150"/>
  </si>
  <si>
    <t>※当公園及び当施設利用上のきまりに沿って、利用計画（いつ・どこで・なにを）を立ててください（晴天・荒天共に）。</t>
    <phoneticPr fontId="150"/>
  </si>
  <si>
    <t>　　　午前10：00
　　　　～午前10：00</t>
    <rPh sb="3" eb="5">
      <t>ゴゼン</t>
    </rPh>
    <rPh sb="16" eb="18">
      <t>ゴゼン</t>
    </rPh>
    <phoneticPr fontId="2"/>
  </si>
  <si>
    <t>午前9：00
　　　～午後5：00</t>
    <rPh sb="0" eb="2">
      <t>ゴゼン</t>
    </rPh>
    <rPh sb="11" eb="13">
      <t>ゴゴ</t>
    </rPh>
    <phoneticPr fontId="2"/>
  </si>
  <si>
    <t>※複数団体の利用調整により、計画どおりにならない場合があります。</t>
    <phoneticPr fontId="150"/>
  </si>
  <si>
    <t>研修（スズラン）</t>
    <phoneticPr fontId="150"/>
  </si>
  <si>
    <t>宿泊室へ荷物移動、準備</t>
    <rPh sb="0" eb="3">
      <t>シュクハクシツ</t>
    </rPh>
    <rPh sb="9" eb="11">
      <t>ジュンビ</t>
    </rPh>
    <phoneticPr fontId="150"/>
  </si>
  <si>
    <t>シーツ準備、休憩</t>
    <phoneticPr fontId="150"/>
  </si>
  <si>
    <t>炊飯+レトルトカレー（米0.6合、レトルトカレー）</t>
    <phoneticPr fontId="26"/>
  </si>
  <si>
    <t>炊飯+レトルトカレー（米0.6合、レトルトカレー）</t>
    <rPh sb="0" eb="2">
      <t>スイハン</t>
    </rPh>
    <rPh sb="11" eb="12">
      <t>コメ</t>
    </rPh>
    <rPh sb="15" eb="16">
      <t>ゴウ</t>
    </rPh>
    <phoneticPr fontId="2"/>
  </si>
  <si>
    <t>カレーライス（材料、米0.6合おまかせ炊飯）</t>
  </si>
  <si>
    <t>雨天時は、多目的ホールのボールを借りたいです。</t>
    <rPh sb="0" eb="3">
      <t>ウテンジ</t>
    </rPh>
    <rPh sb="5" eb="8">
      <t>タモクテキ</t>
    </rPh>
    <rPh sb="16" eb="17">
      <t>カ</t>
    </rPh>
    <phoneticPr fontId="150"/>
  </si>
  <si>
    <t>１食減らします</t>
    <rPh sb="1" eb="2">
      <t>ショク</t>
    </rPh>
    <rPh sb="2" eb="3">
      <t>ヘ</t>
    </rPh>
    <phoneticPr fontId="26"/>
  </si>
  <si>
    <t>ベースボールスクール山の家　子ども</t>
    <rPh sb="10" eb="11">
      <t>ヤマ</t>
    </rPh>
    <rPh sb="12" eb="13">
      <t>イエ</t>
    </rPh>
    <rPh sb="14" eb="15">
      <t>コ</t>
    </rPh>
    <phoneticPr fontId="2"/>
  </si>
  <si>
    <t>ベースボールスクール山の家　コーチ</t>
    <rPh sb="10" eb="11">
      <t>ヤマ</t>
    </rPh>
    <rPh sb="12" eb="13">
      <t>イエ</t>
    </rPh>
    <phoneticPr fontId="2"/>
  </si>
  <si>
    <t>保護者</t>
    <rPh sb="0" eb="3">
      <t>ホゴシャ</t>
    </rPh>
    <phoneticPr fontId="2"/>
  </si>
  <si>
    <t>　（PET500ml）
スポドリ</t>
    <phoneticPr fontId="2"/>
  </si>
  <si>
    <t>　（PET500ml）
麦茶</t>
    <phoneticPr fontId="2"/>
  </si>
  <si>
    <t>保護者</t>
    <rPh sb="0" eb="3">
      <t>ホゴシャ</t>
    </rPh>
    <phoneticPr fontId="150"/>
  </si>
  <si>
    <t>炊事体験料（炊飯を伴う炊事メニュー）</t>
    <rPh sb="0" eb="2">
      <t>スイジ</t>
    </rPh>
    <rPh sb="2" eb="5">
      <t>タイケンリョウ</t>
    </rPh>
    <rPh sb="6" eb="8">
      <t>スイハン</t>
    </rPh>
    <rPh sb="9" eb="10">
      <t>トモナ</t>
    </rPh>
    <rPh sb="11" eb="13">
      <t>スイジ</t>
    </rPh>
    <phoneticPr fontId="2"/>
  </si>
  <si>
    <t>炊事体験料（おまかせ炊飯・レトルト・豚汁米なし・マシュマロ）</t>
    <rPh sb="0" eb="2">
      <t>スイジ</t>
    </rPh>
    <rPh sb="2" eb="5">
      <t>タイケンリョウ</t>
    </rPh>
    <rPh sb="10" eb="12">
      <t>スイハン</t>
    </rPh>
    <rPh sb="18" eb="20">
      <t>トンジル</t>
    </rPh>
    <rPh sb="20" eb="21">
      <t>コメ</t>
    </rPh>
    <phoneticPr fontId="2"/>
  </si>
  <si>
    <t>丸太で炊事体験</t>
    <rPh sb="0" eb="2">
      <t>マルタ</t>
    </rPh>
    <rPh sb="3" eb="7">
      <t>スイジタイケン</t>
    </rPh>
    <phoneticPr fontId="2"/>
  </si>
  <si>
    <t>まい切り式火おこし体験</t>
    <rPh sb="2" eb="3">
      <t>ギ</t>
    </rPh>
    <rPh sb="4" eb="5">
      <t>シキ</t>
    </rPh>
    <rPh sb="5" eb="6">
      <t>ヒ</t>
    </rPh>
    <rPh sb="9" eb="11">
      <t>タイケン</t>
    </rPh>
    <phoneticPr fontId="2"/>
  </si>
  <si>
    <t>焚火体験（焚火台・薪4本）</t>
    <rPh sb="0" eb="2">
      <t>タキビ</t>
    </rPh>
    <rPh sb="1" eb="2">
      <t>ビ</t>
    </rPh>
    <rPh sb="2" eb="4">
      <t>タイケン</t>
    </rPh>
    <rPh sb="5" eb="8">
      <t>タキビダイ</t>
    </rPh>
    <rPh sb="9" eb="10">
      <t>マキ</t>
    </rPh>
    <rPh sb="11" eb="12">
      <t>ホン</t>
    </rPh>
    <phoneticPr fontId="2"/>
  </si>
  <si>
    <t>送迎</t>
  </si>
  <si>
    <t>送迎及び6台目以降</t>
    <rPh sb="0" eb="2">
      <t>ソウゲイ</t>
    </rPh>
    <rPh sb="2" eb="3">
      <t>オヨ</t>
    </rPh>
    <rPh sb="5" eb="7">
      <t>ダイメ</t>
    </rPh>
    <rPh sb="7" eb="9">
      <t>イコウ</t>
    </rPh>
    <phoneticPr fontId="150"/>
  </si>
  <si>
    <t>ブラウン</t>
    <phoneticPr fontId="150"/>
  </si>
  <si>
    <t>レッド</t>
    <phoneticPr fontId="150"/>
  </si>
  <si>
    <t>送迎</t>
    <phoneticPr fontId="150"/>
  </si>
  <si>
    <t>滝野</t>
    <rPh sb="0" eb="2">
      <t>タキノ</t>
    </rPh>
    <phoneticPr fontId="150"/>
  </si>
  <si>
    <t>山家</t>
    <rPh sb="0" eb="2">
      <t>ヤマイエ</t>
    </rPh>
    <phoneticPr fontId="150"/>
  </si>
  <si>
    <t>札幌</t>
    <rPh sb="0" eb="2">
      <t>サッポロ</t>
    </rPh>
    <phoneticPr fontId="150"/>
  </si>
  <si>
    <t>南</t>
    <rPh sb="0" eb="1">
      <t>ミナミ</t>
    </rPh>
    <phoneticPr fontId="150"/>
  </si>
  <si>
    <t>道民</t>
    <rPh sb="0" eb="1">
      <t>ミチ</t>
    </rPh>
    <rPh sb="1" eb="2">
      <t>ミン</t>
    </rPh>
    <phoneticPr fontId="150"/>
  </si>
  <si>
    <t>マイクロ</t>
  </si>
  <si>
    <t>北</t>
    <rPh sb="0" eb="1">
      <t>キタ</t>
    </rPh>
    <phoneticPr fontId="150"/>
  </si>
  <si>
    <t>バス運転手</t>
    <rPh sb="2" eb="5">
      <t>ウンテンシュ</t>
    </rPh>
    <phoneticPr fontId="150"/>
  </si>
  <si>
    <t>山の家駐車場</t>
    <phoneticPr fontId="150"/>
  </si>
  <si>
    <t>駐車料金無料※日帰り・
宿泊5台分まで</t>
    <rPh sb="0" eb="4">
      <t>チュウシャリョウキン</t>
    </rPh>
    <rPh sb="4" eb="6">
      <t>ムリョウ</t>
    </rPh>
    <rPh sb="7" eb="9">
      <t>ヒガエ</t>
    </rPh>
    <rPh sb="12" eb="14">
      <t>シュクハク</t>
    </rPh>
    <rPh sb="15" eb="16">
      <t>ダイ</t>
    </rPh>
    <rPh sb="16" eb="17">
      <t>ブン</t>
    </rPh>
    <phoneticPr fontId="150"/>
  </si>
  <si>
    <t>ver.2026.4.1</t>
    <phoneticPr fontId="4"/>
  </si>
  <si>
    <t>野外炊事（昼食）</t>
    <rPh sb="0" eb="4">
      <t>ヤガイスイジ</t>
    </rPh>
    <rPh sb="5" eb="7">
      <t>チュウショク</t>
    </rPh>
    <phoneticPr fontId="2"/>
  </si>
  <si>
    <t>野外炊事（夕食）</t>
    <rPh sb="0" eb="4">
      <t>ヤガイスイジ</t>
    </rPh>
    <rPh sb="5" eb="7">
      <t>ユウショク</t>
    </rPh>
    <phoneticPr fontId="26"/>
  </si>
  <si>
    <t>１日目</t>
    <rPh sb="1" eb="2">
      <t>ニチ</t>
    </rPh>
    <rPh sb="2" eb="3">
      <t>メ</t>
    </rPh>
    <phoneticPr fontId="150"/>
  </si>
  <si>
    <t>2日目</t>
    <rPh sb="1" eb="3">
      <t>ニチメ</t>
    </rPh>
    <phoneticPr fontId="150"/>
  </si>
  <si>
    <t>3日目</t>
    <rPh sb="1" eb="3">
      <t>ニチメ</t>
    </rPh>
    <phoneticPr fontId="150"/>
  </si>
  <si>
    <t>4日目</t>
    <rPh sb="1" eb="3">
      <t>ニチメ</t>
    </rPh>
    <phoneticPr fontId="150"/>
  </si>
  <si>
    <t>5日目</t>
    <rPh sb="1" eb="3">
      <t>ニチメ</t>
    </rPh>
    <phoneticPr fontId="150"/>
  </si>
  <si>
    <t>2026/03/21（土）</t>
    <rPh sb="11" eb="12">
      <t>ド</t>
    </rPh>
    <phoneticPr fontId="26"/>
  </si>
  <si>
    <t>2026/03/30（月）</t>
    <rPh sb="11" eb="12">
      <t>ゲツ</t>
    </rPh>
    <phoneticPr fontId="26"/>
  </si>
  <si>
    <t>誠に恐縮ですが、事務手続きを円滑に進めるため、メールの件名およびファイル名には、以下の通り**「団体名」と「利用日」**をご記入いただけますでしょうか。　　例：　ベースボールスクール山の家_0404.xlsx</t>
    <rPh sb="48" eb="50">
      <t>ダンタイ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</si>
</sst>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6" formatCode="&quot;¥&quot;#,##0;[Red]&quot;¥&quot;\-#,##0"/>
    <numFmt numFmtId="176" formatCode="#,##0_ "/>
    <numFmt numFmtId="177" formatCode="0_ "/>
    <numFmt numFmtId="178" formatCode="0;0;"/>
    <numFmt numFmtId="179" formatCode="#,##0_ ;[Red]\-#,##0\ "/>
    <numFmt numFmtId="180" formatCode="#,##0_);[Red]\(#,##0\)"/>
    <numFmt numFmtId="181" formatCode="0_);[Red]\(0\)"/>
    <numFmt numFmtId="182" formatCode="#;;"/>
    <numFmt numFmtId="183" formatCode="0_);\(0\)"/>
    <numFmt numFmtId="184" formatCode="0;\-0;0"/>
    <numFmt numFmtId="185" formatCode="[&lt;=999]000;[&lt;=9999]000\-00;000\-0000"/>
    <numFmt numFmtId="186" formatCode="#;\0;0"/>
    <numFmt numFmtId="187" formatCode="#;\0;00"/>
    <numFmt numFmtId="188" formatCode="#"/>
    <numFmt numFmtId="189" formatCode="h:mm;@"/>
    <numFmt numFmtId="190" formatCode="h&quot;:&quot;mm"/>
    <numFmt numFmtId="191" formatCode="yyyy/mm/dd\ \(aaa\)"/>
  </numFmts>
  <fonts count="218">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name val="ＭＳ Ｐゴシック"/>
      <family val="3"/>
      <charset val="128"/>
    </font>
    <font>
      <sz val="6"/>
      <name val="ＭＳ Ｐゴシック"/>
      <family val="3"/>
      <charset val="128"/>
    </font>
    <font>
      <sz val="11"/>
      <color indexed="10"/>
      <name val="ＭＳ Ｐゴシック"/>
      <family val="3"/>
      <charset val="128"/>
    </font>
    <font>
      <b/>
      <sz val="11"/>
      <color indexed="8"/>
      <name val="ＭＳ Ｐゴシック"/>
      <family val="3"/>
      <charset val="128"/>
    </font>
    <font>
      <sz val="6"/>
      <name val="ＭＳ Ｐゴシック"/>
      <family val="3"/>
      <charset val="128"/>
    </font>
    <font>
      <sz val="20"/>
      <color indexed="8"/>
      <name val="ＭＳ Ｐゴシック"/>
      <family val="3"/>
      <charset val="128"/>
    </font>
    <font>
      <sz val="11"/>
      <color indexed="8"/>
      <name val="ＭＳ Ｐ明朝"/>
      <family val="1"/>
      <charset val="128"/>
    </font>
    <font>
      <sz val="9"/>
      <color indexed="8"/>
      <name val="ＭＳ Ｐ明朝"/>
      <family val="1"/>
      <charset val="128"/>
    </font>
    <font>
      <b/>
      <sz val="9"/>
      <color indexed="8"/>
      <name val="ＭＳ Ｐゴシック"/>
      <family val="3"/>
      <charset val="128"/>
    </font>
    <font>
      <sz val="14"/>
      <color indexed="8"/>
      <name val="ＭＳ Ｐゴシック"/>
      <family val="3"/>
      <charset val="128"/>
    </font>
    <font>
      <sz val="11"/>
      <name val="ＭＳ Ｐ明朝"/>
      <family val="1"/>
      <charset val="128"/>
    </font>
    <font>
      <b/>
      <sz val="11"/>
      <name val="ＭＳ Ｐゴシック"/>
      <family val="3"/>
      <charset val="128"/>
    </font>
    <font>
      <sz val="9"/>
      <color indexed="8"/>
      <name val="ＭＳ Ｐゴシック"/>
      <family val="3"/>
      <charset val="128"/>
    </font>
    <font>
      <sz val="8"/>
      <color indexed="10"/>
      <name val="ＭＳ Ｐゴシック"/>
      <family val="3"/>
      <charset val="128"/>
    </font>
    <font>
      <sz val="12"/>
      <name val="HG丸ｺﾞｼｯｸM-PRO"/>
      <family val="3"/>
      <charset val="128"/>
    </font>
    <font>
      <sz val="10"/>
      <name val="HG丸ｺﾞｼｯｸM-PRO"/>
      <family val="3"/>
      <charset val="128"/>
    </font>
    <font>
      <sz val="8"/>
      <color indexed="8"/>
      <name val="ＭＳ Ｐゴシック"/>
      <family val="3"/>
      <charset val="128"/>
    </font>
    <font>
      <sz val="6"/>
      <name val="Osaka"/>
      <family val="3"/>
      <charset val="128"/>
    </font>
    <font>
      <sz val="16"/>
      <name val="ＭＳ Ｐ明朝"/>
      <family val="1"/>
      <charset val="128"/>
    </font>
    <font>
      <sz val="14"/>
      <name val="HG丸ｺﾞｼｯｸM-PRO"/>
      <family val="3"/>
      <charset val="128"/>
    </font>
    <font>
      <b/>
      <sz val="12"/>
      <name val="HG丸ｺﾞｼｯｸM-PRO"/>
      <family val="3"/>
      <charset val="128"/>
    </font>
    <font>
      <sz val="18"/>
      <name val="ＭＳ Ｐ明朝"/>
      <family val="1"/>
      <charset val="128"/>
    </font>
    <font>
      <sz val="11"/>
      <name val="HG丸ｺﾞｼｯｸM-PRO"/>
      <family val="3"/>
      <charset val="128"/>
    </font>
    <font>
      <sz val="6"/>
      <name val="ＭＳ Ｐゴシック"/>
      <family val="3"/>
      <charset val="128"/>
    </font>
    <font>
      <sz val="6"/>
      <name val="ＭＳ Ｐゴシック"/>
      <family val="3"/>
      <charset val="128"/>
    </font>
    <font>
      <sz val="12"/>
      <color indexed="8"/>
      <name val="ＭＳ Ｐ明朝"/>
      <family val="1"/>
      <charset val="128"/>
    </font>
    <font>
      <sz val="6"/>
      <name val="HG丸ｺﾞｼｯｸM-PRO"/>
      <family val="3"/>
      <charset val="128"/>
    </font>
    <font>
      <sz val="11"/>
      <color theme="1"/>
      <name val="ＭＳ Ｐゴシック"/>
      <family val="3"/>
      <charset val="128"/>
      <scheme val="minor"/>
    </font>
    <font>
      <sz val="11"/>
      <color theme="0"/>
      <name val="ＭＳ Ｐゴシック"/>
      <family val="3"/>
      <charset val="128"/>
      <scheme val="minor"/>
    </font>
    <font>
      <b/>
      <sz val="11"/>
      <color theme="1"/>
      <name val="ＭＳ Ｐゴシック"/>
      <family val="3"/>
      <charset val="128"/>
      <scheme val="minor"/>
    </font>
    <font>
      <sz val="12"/>
      <color theme="1"/>
      <name val="ＭＳ 明朝"/>
      <family val="1"/>
      <charset val="128"/>
    </font>
    <font>
      <b/>
      <sz val="10"/>
      <name val="ＭＳ Ｐゴシック"/>
      <family val="3"/>
      <charset val="128"/>
      <scheme val="minor"/>
    </font>
    <font>
      <sz val="12"/>
      <color theme="1"/>
      <name val="ＭＳ Ｐゴシック"/>
      <family val="3"/>
      <charset val="128"/>
      <scheme val="minor"/>
    </font>
    <font>
      <sz val="10"/>
      <name val="ＭＳ Ｐゴシック"/>
      <family val="3"/>
      <charset val="128"/>
      <scheme val="minor"/>
    </font>
    <font>
      <sz val="10"/>
      <color theme="1"/>
      <name val="ＭＳ Ｐゴシック"/>
      <family val="3"/>
      <charset val="128"/>
      <scheme val="minor"/>
    </font>
    <font>
      <sz val="14"/>
      <name val="ＭＳ Ｐゴシック"/>
      <family val="3"/>
      <charset val="128"/>
      <scheme val="minor"/>
    </font>
    <font>
      <sz val="11"/>
      <name val="ＭＳ Ｐゴシック"/>
      <family val="3"/>
      <charset val="128"/>
      <scheme val="minor"/>
    </font>
    <font>
      <sz val="11"/>
      <color theme="1"/>
      <name val="ＭＳ ゴシック"/>
      <family val="3"/>
      <charset val="128"/>
    </font>
    <font>
      <sz val="11"/>
      <color theme="1"/>
      <name val="ＭＳ Ｐゴシック"/>
      <family val="3"/>
      <charset val="128"/>
    </font>
    <font>
      <sz val="11"/>
      <color theme="1"/>
      <name val="ＭＳ Ｐ明朝"/>
      <family val="1"/>
      <charset val="128"/>
    </font>
    <font>
      <sz val="14"/>
      <color theme="1"/>
      <name val="ＭＳ Ｐゴシック"/>
      <family val="3"/>
      <charset val="128"/>
      <scheme val="minor"/>
    </font>
    <font>
      <b/>
      <sz val="11"/>
      <color theme="1"/>
      <name val="ＭＳ ゴシック"/>
      <family val="3"/>
      <charset val="128"/>
    </font>
    <font>
      <sz val="12"/>
      <color rgb="FFFF0000"/>
      <name val="HG丸ｺﾞｼｯｸM-PRO"/>
      <family val="3"/>
      <charset val="128"/>
    </font>
    <font>
      <sz val="16"/>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b/>
      <sz val="12"/>
      <color theme="1"/>
      <name val="ＭＳ 明朝"/>
      <family val="1"/>
      <charset val="128"/>
    </font>
    <font>
      <sz val="12"/>
      <color theme="0"/>
      <name val="ＭＳ Ｐゴシック"/>
      <family val="3"/>
      <charset val="128"/>
      <scheme val="minor"/>
    </font>
    <font>
      <sz val="9"/>
      <color theme="0" tint="-0.34998626667073579"/>
      <name val="ＭＳ Ｐゴシック"/>
      <family val="3"/>
      <charset val="128"/>
    </font>
    <font>
      <sz val="11"/>
      <color theme="0" tint="-0.34998626667073579"/>
      <name val="ＭＳ Ｐゴシック"/>
      <family val="3"/>
      <charset val="128"/>
      <scheme val="minor"/>
    </font>
    <font>
      <sz val="10"/>
      <color theme="0" tint="-0.34998626667073579"/>
      <name val="HG丸ｺﾞｼｯｸM-PRO"/>
      <family val="3"/>
      <charset val="128"/>
    </font>
    <font>
      <sz val="11"/>
      <color theme="0" tint="-0.34998626667073579"/>
      <name val="ＭＳ Ｐゴシック"/>
      <family val="3"/>
      <charset val="128"/>
    </font>
    <font>
      <sz val="20"/>
      <color theme="0" tint="-0.34998626667073579"/>
      <name val="ＭＳ Ｐゴシック"/>
      <family val="3"/>
      <charset val="128"/>
    </font>
    <font>
      <i/>
      <sz val="11"/>
      <color theme="0" tint="-0.34998626667073579"/>
      <name val="ＭＳ Ｐゴシック"/>
      <family val="3"/>
      <charset val="128"/>
      <scheme val="minor"/>
    </font>
    <font>
      <sz val="14"/>
      <color theme="0" tint="-0.34998626667073579"/>
      <name val="ＭＳ Ｐゴシック"/>
      <family val="3"/>
      <charset val="128"/>
      <scheme val="minor"/>
    </font>
    <font>
      <b/>
      <sz val="11"/>
      <color theme="0" tint="-0.34998626667073579"/>
      <name val="ＭＳ Ｐゴシック"/>
      <family val="3"/>
      <charset val="128"/>
      <scheme val="minor"/>
    </font>
    <font>
      <b/>
      <sz val="10"/>
      <color theme="0" tint="-0.34998626667073579"/>
      <name val="ＭＳ Ｐゴシック"/>
      <family val="3"/>
      <charset val="128"/>
      <scheme val="minor"/>
    </font>
    <font>
      <sz val="6"/>
      <color theme="0" tint="-0.34998626667073579"/>
      <name val="ＭＳ Ｐゴシック"/>
      <family val="3"/>
      <charset val="128"/>
    </font>
    <font>
      <sz val="12"/>
      <name val="ＭＳ Ｐゴシック"/>
      <family val="3"/>
      <charset val="128"/>
      <scheme val="major"/>
    </font>
    <font>
      <sz val="20"/>
      <color theme="0"/>
      <name val="ＭＳ Ｐゴシック"/>
      <family val="3"/>
      <charset val="128"/>
      <scheme val="minor"/>
    </font>
    <font>
      <b/>
      <sz val="11"/>
      <color theme="1"/>
      <name val="ＭＳ Ｐゴシック"/>
      <family val="3"/>
      <charset val="128"/>
    </font>
    <font>
      <sz val="8"/>
      <color theme="0" tint="-0.34998626667073579"/>
      <name val="ＭＳ Ｐゴシック"/>
      <family val="3"/>
      <charset val="128"/>
    </font>
    <font>
      <sz val="10"/>
      <color theme="0"/>
      <name val="ＭＳ Ｐゴシック"/>
      <family val="3"/>
      <charset val="128"/>
      <scheme val="minor"/>
    </font>
    <font>
      <sz val="16"/>
      <color theme="0"/>
      <name val="ＭＳ Ｐゴシック"/>
      <family val="3"/>
      <charset val="128"/>
      <scheme val="minor"/>
    </font>
    <font>
      <sz val="16"/>
      <color theme="0"/>
      <name val="ＭＳ Ｐ明朝"/>
      <family val="1"/>
      <charset val="128"/>
    </font>
    <font>
      <sz val="14"/>
      <color theme="0"/>
      <name val="ＭＳ Ｐゴシック"/>
      <family val="3"/>
      <charset val="128"/>
      <scheme val="minor"/>
    </font>
    <font>
      <b/>
      <sz val="14"/>
      <color theme="0"/>
      <name val="ＭＳ Ｐゴシック"/>
      <family val="3"/>
      <charset val="128"/>
      <scheme val="minor"/>
    </font>
    <font>
      <b/>
      <sz val="26"/>
      <color theme="0"/>
      <name val="ＭＳ Ｐゴシック"/>
      <family val="3"/>
      <charset val="128"/>
      <scheme val="minor"/>
    </font>
    <font>
      <sz val="18"/>
      <color theme="0"/>
      <name val="ＭＳ Ｐゴシック"/>
      <family val="3"/>
      <charset val="128"/>
      <scheme val="minor"/>
    </font>
    <font>
      <b/>
      <sz val="28"/>
      <color theme="0"/>
      <name val="ＭＳ Ｐ明朝"/>
      <family val="1"/>
      <charset val="128"/>
    </font>
    <font>
      <b/>
      <sz val="9"/>
      <name val="ＭＳ Ｐゴシック"/>
      <family val="3"/>
      <charset val="128"/>
      <scheme val="minor"/>
    </font>
    <font>
      <sz val="9"/>
      <color theme="0"/>
      <name val="ＭＳ Ｐ明朝"/>
      <family val="1"/>
      <charset val="128"/>
    </font>
    <font>
      <sz val="9"/>
      <color rgb="FF000000"/>
      <name val="MS UI Gothic"/>
      <family val="3"/>
      <charset val="128"/>
    </font>
    <font>
      <sz val="10"/>
      <color rgb="FF336699"/>
      <name val="メイリオ"/>
      <family val="3"/>
      <charset val="128"/>
    </font>
    <font>
      <sz val="11"/>
      <color rgb="FF333333"/>
      <name val="ＭＳ Ｐゴシック"/>
      <family val="3"/>
      <charset val="128"/>
      <scheme val="minor"/>
    </font>
    <font>
      <u/>
      <sz val="11"/>
      <color theme="10"/>
      <name val="ＭＳ Ｐゴシック"/>
      <family val="3"/>
      <charset val="128"/>
      <scheme val="minor"/>
    </font>
    <font>
      <sz val="10"/>
      <color theme="0" tint="-0.34998626667073579"/>
      <name val="ＭＳ Ｐゴシック"/>
      <family val="3"/>
      <charset val="128"/>
      <scheme val="minor"/>
    </font>
    <font>
      <sz val="11"/>
      <color theme="1"/>
      <name val="HG丸ｺﾞｼｯｸM-PRO"/>
      <family val="3"/>
      <charset val="128"/>
    </font>
    <font>
      <b/>
      <u/>
      <sz val="11"/>
      <name val="HG丸ｺﾞｼｯｸM-PRO"/>
      <family val="3"/>
      <charset val="128"/>
    </font>
    <font>
      <b/>
      <sz val="12"/>
      <color theme="1"/>
      <name val="BIZ UDPゴシック"/>
      <family val="3"/>
      <charset val="128"/>
    </font>
    <font>
      <b/>
      <sz val="12"/>
      <color indexed="8"/>
      <name val="BIZ UDPゴシック"/>
      <family val="3"/>
      <charset val="128"/>
    </font>
    <font>
      <sz val="11"/>
      <color theme="1"/>
      <name val="BIZ UDPゴシック"/>
      <family val="3"/>
      <charset val="128"/>
    </font>
    <font>
      <b/>
      <sz val="11"/>
      <color theme="0"/>
      <name val="HG丸ｺﾞｼｯｸM-PRO"/>
      <family val="3"/>
      <charset val="128"/>
    </font>
    <font>
      <sz val="14"/>
      <color indexed="8"/>
      <name val="BIZ UDPゴシック"/>
      <family val="3"/>
      <charset val="128"/>
    </font>
    <font>
      <sz val="9"/>
      <color indexed="8"/>
      <name val="BIZ UDPゴシック"/>
      <family val="3"/>
      <charset val="128"/>
    </font>
    <font>
      <sz val="20"/>
      <color indexed="8"/>
      <name val="BIZ UDPゴシック"/>
      <family val="3"/>
      <charset val="128"/>
    </font>
    <font>
      <b/>
      <sz val="9"/>
      <color indexed="8"/>
      <name val="BIZ UDPゴシック"/>
      <family val="3"/>
      <charset val="128"/>
    </font>
    <font>
      <b/>
      <sz val="11"/>
      <color theme="0"/>
      <name val="BIZ UDPゴシック"/>
      <family val="3"/>
      <charset val="128"/>
    </font>
    <font>
      <sz val="11"/>
      <color theme="0"/>
      <name val="BIZ UDPゴシック"/>
      <family val="3"/>
      <charset val="128"/>
    </font>
    <font>
      <sz val="11"/>
      <color indexed="8"/>
      <name val="BIZ UDPゴシック"/>
      <family val="3"/>
      <charset val="128"/>
    </font>
    <font>
      <sz val="20"/>
      <color theme="1"/>
      <name val="BIZ UDPゴシック"/>
      <family val="3"/>
      <charset val="128"/>
    </font>
    <font>
      <sz val="9"/>
      <color theme="1"/>
      <name val="BIZ UDPゴシック"/>
      <family val="3"/>
      <charset val="128"/>
    </font>
    <font>
      <sz val="10"/>
      <name val="BIZ UDPゴシック"/>
      <family val="3"/>
      <charset val="128"/>
    </font>
    <font>
      <sz val="8"/>
      <name val="BIZ UDPゴシック"/>
      <family val="3"/>
      <charset val="128"/>
    </font>
    <font>
      <sz val="20"/>
      <name val="BIZ UDPゴシック"/>
      <family val="3"/>
      <charset val="128"/>
    </font>
    <font>
      <sz val="14"/>
      <name val="BIZ UDPゴシック"/>
      <family val="3"/>
      <charset val="128"/>
    </font>
    <font>
      <sz val="14"/>
      <color theme="1"/>
      <name val="BIZ UDPゴシック"/>
      <family val="3"/>
      <charset val="128"/>
    </font>
    <font>
      <sz val="10"/>
      <color theme="0"/>
      <name val="BIZ UDPゴシック"/>
      <family val="3"/>
      <charset val="128"/>
    </font>
    <font>
      <sz val="22"/>
      <name val="BIZ UDPゴシック"/>
      <family val="3"/>
      <charset val="128"/>
    </font>
    <font>
      <sz val="12"/>
      <name val="BIZ UDPゴシック"/>
      <family val="3"/>
      <charset val="128"/>
    </font>
    <font>
      <sz val="12"/>
      <color theme="1"/>
      <name val="BIZ UDPゴシック"/>
      <family val="3"/>
      <charset val="128"/>
    </font>
    <font>
      <sz val="10"/>
      <color theme="1"/>
      <name val="BIZ UDPゴシック"/>
      <family val="3"/>
      <charset val="128"/>
    </font>
    <font>
      <u/>
      <sz val="11"/>
      <color theme="1"/>
      <name val="BIZ UDPゴシック"/>
      <family val="3"/>
      <charset val="128"/>
    </font>
    <font>
      <b/>
      <sz val="11"/>
      <color theme="1"/>
      <name val="BIZ UDPゴシック"/>
      <family val="3"/>
      <charset val="128"/>
    </font>
    <font>
      <b/>
      <sz val="14"/>
      <name val="BIZ UDPゴシック"/>
      <family val="3"/>
      <charset val="128"/>
    </font>
    <font>
      <i/>
      <sz val="11"/>
      <color theme="1"/>
      <name val="BIZ UDPゴシック"/>
      <family val="3"/>
      <charset val="128"/>
    </font>
    <font>
      <b/>
      <sz val="9"/>
      <color theme="1"/>
      <name val="BIZ UDPゴシック"/>
      <family val="3"/>
      <charset val="128"/>
    </font>
    <font>
      <sz val="11"/>
      <name val="BIZ UDPゴシック"/>
      <family val="3"/>
      <charset val="128"/>
    </font>
    <font>
      <b/>
      <sz val="11"/>
      <color indexed="8"/>
      <name val="BIZ UDPゴシック"/>
      <family val="3"/>
      <charset val="128"/>
    </font>
    <font>
      <b/>
      <sz val="14"/>
      <color theme="1"/>
      <name val="BIZ UDPゴシック"/>
      <family val="3"/>
      <charset val="128"/>
    </font>
    <font>
      <b/>
      <sz val="16"/>
      <color theme="1"/>
      <name val="BIZ UDPゴシック"/>
      <family val="3"/>
      <charset val="128"/>
    </font>
    <font>
      <b/>
      <sz val="18"/>
      <color theme="1"/>
      <name val="BIZ UDPゴシック"/>
      <family val="3"/>
      <charset val="128"/>
    </font>
    <font>
      <u/>
      <sz val="11"/>
      <color theme="0"/>
      <name val="BIZ UDPゴシック"/>
      <family val="3"/>
      <charset val="128"/>
    </font>
    <font>
      <b/>
      <sz val="11"/>
      <name val="BIZ UDPゴシック"/>
      <family val="3"/>
      <charset val="128"/>
    </font>
    <font>
      <b/>
      <sz val="9"/>
      <name val="BIZ UDPゴシック"/>
      <family val="3"/>
      <charset val="128"/>
    </font>
    <font>
      <b/>
      <u/>
      <sz val="12"/>
      <color indexed="8"/>
      <name val="BIZ UDPゴシック"/>
      <family val="3"/>
      <charset val="128"/>
    </font>
    <font>
      <sz val="12"/>
      <color indexed="8"/>
      <name val="BIZ UDPゴシック"/>
      <family val="3"/>
      <charset val="128"/>
    </font>
    <font>
      <sz val="20"/>
      <color theme="0"/>
      <name val="BIZ UDPゴシック"/>
      <family val="3"/>
      <charset val="128"/>
    </font>
    <font>
      <b/>
      <sz val="12"/>
      <color rgb="FF000000"/>
      <name val="BIZ UDPゴシック"/>
      <family val="3"/>
      <charset val="128"/>
    </font>
    <font>
      <b/>
      <sz val="20"/>
      <name val="BIZ UDPゴシック"/>
      <family val="3"/>
      <charset val="128"/>
    </font>
    <font>
      <b/>
      <sz val="26"/>
      <name val="BIZ UDPゴシック"/>
      <family val="3"/>
      <charset val="128"/>
    </font>
    <font>
      <sz val="16"/>
      <name val="BIZ UDPゴシック"/>
      <family val="3"/>
      <charset val="128"/>
    </font>
    <font>
      <b/>
      <u/>
      <sz val="16"/>
      <name val="BIZ UDPゴシック"/>
      <family val="3"/>
      <charset val="128"/>
    </font>
    <font>
      <sz val="18"/>
      <name val="BIZ UDPゴシック"/>
      <family val="3"/>
      <charset val="128"/>
    </font>
    <font>
      <sz val="16"/>
      <color theme="0"/>
      <name val="BIZ UDPゴシック"/>
      <family val="3"/>
      <charset val="128"/>
    </font>
    <font>
      <sz val="18"/>
      <color theme="1"/>
      <name val="BIZ UDPゴシック"/>
      <family val="3"/>
      <charset val="128"/>
    </font>
    <font>
      <b/>
      <sz val="16"/>
      <name val="BIZ UDPゴシック"/>
      <family val="3"/>
      <charset val="128"/>
    </font>
    <font>
      <b/>
      <sz val="18"/>
      <name val="BIZ UDPゴシック"/>
      <family val="3"/>
      <charset val="128"/>
    </font>
    <font>
      <sz val="16"/>
      <color theme="1"/>
      <name val="BIZ UDPゴシック"/>
      <family val="3"/>
      <charset val="128"/>
    </font>
    <font>
      <sz val="12"/>
      <color theme="0"/>
      <name val="BIZ UDPゴシック"/>
      <family val="3"/>
      <charset val="128"/>
    </font>
    <font>
      <b/>
      <sz val="12"/>
      <name val="BIZ UDPゴシック"/>
      <family val="3"/>
      <charset val="128"/>
    </font>
    <font>
      <sz val="12"/>
      <color theme="1"/>
      <name val="Segoe UI Symbol"/>
      <family val="3"/>
    </font>
    <font>
      <sz val="11"/>
      <color theme="0"/>
      <name val="ＭＳ Ｐゴシック"/>
      <family val="3"/>
      <charset val="128"/>
    </font>
    <font>
      <sz val="11"/>
      <color theme="0"/>
      <name val="ＭＳ Ｐ明朝"/>
      <family val="1"/>
      <charset val="128"/>
    </font>
    <font>
      <b/>
      <sz val="11"/>
      <color theme="0"/>
      <name val="ＭＳ ゴシック"/>
      <family val="3"/>
      <charset val="128"/>
    </font>
    <font>
      <b/>
      <sz val="9"/>
      <color theme="0"/>
      <name val="BIZ UDPゴシック"/>
      <family val="3"/>
      <charset val="128"/>
    </font>
    <font>
      <sz val="11"/>
      <color rgb="FFFFFF00"/>
      <name val="ＭＳ Ｐゴシック"/>
      <family val="3"/>
      <charset val="128"/>
      <scheme val="minor"/>
    </font>
    <font>
      <b/>
      <sz val="10"/>
      <color indexed="81"/>
      <name val="BIZ UDPゴシック"/>
      <family val="3"/>
      <charset val="128"/>
    </font>
    <font>
      <b/>
      <sz val="11"/>
      <color indexed="81"/>
      <name val="BIZ UDPゴシック"/>
      <family val="3"/>
      <charset val="128"/>
    </font>
    <font>
      <sz val="10.5"/>
      <color theme="1"/>
      <name val="BIZ UDPゴシック"/>
      <family val="3"/>
      <charset val="128"/>
    </font>
    <font>
      <b/>
      <sz val="10.5"/>
      <color theme="1"/>
      <name val="BIZ UDPゴシック"/>
      <family val="3"/>
      <charset val="128"/>
    </font>
    <font>
      <b/>
      <u/>
      <sz val="10.5"/>
      <color theme="1"/>
      <name val="BIZ UDPゴシック"/>
      <family val="3"/>
      <charset val="128"/>
    </font>
    <font>
      <b/>
      <sz val="10.5"/>
      <color theme="0"/>
      <name val="BIZ UDPゴシック"/>
      <family val="3"/>
      <charset val="128"/>
    </font>
    <font>
      <sz val="10.5"/>
      <color theme="0"/>
      <name val="BIZ UDPゴシック"/>
      <family val="3"/>
      <charset val="128"/>
    </font>
    <font>
      <b/>
      <u/>
      <sz val="10.5"/>
      <color theme="0"/>
      <name val="BIZ UDPゴシック"/>
      <family val="3"/>
      <charset val="128"/>
    </font>
    <font>
      <b/>
      <sz val="10"/>
      <color theme="1"/>
      <name val="ＭＳ Ｐゴシック"/>
      <family val="3"/>
      <charset val="128"/>
      <scheme val="minor"/>
    </font>
    <font>
      <sz val="18"/>
      <color theme="0"/>
      <name val="ＭＳ Ｐ明朝"/>
      <family val="1"/>
      <charset val="128"/>
    </font>
    <font>
      <sz val="6"/>
      <name val="ＭＳ Ｐゴシック"/>
      <family val="3"/>
      <charset val="128"/>
      <scheme val="minor"/>
    </font>
    <font>
      <sz val="9"/>
      <name val="BIZ UDPゴシック"/>
      <family val="3"/>
      <charset val="128"/>
    </font>
    <font>
      <sz val="8"/>
      <color theme="1"/>
      <name val="BIZ UDPゴシック"/>
      <family val="3"/>
      <charset val="128"/>
    </font>
    <font>
      <b/>
      <sz val="11"/>
      <color theme="0" tint="-0.34998626667073579"/>
      <name val="ＭＳ Ｐゴシック"/>
      <family val="3"/>
      <charset val="128"/>
    </font>
    <font>
      <sz val="10"/>
      <color indexed="8"/>
      <name val="BIZ UDPゴシック"/>
      <family val="3"/>
      <charset val="128"/>
    </font>
    <font>
      <b/>
      <sz val="14"/>
      <color indexed="81"/>
      <name val="BIZ UDPゴシック"/>
      <family val="3"/>
      <charset val="128"/>
    </font>
    <font>
      <sz val="14"/>
      <color theme="0"/>
      <name val="BIZ UDPゴシック"/>
      <family val="3"/>
      <charset val="128"/>
    </font>
    <font>
      <b/>
      <sz val="16"/>
      <color theme="0"/>
      <name val="BIZ UDPゴシック"/>
      <family val="3"/>
      <charset val="128"/>
    </font>
    <font>
      <b/>
      <sz val="26"/>
      <color theme="0"/>
      <name val="BIZ UDPゴシック"/>
      <family val="3"/>
      <charset val="128"/>
    </font>
    <font>
      <sz val="10"/>
      <color theme="0"/>
      <name val="ＭＳ Ｐゴシック"/>
      <family val="3"/>
      <charset val="128"/>
      <scheme val="major"/>
    </font>
    <font>
      <b/>
      <sz val="18"/>
      <color indexed="81"/>
      <name val="MS P ゴシック"/>
      <family val="3"/>
      <charset val="128"/>
    </font>
    <font>
      <sz val="18"/>
      <color indexed="81"/>
      <name val="MS P ゴシック"/>
      <family val="3"/>
      <charset val="128"/>
    </font>
    <font>
      <sz val="14"/>
      <color rgb="FFFF0000"/>
      <name val="BIZ UDPゴシック"/>
      <family val="3"/>
      <charset val="128"/>
    </font>
    <font>
      <sz val="18"/>
      <color rgb="FFFF0000"/>
      <name val="BIZ UDPゴシック"/>
      <family val="3"/>
      <charset val="128"/>
    </font>
    <font>
      <sz val="12"/>
      <name val="ＭＳ Ｐ明朝"/>
      <family val="1"/>
      <charset val="128"/>
    </font>
    <font>
      <b/>
      <sz val="10"/>
      <color indexed="8"/>
      <name val="BIZ UDPゴシック"/>
      <family val="3"/>
      <charset val="128"/>
    </font>
    <font>
      <b/>
      <u/>
      <sz val="14"/>
      <color rgb="FFFF0000"/>
      <name val="HG丸ｺﾞｼｯｸM-PRO"/>
      <family val="3"/>
      <charset val="128"/>
    </font>
    <font>
      <b/>
      <sz val="18"/>
      <color rgb="FFFF0000"/>
      <name val="BIZ UDPゴシック"/>
      <family val="3"/>
      <charset val="128"/>
    </font>
    <font>
      <sz val="16"/>
      <color rgb="FFFF0000"/>
      <name val="BIZ UDPゴシック"/>
      <family val="3"/>
      <charset val="128"/>
    </font>
    <font>
      <sz val="12"/>
      <color rgb="FFFF0000"/>
      <name val="BIZ UDPゴシック"/>
      <family val="3"/>
      <charset val="128"/>
    </font>
    <font>
      <sz val="19"/>
      <name val="BIZ UDPゴシック"/>
      <family val="3"/>
      <charset val="128"/>
    </font>
    <font>
      <sz val="19"/>
      <name val="Segoe UI Symbol"/>
      <family val="3"/>
    </font>
    <font>
      <sz val="18"/>
      <color rgb="FFFF0000"/>
      <name val="ＭＳ Ｐゴシック"/>
      <family val="3"/>
      <charset val="128"/>
      <scheme val="minor"/>
    </font>
    <font>
      <sz val="18"/>
      <color rgb="FFFFFFFF"/>
      <name val="ＭＳ Ｐ明朝"/>
      <family val="1"/>
      <charset val="128"/>
    </font>
    <font>
      <sz val="18"/>
      <color rgb="FFFFFFFF"/>
      <name val="ＭＳ Ｐゴシック"/>
      <family val="3"/>
      <charset val="128"/>
      <scheme val="minor"/>
    </font>
    <font>
      <sz val="20"/>
      <color rgb="FFFFFFFF"/>
      <name val="ＭＳ Ｐゴシック"/>
      <family val="3"/>
      <charset val="128"/>
      <scheme val="minor"/>
    </font>
    <font>
      <sz val="10"/>
      <color rgb="FFFFFFFF"/>
      <name val="BIZ UDPゴシック"/>
      <family val="3"/>
      <charset val="128"/>
    </font>
    <font>
      <sz val="9"/>
      <color rgb="FF000000"/>
      <name val="Meiryo UI"/>
      <family val="3"/>
      <charset val="128"/>
    </font>
    <font>
      <sz val="8"/>
      <name val="HG丸ｺﾞｼｯｸM-PRO"/>
      <family val="3"/>
      <charset val="128"/>
    </font>
    <font>
      <sz val="8"/>
      <color rgb="FFFF0000"/>
      <name val="HG丸ｺﾞｼｯｸM-PRO"/>
      <family val="3"/>
      <charset val="128"/>
    </font>
    <font>
      <sz val="6"/>
      <color indexed="8"/>
      <name val="BIZ UDPゴシック"/>
      <family val="3"/>
      <charset val="128"/>
    </font>
    <font>
      <sz val="12"/>
      <color rgb="FFFFFF00"/>
      <name val="HG丸ｺﾞｼｯｸM-PRO"/>
      <family val="3"/>
      <charset val="128"/>
    </font>
    <font>
      <sz val="10"/>
      <color rgb="FF000000"/>
      <name val="ＭＳ Ｐゴシック"/>
      <family val="2"/>
      <scheme val="minor"/>
    </font>
    <font>
      <sz val="10"/>
      <color rgb="FF000000"/>
      <name val="ＭＳ Ｐゴシック"/>
      <family val="2"/>
      <scheme val="major"/>
    </font>
    <font>
      <sz val="13"/>
      <color theme="1"/>
      <name val="ＭＳ Ｐゴシック"/>
      <family val="2"/>
      <scheme val="major"/>
    </font>
    <font>
      <sz val="34"/>
      <color theme="1"/>
      <name val="ＭＳ Ｐゴシック"/>
      <family val="2"/>
      <scheme val="major"/>
    </font>
    <font>
      <sz val="30"/>
      <color theme="1"/>
      <name val="ＭＳ Ｐゴシック"/>
      <family val="2"/>
      <scheme val="major"/>
    </font>
    <font>
      <sz val="22"/>
      <color theme="1"/>
      <name val="ＭＳ Ｐゴシック"/>
      <family val="2"/>
      <scheme val="major"/>
    </font>
    <font>
      <b/>
      <sz val="23"/>
      <color theme="1"/>
      <name val="ＭＳ Ｐゴシック"/>
      <family val="2"/>
      <scheme val="major"/>
    </font>
    <font>
      <sz val="10"/>
      <name val="ＭＳ Ｐゴシック"/>
      <family val="2"/>
      <scheme val="major"/>
    </font>
    <font>
      <b/>
      <sz val="13"/>
      <color rgb="FF000000"/>
      <name val="ＭＳ ゴシック"/>
      <family val="3"/>
      <charset val="128"/>
    </font>
    <font>
      <b/>
      <sz val="13"/>
      <color rgb="FF000000"/>
      <name val="ＭＳ Ｐゴシック"/>
      <family val="2"/>
      <scheme val="major"/>
    </font>
    <font>
      <b/>
      <sz val="17"/>
      <color rgb="FF000000"/>
      <name val="ＭＳ Ｐゴシック"/>
      <family val="2"/>
      <scheme val="major"/>
    </font>
    <font>
      <b/>
      <sz val="15"/>
      <color theme="1"/>
      <name val="ＭＳ Ｐゴシック"/>
      <family val="2"/>
      <scheme val="major"/>
    </font>
    <font>
      <b/>
      <sz val="20"/>
      <color theme="1"/>
      <name val="ＭＳ Ｐゴシック"/>
      <family val="2"/>
      <scheme val="major"/>
    </font>
    <font>
      <sz val="15"/>
      <color rgb="FF000000"/>
      <name val="ＭＳ Ｐゴシック"/>
      <family val="2"/>
      <scheme val="major"/>
    </font>
    <font>
      <sz val="15"/>
      <color rgb="FF000000"/>
      <name val="ＭＳ Ｐゴシック"/>
      <family val="3"/>
      <charset val="128"/>
      <scheme val="major"/>
    </font>
    <font>
      <sz val="18"/>
      <color theme="1"/>
      <name val="ＭＳ Ｐゴシック"/>
      <family val="2"/>
      <scheme val="major"/>
    </font>
    <font>
      <b/>
      <sz val="14"/>
      <color rgb="FF000000"/>
      <name val="ＭＳ Ｐゴシック"/>
      <family val="2"/>
      <scheme val="major"/>
    </font>
    <font>
      <b/>
      <sz val="14"/>
      <color rgb="FF000000"/>
      <name val="ＭＳ Ｐゴシック"/>
      <family val="3"/>
      <charset val="128"/>
      <scheme val="major"/>
    </font>
    <font>
      <sz val="13"/>
      <color rgb="FF000000"/>
      <name val="ＭＳ Ｐゴシック"/>
      <family val="2"/>
      <scheme val="major"/>
    </font>
    <font>
      <b/>
      <sz val="12"/>
      <color rgb="FF000000"/>
      <name val="ＭＳ Ｐゴシック"/>
      <family val="2"/>
      <scheme val="major"/>
    </font>
    <font>
      <b/>
      <sz val="12"/>
      <color rgb="FF000000"/>
      <name val="ＭＳ Ｐゴシック"/>
      <family val="3"/>
      <charset val="128"/>
      <scheme val="major"/>
    </font>
    <font>
      <b/>
      <sz val="14"/>
      <color theme="8"/>
      <name val="ＭＳ Ｐゴシック"/>
      <family val="2"/>
      <scheme val="major"/>
    </font>
    <font>
      <b/>
      <sz val="14"/>
      <color rgb="FFFF0000"/>
      <name val="ＭＳ Ｐゴシック"/>
      <family val="2"/>
      <scheme val="major"/>
    </font>
    <font>
      <b/>
      <sz val="22"/>
      <color theme="1"/>
      <name val="ＭＳ Ｐゴシック"/>
      <family val="2"/>
      <scheme val="major"/>
    </font>
    <font>
      <sz val="22"/>
      <name val="ＭＳ Ｐゴシック"/>
      <family val="2"/>
      <scheme val="major"/>
    </font>
    <font>
      <sz val="12"/>
      <color rgb="FF000000"/>
      <name val="ＭＳ Ｐゴシック"/>
      <family val="3"/>
      <charset val="128"/>
      <scheme val="major"/>
    </font>
    <font>
      <b/>
      <sz val="8"/>
      <color indexed="8"/>
      <name val="BIZ UDPゴシック"/>
      <family val="3"/>
      <charset val="128"/>
    </font>
    <font>
      <sz val="7"/>
      <color theme="1"/>
      <name val="BIZ UDPゴシック"/>
      <family val="3"/>
      <charset val="128"/>
    </font>
    <font>
      <sz val="14"/>
      <color rgb="FF000000"/>
      <name val="ＭＳ Ｐゴシック"/>
      <family val="3"/>
      <charset val="128"/>
      <scheme val="major"/>
    </font>
    <font>
      <b/>
      <sz val="11"/>
      <name val="HG丸ｺﾞｼｯｸM-PRO"/>
      <family val="3"/>
      <charset val="128"/>
    </font>
    <font>
      <b/>
      <sz val="10"/>
      <name val="HG丸ｺﾞｼｯｸM-PRO"/>
      <family val="3"/>
      <charset val="128"/>
    </font>
    <font>
      <b/>
      <sz val="10"/>
      <color theme="1"/>
      <name val="BIZ UDPゴシック"/>
      <family val="3"/>
      <charset val="128"/>
    </font>
    <font>
      <b/>
      <sz val="20"/>
      <color theme="1"/>
      <name val="ＭＳ Ｐゴシック"/>
      <family val="3"/>
      <charset val="128"/>
      <scheme val="major"/>
    </font>
    <font>
      <b/>
      <sz val="14"/>
      <color indexed="81"/>
      <name val="MS P ゴシック"/>
      <family val="3"/>
      <charset val="128"/>
    </font>
    <font>
      <b/>
      <sz val="9"/>
      <color indexed="81"/>
      <name val="MS P ゴシック"/>
      <family val="3"/>
      <charset val="128"/>
    </font>
    <font>
      <b/>
      <sz val="16"/>
      <color indexed="81"/>
      <name val="MS P ゴシック"/>
      <family val="3"/>
      <charset val="128"/>
    </font>
  </fonts>
  <fills count="28">
    <fill>
      <patternFill patternType="none"/>
    </fill>
    <fill>
      <patternFill patternType="gray125"/>
    </fill>
    <fill>
      <patternFill patternType="solid">
        <fgColor indexed="52"/>
        <bgColor indexed="64"/>
      </patternFill>
    </fill>
    <fill>
      <patternFill patternType="solid">
        <fgColor rgb="FFFFFF00"/>
        <bgColor indexed="64"/>
      </patternFill>
    </fill>
    <fill>
      <patternFill patternType="solid">
        <fgColor theme="0"/>
        <bgColor indexed="64"/>
      </patternFill>
    </fill>
    <fill>
      <patternFill patternType="solid">
        <fgColor theme="3" tint="0.59999389629810485"/>
        <bgColor indexed="64"/>
      </patternFill>
    </fill>
    <fill>
      <patternFill patternType="solid">
        <fgColor theme="0" tint="-0.14999847407452621"/>
        <bgColor indexed="64"/>
      </patternFill>
    </fill>
    <fill>
      <patternFill patternType="solid">
        <fgColor rgb="FFFF0000"/>
        <bgColor indexed="64"/>
      </patternFill>
    </fill>
    <fill>
      <patternFill patternType="solid">
        <fgColor theme="6" tint="0.59999389629810485"/>
        <bgColor indexed="64"/>
      </patternFill>
    </fill>
    <fill>
      <patternFill patternType="solid">
        <fgColor theme="2" tint="-9.9978637043366805E-2"/>
        <bgColor indexed="64"/>
      </patternFill>
    </fill>
    <fill>
      <patternFill patternType="solid">
        <fgColor rgb="FF00B0F0"/>
        <bgColor indexed="64"/>
      </patternFill>
    </fill>
    <fill>
      <patternFill patternType="solid">
        <fgColor theme="3" tint="0.79998168889431442"/>
        <bgColor indexed="64"/>
      </patternFill>
    </fill>
    <fill>
      <patternFill patternType="solid">
        <fgColor rgb="FFFFC000"/>
        <bgColor indexed="64"/>
      </patternFill>
    </fill>
    <fill>
      <patternFill patternType="solid">
        <fgColor theme="3" tint="0.39997558519241921"/>
        <bgColor indexed="64"/>
      </patternFill>
    </fill>
    <fill>
      <patternFill patternType="solid">
        <fgColor theme="2" tint="-0.499984740745262"/>
        <bgColor indexed="64"/>
      </patternFill>
    </fill>
    <fill>
      <patternFill patternType="solid">
        <fgColor rgb="FFFFFFFF"/>
        <bgColor indexed="64"/>
      </patternFill>
    </fill>
    <fill>
      <patternFill patternType="solid">
        <fgColor rgb="FF7030A0"/>
        <bgColor indexed="64"/>
      </patternFill>
    </fill>
    <fill>
      <patternFill patternType="solid">
        <fgColor theme="9" tint="0.59999389629810485"/>
        <bgColor indexed="64"/>
      </patternFill>
    </fill>
    <fill>
      <patternFill patternType="solid">
        <fgColor rgb="FF66FF99"/>
        <bgColor indexed="64"/>
      </patternFill>
    </fill>
    <fill>
      <patternFill patternType="solid">
        <fgColor theme="6" tint="0.79998168889431442"/>
        <bgColor indexed="64"/>
      </patternFill>
    </fill>
    <fill>
      <patternFill patternType="solid">
        <fgColor rgb="FFFFFFFF"/>
        <bgColor rgb="FFFFFFFF"/>
      </patternFill>
    </fill>
    <fill>
      <patternFill patternType="solid">
        <fgColor rgb="FF6D9EEB"/>
        <bgColor rgb="FF6D9EEB"/>
      </patternFill>
    </fill>
    <fill>
      <patternFill patternType="solid">
        <fgColor rgb="FFC9DAF8"/>
        <bgColor rgb="FFC9DAF8"/>
      </patternFill>
    </fill>
    <fill>
      <patternFill patternType="solid">
        <fgColor rgb="FFFFFF00"/>
        <bgColor rgb="FFFFFF00"/>
      </patternFill>
    </fill>
    <fill>
      <patternFill patternType="solid">
        <fgColor rgb="FFFFF2CC"/>
        <bgColor rgb="FFFFF2CC"/>
      </patternFill>
    </fill>
    <fill>
      <patternFill patternType="solid">
        <fgColor rgb="FFFF9900"/>
        <bgColor rgb="FFFF9900"/>
      </patternFill>
    </fill>
    <fill>
      <patternFill patternType="solid">
        <fgColor rgb="FFF9CB9C"/>
        <bgColor rgb="FFF9CB9C"/>
      </patternFill>
    </fill>
    <fill>
      <patternFill patternType="solid">
        <fgColor theme="4" tint="0.39997558519241921"/>
        <bgColor indexed="64"/>
      </patternFill>
    </fill>
  </fills>
  <borders count="389">
    <border>
      <left/>
      <right/>
      <top/>
      <bottom/>
      <diagonal/>
    </border>
    <border>
      <left/>
      <right style="hair">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hair">
        <color indexed="64"/>
      </bottom>
      <diagonal/>
    </border>
    <border>
      <left/>
      <right style="thin">
        <color indexed="64"/>
      </right>
      <top/>
      <bottom style="hair">
        <color indexed="64"/>
      </bottom>
      <diagonal/>
    </border>
    <border>
      <left/>
      <right/>
      <top/>
      <bottom style="hair">
        <color indexed="64"/>
      </bottom>
      <diagonal/>
    </border>
    <border>
      <left/>
      <right style="hair">
        <color indexed="64"/>
      </right>
      <top/>
      <bottom style="hair">
        <color indexed="64"/>
      </bottom>
      <diagonal/>
    </border>
    <border>
      <left/>
      <right/>
      <top style="hair">
        <color indexed="64"/>
      </top>
      <bottom style="hair">
        <color indexed="64"/>
      </bottom>
      <diagonal/>
    </border>
    <border>
      <left/>
      <right style="medium">
        <color indexed="64"/>
      </right>
      <top/>
      <bottom/>
      <diagonal/>
    </border>
    <border>
      <left/>
      <right/>
      <top style="thin">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style="medium">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medium">
        <color indexed="64"/>
      </bottom>
      <diagonal/>
    </border>
    <border>
      <left/>
      <right/>
      <top style="thick">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bottom style="dotted">
        <color indexed="64"/>
      </bottom>
      <diagonal/>
    </border>
    <border>
      <left/>
      <right style="thin">
        <color indexed="64"/>
      </right>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ck">
        <color indexed="64"/>
      </right>
      <top style="thick">
        <color indexed="64"/>
      </top>
      <bottom style="dotted">
        <color indexed="64"/>
      </bottom>
      <diagonal/>
    </border>
    <border>
      <left style="thin">
        <color indexed="64"/>
      </left>
      <right style="thick">
        <color indexed="64"/>
      </right>
      <top style="dotted">
        <color indexed="64"/>
      </top>
      <bottom style="dotted">
        <color indexed="64"/>
      </bottom>
      <diagonal/>
    </border>
    <border>
      <left style="thin">
        <color indexed="64"/>
      </left>
      <right/>
      <top/>
      <bottom style="dotted">
        <color indexed="64"/>
      </bottom>
      <diagonal/>
    </border>
    <border>
      <left style="thin">
        <color indexed="64"/>
      </left>
      <right/>
      <top style="dotted">
        <color indexed="64"/>
      </top>
      <bottom style="dotted">
        <color indexed="64"/>
      </bottom>
      <diagonal/>
    </border>
    <border>
      <left style="thin">
        <color indexed="64"/>
      </left>
      <right/>
      <top style="thin">
        <color indexed="64"/>
      </top>
      <bottom style="dotted">
        <color indexed="64"/>
      </bottom>
      <diagonal/>
    </border>
    <border>
      <left style="thin">
        <color indexed="64"/>
      </left>
      <right style="thin">
        <color indexed="64"/>
      </right>
      <top style="thin">
        <color indexed="64"/>
      </top>
      <bottom/>
      <diagonal/>
    </border>
    <border>
      <left/>
      <right/>
      <top style="thick">
        <color indexed="64"/>
      </top>
      <bottom style="thick">
        <color indexed="64"/>
      </bottom>
      <diagonal/>
    </border>
    <border>
      <left style="thin">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ck">
        <color indexed="64"/>
      </left>
      <right style="thin">
        <color indexed="64"/>
      </right>
      <top style="thick">
        <color indexed="64"/>
      </top>
      <bottom style="dotted">
        <color indexed="64"/>
      </bottom>
      <diagonal/>
    </border>
    <border>
      <left style="thin">
        <color indexed="64"/>
      </left>
      <right style="thin">
        <color indexed="64"/>
      </right>
      <top style="thick">
        <color indexed="64"/>
      </top>
      <bottom style="dotted">
        <color indexed="64"/>
      </bottom>
      <diagonal/>
    </border>
    <border>
      <left/>
      <right style="thick">
        <color indexed="64"/>
      </right>
      <top style="thick">
        <color indexed="64"/>
      </top>
      <bottom style="dotted">
        <color indexed="64"/>
      </bottom>
      <diagonal/>
    </border>
    <border>
      <left style="thick">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right style="thick">
        <color indexed="64"/>
      </right>
      <top style="dotted">
        <color indexed="64"/>
      </top>
      <bottom style="dotted">
        <color indexed="64"/>
      </bottom>
      <diagonal/>
    </border>
    <border>
      <left style="thick">
        <color indexed="64"/>
      </left>
      <right style="thick">
        <color indexed="64"/>
      </right>
      <top style="thick">
        <color indexed="64"/>
      </top>
      <bottom style="thin">
        <color indexed="64"/>
      </bottom>
      <diagonal/>
    </border>
    <border>
      <left/>
      <right style="thick">
        <color indexed="64"/>
      </right>
      <top/>
      <bottom style="dotted">
        <color indexed="64"/>
      </bottom>
      <diagonal/>
    </border>
    <border>
      <left style="thick">
        <color indexed="64"/>
      </left>
      <right style="thick">
        <color indexed="64"/>
      </right>
      <top style="thin">
        <color indexed="64"/>
      </top>
      <bottom style="thick">
        <color indexed="64"/>
      </bottom>
      <diagonal/>
    </border>
    <border>
      <left style="thin">
        <color indexed="64"/>
      </left>
      <right style="thin">
        <color indexed="64"/>
      </right>
      <top/>
      <bottom style="thick">
        <color indexed="64"/>
      </bottom>
      <diagonal/>
    </border>
    <border>
      <left style="thin">
        <color indexed="64"/>
      </left>
      <right style="thick">
        <color indexed="64"/>
      </right>
      <top style="dotted">
        <color indexed="64"/>
      </top>
      <bottom style="thick">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ck">
        <color indexed="64"/>
      </right>
      <top style="thin">
        <color indexed="64"/>
      </top>
      <bottom style="thin">
        <color indexed="64"/>
      </bottom>
      <diagonal/>
    </border>
    <border>
      <left/>
      <right/>
      <top style="thin">
        <color indexed="64"/>
      </top>
      <bottom style="thick">
        <color indexed="64"/>
      </bottom>
      <diagonal/>
    </border>
    <border>
      <left/>
      <right style="thin">
        <color indexed="64"/>
      </right>
      <top style="thin">
        <color indexed="64"/>
      </top>
      <bottom style="thick">
        <color indexed="64"/>
      </bottom>
      <diagonal/>
    </border>
    <border>
      <left style="thin">
        <color indexed="64"/>
      </left>
      <right/>
      <top style="thin">
        <color indexed="64"/>
      </top>
      <bottom style="thick">
        <color indexed="64"/>
      </bottom>
      <diagonal/>
    </border>
    <border>
      <left/>
      <right style="thick">
        <color indexed="64"/>
      </right>
      <top style="thin">
        <color indexed="64"/>
      </top>
      <bottom style="thick">
        <color indexed="64"/>
      </bottom>
      <diagonal/>
    </border>
    <border>
      <left style="medium">
        <color indexed="64"/>
      </left>
      <right/>
      <top style="medium">
        <color indexed="64"/>
      </top>
      <bottom style="medium">
        <color indexed="64"/>
      </bottom>
      <diagonal/>
    </border>
    <border>
      <left/>
      <right/>
      <top/>
      <bottom style="medium">
        <color indexed="64"/>
      </bottom>
      <diagonal/>
    </border>
    <border>
      <left/>
      <right style="thin">
        <color indexed="64"/>
      </right>
      <top/>
      <bottom style="double">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ck">
        <color indexed="64"/>
      </left>
      <right style="thin">
        <color indexed="64"/>
      </right>
      <top/>
      <bottom style="dotted">
        <color indexed="64"/>
      </bottom>
      <diagonal/>
    </border>
    <border>
      <left style="thin">
        <color indexed="64"/>
      </left>
      <right style="thick">
        <color indexed="64"/>
      </right>
      <top style="dotted">
        <color indexed="64"/>
      </top>
      <bottom/>
      <diagonal/>
    </border>
    <border>
      <left style="thin">
        <color indexed="64"/>
      </left>
      <right style="thick">
        <color indexed="64"/>
      </right>
      <top/>
      <bottom style="dotted">
        <color indexed="64"/>
      </bottom>
      <diagonal/>
    </border>
    <border>
      <left style="thick">
        <color indexed="64"/>
      </left>
      <right style="thick">
        <color indexed="64"/>
      </right>
      <top/>
      <bottom style="dotted">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right style="thin">
        <color indexed="64"/>
      </right>
      <top style="thin">
        <color indexed="64"/>
      </top>
      <bottom style="dotted">
        <color indexed="64"/>
      </bottom>
      <diagonal/>
    </border>
    <border>
      <left style="thin">
        <color indexed="64"/>
      </left>
      <right style="thick">
        <color indexed="64"/>
      </right>
      <top/>
      <bottom/>
      <diagonal/>
    </border>
    <border>
      <left style="thin">
        <color indexed="64"/>
      </left>
      <right style="thin">
        <color indexed="64"/>
      </right>
      <top style="hair">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dotted">
        <color indexed="64"/>
      </bottom>
      <diagonal/>
    </border>
    <border>
      <left/>
      <right style="thin">
        <color indexed="64"/>
      </right>
      <top style="dashed">
        <color indexed="64"/>
      </top>
      <bottom style="dashed">
        <color indexed="64"/>
      </bottom>
      <diagonal/>
    </border>
    <border>
      <left/>
      <right style="thin">
        <color indexed="64"/>
      </right>
      <top style="dashed">
        <color indexed="64"/>
      </top>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medium">
        <color indexed="64"/>
      </left>
      <right/>
      <top style="thin">
        <color indexed="64"/>
      </top>
      <bottom style="thin">
        <color indexed="64"/>
      </bottom>
      <diagonal style="thin">
        <color indexed="64"/>
      </diagonal>
    </border>
    <border diagonalUp="1">
      <left style="medium">
        <color indexed="64"/>
      </left>
      <right style="thin">
        <color indexed="64"/>
      </right>
      <top style="thin">
        <color indexed="64"/>
      </top>
      <bottom style="thin">
        <color indexed="64"/>
      </bottom>
      <diagonal style="thin">
        <color indexed="64"/>
      </diagonal>
    </border>
    <border>
      <left style="thin">
        <color indexed="64"/>
      </left>
      <right style="thin">
        <color indexed="64"/>
      </right>
      <top style="thick">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ck">
        <color indexed="64"/>
      </bottom>
      <diagonal/>
    </border>
    <border>
      <left style="thin">
        <color indexed="64"/>
      </left>
      <right style="thin">
        <color indexed="64"/>
      </right>
      <top style="dotted">
        <color indexed="64"/>
      </top>
      <bottom style="thick">
        <color indexed="64"/>
      </bottom>
      <diagonal/>
    </border>
    <border>
      <left/>
      <right style="thin">
        <color indexed="64"/>
      </right>
      <top style="thick">
        <color indexed="64"/>
      </top>
      <bottom style="dotted">
        <color indexed="64"/>
      </bottom>
      <diagonal/>
    </border>
    <border>
      <left style="thin">
        <color indexed="64"/>
      </left>
      <right style="thin">
        <color indexed="64"/>
      </right>
      <top style="thin">
        <color indexed="64"/>
      </top>
      <bottom style="dotted">
        <color indexed="64"/>
      </bottom>
      <diagonal/>
    </border>
    <border>
      <left/>
      <right style="hair">
        <color indexed="64"/>
      </right>
      <top/>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hair">
        <color indexed="64"/>
      </right>
      <top style="thin">
        <color indexed="64"/>
      </top>
      <bottom/>
      <diagonal/>
    </border>
    <border>
      <left/>
      <right/>
      <top style="hair">
        <color indexed="64"/>
      </top>
      <bottom/>
      <diagonal/>
    </border>
    <border>
      <left style="hair">
        <color indexed="64"/>
      </left>
      <right/>
      <top style="thin">
        <color indexed="64"/>
      </top>
      <bottom/>
      <diagonal/>
    </border>
    <border>
      <left style="hair">
        <color indexed="64"/>
      </left>
      <right/>
      <top/>
      <bottom style="hair">
        <color indexed="64"/>
      </bottom>
      <diagonal/>
    </border>
    <border>
      <left style="hair">
        <color indexed="64"/>
      </left>
      <right/>
      <top style="hair">
        <color indexed="64"/>
      </top>
      <bottom/>
      <diagonal/>
    </border>
    <border>
      <left style="hair">
        <color indexed="64"/>
      </left>
      <right/>
      <top style="hair">
        <color indexed="64"/>
      </top>
      <bottom style="hair">
        <color indexed="64"/>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right style="hair">
        <color indexed="64"/>
      </right>
      <top style="hair">
        <color indexed="64"/>
      </top>
      <bottom/>
      <diagonal/>
    </border>
    <border>
      <left style="thin">
        <color indexed="64"/>
      </left>
      <right style="hair">
        <color indexed="64"/>
      </right>
      <top style="thin">
        <color indexed="64"/>
      </top>
      <bottom/>
      <diagonal/>
    </border>
    <border>
      <left style="hair">
        <color indexed="64"/>
      </left>
      <right/>
      <top style="thin">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hair">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ck">
        <color indexed="64"/>
      </left>
      <right/>
      <top/>
      <bottom style="thick">
        <color indexed="64"/>
      </bottom>
      <diagonal/>
    </border>
    <border>
      <left/>
      <right style="thick">
        <color indexed="64"/>
      </right>
      <top/>
      <bottom style="thin">
        <color indexed="64"/>
      </bottom>
      <diagonal/>
    </border>
    <border>
      <left style="thick">
        <color indexed="64"/>
      </left>
      <right/>
      <top style="thin">
        <color indexed="64"/>
      </top>
      <bottom/>
      <diagonal/>
    </border>
    <border>
      <left style="thick">
        <color indexed="64"/>
      </left>
      <right/>
      <top/>
      <bottom/>
      <diagonal/>
    </border>
    <border>
      <left/>
      <right style="double">
        <color indexed="64"/>
      </right>
      <top/>
      <bottom/>
      <diagonal/>
    </border>
    <border>
      <left/>
      <right style="double">
        <color indexed="64"/>
      </right>
      <top/>
      <bottom style="thin">
        <color indexed="64"/>
      </bottom>
      <diagonal/>
    </border>
    <border>
      <left/>
      <right style="double">
        <color indexed="64"/>
      </right>
      <top style="thin">
        <color indexed="64"/>
      </top>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double">
        <color indexed="64"/>
      </bottom>
      <diagonal/>
    </border>
    <border>
      <left/>
      <right/>
      <top/>
      <bottom style="double">
        <color indexed="64"/>
      </bottom>
      <diagonal/>
    </border>
    <border>
      <left/>
      <right/>
      <top style="thin">
        <color indexed="64"/>
      </top>
      <bottom style="double">
        <color indexed="64"/>
      </bottom>
      <diagonal/>
    </border>
    <border>
      <left style="thin">
        <color indexed="64"/>
      </left>
      <right style="thin">
        <color indexed="64"/>
      </right>
      <top style="dotted">
        <color indexed="64"/>
      </top>
      <bottom style="thin">
        <color indexed="64"/>
      </bottom>
      <diagonal/>
    </border>
    <border>
      <left style="thick">
        <color indexed="64"/>
      </left>
      <right/>
      <top style="dotted">
        <color indexed="64"/>
      </top>
      <bottom style="dotted">
        <color indexed="64"/>
      </bottom>
      <diagonal/>
    </border>
    <border>
      <left style="thick">
        <color indexed="64"/>
      </left>
      <right/>
      <top/>
      <bottom style="dotted">
        <color indexed="64"/>
      </bottom>
      <diagonal/>
    </border>
    <border>
      <left style="thick">
        <color indexed="64"/>
      </left>
      <right/>
      <top style="dotted">
        <color indexed="64"/>
      </top>
      <bottom style="thick">
        <color indexed="64"/>
      </bottom>
      <diagonal/>
    </border>
    <border>
      <left/>
      <right/>
      <top style="dotted">
        <color indexed="64"/>
      </top>
      <bottom style="thick">
        <color indexed="64"/>
      </bottom>
      <diagonal/>
    </border>
    <border>
      <left/>
      <right style="thin">
        <color indexed="64"/>
      </right>
      <top style="dotted">
        <color indexed="64"/>
      </top>
      <bottom style="thick">
        <color indexed="64"/>
      </bottom>
      <diagonal/>
    </border>
    <border>
      <left style="thick">
        <color indexed="64"/>
      </left>
      <right/>
      <top style="dashed">
        <color indexed="64"/>
      </top>
      <bottom/>
      <diagonal/>
    </border>
    <border>
      <left/>
      <right/>
      <top style="dashed">
        <color indexed="64"/>
      </top>
      <bottom/>
      <diagonal/>
    </border>
    <border>
      <left style="thick">
        <color indexed="64"/>
      </left>
      <right style="thin">
        <color indexed="64"/>
      </right>
      <top style="dashed">
        <color indexed="64"/>
      </top>
      <bottom style="dashed">
        <color indexed="64"/>
      </bottom>
      <diagonal/>
    </border>
    <border>
      <left style="thick">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ck">
        <color indexed="64"/>
      </left>
      <right style="thick">
        <color indexed="64"/>
      </right>
      <top style="dashed">
        <color indexed="64"/>
      </top>
      <bottom/>
      <diagonal/>
    </border>
    <border>
      <left style="thick">
        <color indexed="64"/>
      </left>
      <right style="thick">
        <color indexed="64"/>
      </right>
      <top/>
      <bottom style="dashed">
        <color indexed="64"/>
      </bottom>
      <diagonal/>
    </border>
    <border>
      <left style="thin">
        <color indexed="64"/>
      </left>
      <right/>
      <top style="dashed">
        <color indexed="64"/>
      </top>
      <bottom/>
      <diagonal/>
    </border>
    <border>
      <left style="thin">
        <color indexed="64"/>
      </left>
      <right/>
      <top/>
      <bottom style="dashed">
        <color indexed="64"/>
      </bottom>
      <diagonal/>
    </border>
    <border>
      <left style="thin">
        <color indexed="64"/>
      </left>
      <right style="thick">
        <color indexed="64"/>
      </right>
      <top style="dashed">
        <color indexed="64"/>
      </top>
      <bottom/>
      <diagonal/>
    </border>
    <border>
      <left style="thin">
        <color indexed="64"/>
      </left>
      <right style="thick">
        <color indexed="64"/>
      </right>
      <top/>
      <bottom style="dashed">
        <color indexed="64"/>
      </bottom>
      <diagonal/>
    </border>
    <border>
      <left style="thick">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ck">
        <color indexed="64"/>
      </left>
      <right style="thick">
        <color indexed="64"/>
      </right>
      <top/>
      <bottom/>
      <diagonal/>
    </border>
    <border>
      <left style="thick">
        <color indexed="64"/>
      </left>
      <right/>
      <top style="thick">
        <color indexed="64"/>
      </top>
      <bottom style="dotted">
        <color indexed="64"/>
      </bottom>
      <diagonal/>
    </border>
    <border>
      <left/>
      <right/>
      <top style="thick">
        <color indexed="64"/>
      </top>
      <bottom style="dotted">
        <color indexed="64"/>
      </bottom>
      <diagonal/>
    </border>
    <border>
      <left style="thick">
        <color indexed="64"/>
      </left>
      <right style="thick">
        <color indexed="64"/>
      </right>
      <top style="dotted">
        <color indexed="64"/>
      </top>
      <bottom/>
      <diagonal/>
    </border>
    <border>
      <left style="thin">
        <color indexed="64"/>
      </left>
      <right style="thick">
        <color indexed="64"/>
      </right>
      <top style="dashed">
        <color indexed="64"/>
      </top>
      <bottom style="dashed">
        <color indexed="64"/>
      </bottom>
      <diagonal/>
    </border>
    <border>
      <left style="thin">
        <color indexed="64"/>
      </left>
      <right/>
      <top style="thick">
        <color indexed="64"/>
      </top>
      <bottom style="dotted">
        <color indexed="64"/>
      </bottom>
      <diagonal/>
    </border>
    <border>
      <left/>
      <right style="thin">
        <color indexed="64"/>
      </right>
      <top style="thick">
        <color indexed="64"/>
      </top>
      <bottom style="thick">
        <color indexed="64"/>
      </bottom>
      <diagonal/>
    </border>
    <border>
      <left style="thin">
        <color indexed="64"/>
      </left>
      <right style="thick">
        <color indexed="64"/>
      </right>
      <top style="thick">
        <color indexed="64"/>
      </top>
      <bottom style="dashed">
        <color indexed="64"/>
      </bottom>
      <diagonal/>
    </border>
    <border>
      <left style="thin">
        <color indexed="64"/>
      </left>
      <right/>
      <top style="dotted">
        <color indexed="64"/>
      </top>
      <bottom style="thick">
        <color indexed="64"/>
      </bottom>
      <diagonal/>
    </border>
    <border>
      <left style="thick">
        <color indexed="64"/>
      </left>
      <right/>
      <top style="thick">
        <color indexed="64"/>
      </top>
      <bottom style="thick">
        <color indexed="64"/>
      </bottom>
      <diagonal/>
    </border>
    <border>
      <left style="thick">
        <color indexed="64"/>
      </left>
      <right style="thin">
        <color indexed="64"/>
      </right>
      <top/>
      <bottom style="dashed">
        <color indexed="64"/>
      </bottom>
      <diagonal/>
    </border>
    <border>
      <left style="thick">
        <color indexed="64"/>
      </left>
      <right style="thin">
        <color indexed="64"/>
      </right>
      <top style="dashed">
        <color indexed="64"/>
      </top>
      <bottom/>
      <diagonal/>
    </border>
    <border>
      <left style="thin">
        <color indexed="64"/>
      </left>
      <right style="thin">
        <color indexed="64"/>
      </right>
      <top style="dotted">
        <color indexed="64"/>
      </top>
      <bottom/>
      <diagonal/>
    </border>
    <border>
      <left style="thick">
        <color indexed="64"/>
      </left>
      <right style="thin">
        <color indexed="64"/>
      </right>
      <top style="dotted">
        <color indexed="64"/>
      </top>
      <bottom/>
      <diagonal/>
    </border>
    <border>
      <left/>
      <right style="medium">
        <color indexed="64"/>
      </right>
      <top/>
      <bottom style="thin">
        <color indexed="64"/>
      </bottom>
      <diagonal/>
    </border>
    <border>
      <left style="thin">
        <color indexed="64"/>
      </left>
      <right style="thin">
        <color indexed="64"/>
      </right>
      <top/>
      <bottom style="double">
        <color indexed="64"/>
      </bottom>
      <diagonal/>
    </border>
    <border>
      <left style="thick">
        <color indexed="64"/>
      </left>
      <right style="thick">
        <color indexed="64"/>
      </right>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style="double">
        <color indexed="64"/>
      </bottom>
      <diagonal/>
    </border>
    <border>
      <left style="thick">
        <color indexed="64"/>
      </left>
      <right style="thick">
        <color indexed="64"/>
      </right>
      <top style="double">
        <color indexed="64"/>
      </top>
      <bottom style="dotted">
        <color indexed="64"/>
      </bottom>
      <diagonal/>
    </border>
    <border>
      <left style="thick">
        <color indexed="64"/>
      </left>
      <right/>
      <top style="dashed">
        <color indexed="64"/>
      </top>
      <bottom style="dashed">
        <color indexed="64"/>
      </bottom>
      <diagonal/>
    </border>
    <border>
      <left style="thick">
        <color indexed="64"/>
      </left>
      <right style="thin">
        <color indexed="64"/>
      </right>
      <top style="dotted">
        <color indexed="64"/>
      </top>
      <bottom style="double">
        <color indexed="64"/>
      </bottom>
      <diagonal/>
    </border>
    <border>
      <left/>
      <right style="thin">
        <color indexed="64"/>
      </right>
      <top style="double">
        <color indexed="64"/>
      </top>
      <bottom style="thick">
        <color indexed="64"/>
      </bottom>
      <diagonal/>
    </border>
    <border>
      <left style="thin">
        <color indexed="64"/>
      </left>
      <right/>
      <top style="dashed">
        <color indexed="64"/>
      </top>
      <bottom style="dotted">
        <color indexed="64"/>
      </bottom>
      <diagonal/>
    </border>
    <border>
      <left/>
      <right/>
      <top style="dashed">
        <color indexed="64"/>
      </top>
      <bottom style="dotted">
        <color indexed="64"/>
      </bottom>
      <diagonal/>
    </border>
    <border>
      <left/>
      <right style="thin">
        <color indexed="64"/>
      </right>
      <top style="dashed">
        <color indexed="64"/>
      </top>
      <bottom style="dotted">
        <color indexed="64"/>
      </bottom>
      <diagonal/>
    </border>
    <border>
      <left style="thin">
        <color indexed="64"/>
      </left>
      <right style="thin">
        <color indexed="64"/>
      </right>
      <top style="thin">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n">
        <color indexed="64"/>
      </right>
      <top style="hair">
        <color indexed="64"/>
      </top>
      <bottom style="double">
        <color indexed="64"/>
      </bottom>
      <diagonal/>
    </border>
    <border>
      <left/>
      <right style="thick">
        <color indexed="64"/>
      </right>
      <top/>
      <bottom style="double">
        <color indexed="64"/>
      </bottom>
      <diagonal/>
    </border>
    <border>
      <left style="thin">
        <color indexed="64"/>
      </left>
      <right style="double">
        <color indexed="64"/>
      </right>
      <top style="thin">
        <color indexed="64"/>
      </top>
      <bottom style="thick">
        <color indexed="64"/>
      </bottom>
      <diagonal/>
    </border>
    <border>
      <left style="double">
        <color indexed="64"/>
      </left>
      <right style="double">
        <color indexed="64"/>
      </right>
      <top style="thin">
        <color indexed="64"/>
      </top>
      <bottom style="thick">
        <color indexed="64"/>
      </bottom>
      <diagonal/>
    </border>
    <border>
      <left style="double">
        <color indexed="64"/>
      </left>
      <right style="thin">
        <color indexed="64"/>
      </right>
      <top style="thin">
        <color indexed="64"/>
      </top>
      <bottom style="thick">
        <color indexed="64"/>
      </bottom>
      <diagonal/>
    </border>
    <border>
      <left style="thick">
        <color indexed="64"/>
      </left>
      <right style="thick">
        <color indexed="64"/>
      </right>
      <top/>
      <bottom style="thick">
        <color indexed="64"/>
      </bottom>
      <diagonal/>
    </border>
    <border>
      <left style="thin">
        <color indexed="64"/>
      </left>
      <right style="thin">
        <color indexed="64"/>
      </right>
      <top style="double">
        <color indexed="64"/>
      </top>
      <bottom style="double">
        <color indexed="64"/>
      </bottom>
      <diagonal/>
    </border>
    <border>
      <left style="thin">
        <color indexed="64"/>
      </left>
      <right style="thin">
        <color indexed="64"/>
      </right>
      <top style="dashed">
        <color indexed="64"/>
      </top>
      <bottom/>
      <diagonal/>
    </border>
    <border>
      <left style="thin">
        <color indexed="64"/>
      </left>
      <right style="thin">
        <color indexed="64"/>
      </right>
      <top/>
      <bottom style="dashed">
        <color indexed="64"/>
      </bottom>
      <diagonal/>
    </border>
    <border>
      <left style="medium">
        <color indexed="64"/>
      </left>
      <right/>
      <top style="medium">
        <color indexed="64"/>
      </top>
      <bottom/>
      <diagonal/>
    </border>
    <border>
      <left style="double">
        <color indexed="64"/>
      </left>
      <right style="double">
        <color indexed="64"/>
      </right>
      <top style="double">
        <color indexed="64"/>
      </top>
      <bottom style="double">
        <color indexed="64"/>
      </bottom>
      <diagonal/>
    </border>
    <border>
      <left style="medium">
        <color indexed="64"/>
      </left>
      <right style="medium">
        <color indexed="64"/>
      </right>
      <top/>
      <bottom/>
      <diagonal/>
    </border>
    <border>
      <left style="hair">
        <color indexed="64"/>
      </left>
      <right/>
      <top/>
      <bottom/>
      <diagonal/>
    </border>
    <border>
      <left style="medium">
        <color rgb="FFBBBBBB"/>
      </left>
      <right style="medium">
        <color rgb="FFBBBBBB"/>
      </right>
      <top style="medium">
        <color rgb="FFBBBBBB"/>
      </top>
      <bottom style="medium">
        <color rgb="FFBBBBBB"/>
      </bottom>
      <diagonal/>
    </border>
    <border>
      <left style="medium">
        <color rgb="FFBBBBBB"/>
      </left>
      <right style="medium">
        <color rgb="FFBBBBBB"/>
      </right>
      <top/>
      <bottom style="medium">
        <color rgb="FFBBBBBB"/>
      </bottom>
      <diagonal/>
    </border>
    <border>
      <left style="medium">
        <color rgb="FFBBBBBB"/>
      </left>
      <right style="medium">
        <color rgb="FFBBBBBB"/>
      </right>
      <top style="medium">
        <color rgb="FFBBBBBB"/>
      </top>
      <bottom/>
      <diagonal/>
    </border>
    <border>
      <left style="medium">
        <color indexed="64"/>
      </left>
      <right/>
      <top/>
      <bottom/>
      <diagonal/>
    </border>
    <border>
      <left/>
      <right style="thin">
        <color indexed="64"/>
      </right>
      <top/>
      <bottom style="thick">
        <color indexed="64"/>
      </bottom>
      <diagonal/>
    </border>
    <border>
      <left/>
      <right style="medium">
        <color indexed="64"/>
      </right>
      <top style="thin">
        <color indexed="64"/>
      </top>
      <bottom/>
      <diagonal/>
    </border>
    <border>
      <left style="hair">
        <color indexed="64"/>
      </left>
      <right/>
      <top/>
      <bottom style="thin">
        <color indexed="64"/>
      </bottom>
      <diagonal/>
    </border>
    <border>
      <left style="medium">
        <color indexed="64"/>
      </left>
      <right style="thin">
        <color indexed="64"/>
      </right>
      <top style="dashed">
        <color indexed="64"/>
      </top>
      <bottom style="dashed">
        <color indexed="64"/>
      </bottom>
      <diagonal/>
    </border>
    <border>
      <left/>
      <right style="thin">
        <color indexed="64"/>
      </right>
      <top style="dashed">
        <color indexed="64"/>
      </top>
      <bottom style="thin">
        <color indexed="64"/>
      </bottom>
      <diagonal/>
    </border>
    <border>
      <left/>
      <right style="thin">
        <color indexed="64"/>
      </right>
      <top style="double">
        <color indexed="64"/>
      </top>
      <bottom style="double">
        <color indexed="64"/>
      </bottom>
      <diagonal/>
    </border>
    <border>
      <left style="thin">
        <color indexed="64"/>
      </left>
      <right/>
      <top style="dashed">
        <color indexed="64"/>
      </top>
      <bottom style="dashed">
        <color indexed="64"/>
      </bottom>
      <diagonal/>
    </border>
    <border>
      <left style="thin">
        <color indexed="64"/>
      </left>
      <right style="thick">
        <color indexed="64"/>
      </right>
      <top style="dotted">
        <color indexed="64"/>
      </top>
      <bottom style="thin">
        <color indexed="64"/>
      </bottom>
      <diagonal/>
    </border>
    <border>
      <left style="thin">
        <color indexed="64"/>
      </left>
      <right style="thick">
        <color indexed="64"/>
      </right>
      <top style="thin">
        <color indexed="64"/>
      </top>
      <bottom style="dotted">
        <color indexed="64"/>
      </bottom>
      <diagonal/>
    </border>
    <border>
      <left/>
      <right style="thick">
        <color indexed="64"/>
      </right>
      <top style="thin">
        <color indexed="64"/>
      </top>
      <bottom style="dotted">
        <color indexed="64"/>
      </bottom>
      <diagonal/>
    </border>
    <border>
      <left/>
      <right style="thick">
        <color indexed="64"/>
      </right>
      <top/>
      <bottom/>
      <diagonal/>
    </border>
    <border>
      <left style="thick">
        <color indexed="64"/>
      </left>
      <right/>
      <top style="dashed">
        <color indexed="64"/>
      </top>
      <bottom style="thin">
        <color indexed="64"/>
      </bottom>
      <diagonal/>
    </border>
    <border>
      <left style="thin">
        <color indexed="64"/>
      </left>
      <right/>
      <top style="dashed">
        <color indexed="64"/>
      </top>
      <bottom style="thick">
        <color indexed="64"/>
      </bottom>
      <diagonal/>
    </border>
    <border>
      <left/>
      <right style="thick">
        <color indexed="64"/>
      </right>
      <top style="dashed">
        <color indexed="64"/>
      </top>
      <bottom style="thick">
        <color indexed="64"/>
      </bottom>
      <diagonal/>
    </border>
    <border>
      <left/>
      <right style="thin">
        <color indexed="64"/>
      </right>
      <top style="dashed">
        <color indexed="64"/>
      </top>
      <bottom style="thick">
        <color indexed="64"/>
      </bottom>
      <diagonal/>
    </border>
    <border>
      <left style="thick">
        <color indexed="64"/>
      </left>
      <right/>
      <top style="dashed">
        <color indexed="64"/>
      </top>
      <bottom style="thick">
        <color indexed="64"/>
      </bottom>
      <diagonal/>
    </border>
    <border>
      <left style="thin">
        <color indexed="64"/>
      </left>
      <right/>
      <top style="dotted">
        <color indexed="64"/>
      </top>
      <bottom style="thin">
        <color indexed="64"/>
      </bottom>
      <diagonal/>
    </border>
    <border>
      <left style="thin">
        <color indexed="64"/>
      </left>
      <right/>
      <top style="dotted">
        <color indexed="64"/>
      </top>
      <bottom style="double">
        <color indexed="64"/>
      </bottom>
      <diagonal/>
    </border>
    <border>
      <left/>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double">
        <color indexed="64"/>
      </left>
      <right/>
      <top style="double">
        <color indexed="64"/>
      </top>
      <bottom style="double">
        <color indexed="64"/>
      </bottom>
      <diagonal/>
    </border>
    <border>
      <left style="double">
        <color indexed="64"/>
      </left>
      <right style="thin">
        <color indexed="64"/>
      </right>
      <top style="thin">
        <color indexed="64"/>
      </top>
      <bottom style="thin">
        <color indexed="64"/>
      </bottom>
      <diagonal/>
    </border>
    <border>
      <left style="thin">
        <color indexed="64"/>
      </left>
      <right style="thick">
        <color indexed="64"/>
      </right>
      <top style="dotted">
        <color indexed="64"/>
      </top>
      <bottom style="double">
        <color indexed="64"/>
      </bottom>
      <diagonal/>
    </border>
    <border>
      <left style="medium">
        <color indexed="64"/>
      </left>
      <right style="thin">
        <color indexed="64"/>
      </right>
      <top style="dashed">
        <color indexed="64"/>
      </top>
      <bottom/>
      <diagonal/>
    </border>
    <border>
      <left style="thick">
        <color indexed="64"/>
      </left>
      <right/>
      <top style="thick">
        <color indexed="64"/>
      </top>
      <bottom style="dashed">
        <color indexed="64"/>
      </bottom>
      <diagonal/>
    </border>
    <border>
      <left/>
      <right style="thin">
        <color indexed="64"/>
      </right>
      <top style="thick">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thick">
        <color indexed="64"/>
      </top>
      <bottom style="thin">
        <color indexed="64"/>
      </bottom>
      <diagonal/>
    </border>
    <border>
      <left/>
      <right style="thin">
        <color indexed="64"/>
      </right>
      <top style="thick">
        <color indexed="64"/>
      </top>
      <bottom style="thin">
        <color indexed="64"/>
      </bottom>
      <diagonal/>
    </border>
    <border>
      <left style="thick">
        <color indexed="64"/>
      </left>
      <right/>
      <top style="hair">
        <color indexed="64"/>
      </top>
      <bottom style="dotted">
        <color indexed="64"/>
      </bottom>
      <diagonal/>
    </border>
    <border>
      <left/>
      <right/>
      <top style="hair">
        <color indexed="64"/>
      </top>
      <bottom style="dotted">
        <color indexed="64"/>
      </bottom>
      <diagonal/>
    </border>
    <border>
      <left/>
      <right style="thin">
        <color indexed="64"/>
      </right>
      <top style="hair">
        <color indexed="64"/>
      </top>
      <bottom style="dotted">
        <color indexed="64"/>
      </bottom>
      <diagonal/>
    </border>
    <border>
      <left style="thin">
        <color indexed="64"/>
      </left>
      <right style="thin">
        <color indexed="64"/>
      </right>
      <top style="dotted">
        <color indexed="64"/>
      </top>
      <bottom style="dashed">
        <color indexed="64"/>
      </bottom>
      <diagonal/>
    </border>
    <border>
      <left style="thick">
        <color indexed="64"/>
      </left>
      <right/>
      <top style="dashed">
        <color indexed="64"/>
      </top>
      <bottom style="dotted">
        <color indexed="64"/>
      </bottom>
      <diagonal/>
    </border>
    <border>
      <left style="thick">
        <color indexed="64"/>
      </left>
      <right/>
      <top style="dotted">
        <color indexed="64"/>
      </top>
      <bottom style="dashed">
        <color indexed="64"/>
      </bottom>
      <diagonal/>
    </border>
    <border>
      <left/>
      <right/>
      <top style="dotted">
        <color indexed="64"/>
      </top>
      <bottom style="dashed">
        <color indexed="64"/>
      </bottom>
      <diagonal/>
    </border>
    <border>
      <left/>
      <right style="thin">
        <color indexed="64"/>
      </right>
      <top style="dotted">
        <color indexed="64"/>
      </top>
      <bottom style="dashed">
        <color indexed="64"/>
      </bottom>
      <diagonal/>
    </border>
    <border>
      <left style="thin">
        <color indexed="64"/>
      </left>
      <right/>
      <top style="dotted">
        <color indexed="64"/>
      </top>
      <bottom style="dashed">
        <color indexed="64"/>
      </bottom>
      <diagonal/>
    </border>
    <border>
      <left style="thin">
        <color indexed="64"/>
      </left>
      <right style="thick">
        <color indexed="64"/>
      </right>
      <top style="dotted">
        <color indexed="64"/>
      </top>
      <bottom style="dashed">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double">
        <color indexed="64"/>
      </left>
      <right style="double">
        <color indexed="64"/>
      </right>
      <top/>
      <bottom/>
      <diagonal/>
    </border>
    <border>
      <left style="double">
        <color indexed="64"/>
      </left>
      <right style="double">
        <color indexed="64"/>
      </right>
      <top style="double">
        <color indexed="64"/>
      </top>
      <bottom/>
      <diagonal/>
    </border>
    <border>
      <left/>
      <right style="thick">
        <color indexed="64"/>
      </right>
      <top style="dotted">
        <color indexed="64"/>
      </top>
      <bottom style="thick">
        <color indexed="64"/>
      </bottom>
      <diagonal/>
    </border>
    <border>
      <left style="double">
        <color indexed="64"/>
      </left>
      <right/>
      <top style="thin">
        <color indexed="64"/>
      </top>
      <bottom/>
      <diagonal/>
    </border>
    <border>
      <left style="double">
        <color indexed="64"/>
      </left>
      <right/>
      <top/>
      <bottom/>
      <diagonal/>
    </border>
    <border>
      <left style="double">
        <color indexed="64"/>
      </left>
      <right style="double">
        <color indexed="64"/>
      </right>
      <top/>
      <bottom style="double">
        <color indexed="64"/>
      </bottom>
      <diagonal/>
    </border>
    <border>
      <left style="double">
        <color indexed="64"/>
      </left>
      <right/>
      <top/>
      <bottom style="thin">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style="thin">
        <color indexed="64"/>
      </left>
      <right/>
      <top style="hair">
        <color indexed="64"/>
      </top>
      <bottom/>
      <diagonal/>
    </border>
    <border>
      <left style="medium">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medium">
        <color indexed="64"/>
      </right>
      <top style="hair">
        <color indexed="64"/>
      </top>
      <bottom/>
      <diagonal/>
    </border>
    <border>
      <left style="medium">
        <color indexed="64"/>
      </left>
      <right/>
      <top style="hair">
        <color indexed="64"/>
      </top>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ck">
        <color indexed="64"/>
      </left>
      <right/>
      <top style="dotted">
        <color indexed="64"/>
      </top>
      <bottom style="hair">
        <color indexed="64"/>
      </bottom>
      <diagonal/>
    </border>
    <border>
      <left/>
      <right/>
      <top style="dotted">
        <color indexed="64"/>
      </top>
      <bottom style="hair">
        <color indexed="64"/>
      </bottom>
      <diagonal/>
    </border>
    <border>
      <left/>
      <right style="thin">
        <color indexed="64"/>
      </right>
      <top style="dotted">
        <color indexed="64"/>
      </top>
      <bottom style="hair">
        <color indexed="64"/>
      </bottom>
      <diagonal/>
    </border>
    <border>
      <left style="thin">
        <color indexed="64"/>
      </left>
      <right/>
      <top/>
      <bottom style="hair">
        <color indexed="64"/>
      </bottom>
      <diagonal/>
    </border>
    <border>
      <left style="thin">
        <color indexed="64"/>
      </left>
      <right style="thin">
        <color indexed="64"/>
      </right>
      <top style="double">
        <color indexed="64"/>
      </top>
      <bottom/>
      <diagonal/>
    </border>
    <border>
      <left style="medium">
        <color indexed="64"/>
      </left>
      <right style="thin">
        <color indexed="64"/>
      </right>
      <top style="thin">
        <color indexed="64"/>
      </top>
      <bottom style="medium">
        <color indexed="64"/>
      </bottom>
      <diagonal/>
    </border>
    <border>
      <left style="medium">
        <color indexed="64"/>
      </left>
      <right/>
      <top style="thin">
        <color indexed="64"/>
      </top>
      <bottom style="thick">
        <color indexed="64"/>
      </bottom>
      <diagonal/>
    </border>
    <border>
      <left/>
      <right style="medium">
        <color indexed="64"/>
      </right>
      <top style="thin">
        <color indexed="64"/>
      </top>
      <bottom style="thick">
        <color indexed="64"/>
      </bottom>
      <diagonal/>
    </border>
    <border>
      <left/>
      <right/>
      <top style="thin">
        <color indexed="64"/>
      </top>
      <bottom style="dotted">
        <color indexed="64"/>
      </bottom>
      <diagonal/>
    </border>
    <border>
      <left/>
      <right/>
      <top style="dotted">
        <color indexed="64"/>
      </top>
      <bottom style="double">
        <color indexed="64"/>
      </bottom>
      <diagonal/>
    </border>
    <border>
      <left/>
      <right style="thin">
        <color indexed="64"/>
      </right>
      <top style="dotted">
        <color indexed="64"/>
      </top>
      <bottom style="double">
        <color indexed="64"/>
      </bottom>
      <diagonal/>
    </border>
    <border>
      <left style="double">
        <color indexed="64"/>
      </left>
      <right/>
      <top style="thick">
        <color indexed="64"/>
      </top>
      <bottom style="thin">
        <color indexed="64"/>
      </bottom>
      <diagonal/>
    </border>
    <border>
      <left style="thick">
        <color indexed="64"/>
      </left>
      <right/>
      <top style="thin">
        <color indexed="64"/>
      </top>
      <bottom style="dotted">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ck">
        <color indexed="64"/>
      </left>
      <right/>
      <top style="dotted">
        <color indexed="64"/>
      </top>
      <bottom style="double">
        <color indexed="64"/>
      </bottom>
      <diagonal/>
    </border>
    <border>
      <left style="thin">
        <color indexed="64"/>
      </left>
      <right/>
      <top style="double">
        <color indexed="64"/>
      </top>
      <bottom/>
      <diagonal/>
    </border>
    <border>
      <left/>
      <right style="thick">
        <color indexed="64"/>
      </right>
      <top style="dashed">
        <color indexed="64"/>
      </top>
      <bottom style="dotted">
        <color indexed="64"/>
      </bottom>
      <diagonal/>
    </border>
    <border>
      <left style="thick">
        <color indexed="64"/>
      </left>
      <right style="thin">
        <color indexed="64"/>
      </right>
      <top style="dashed">
        <color indexed="64"/>
      </top>
      <bottom style="dotted">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thick">
        <color indexed="64"/>
      </top>
      <bottom style="thin">
        <color indexed="64"/>
      </bottom>
      <diagonal/>
    </border>
    <border>
      <left/>
      <right style="hair">
        <color indexed="64"/>
      </right>
      <top style="hair">
        <color indexed="64"/>
      </top>
      <bottom style="hair">
        <color indexed="64"/>
      </bottom>
      <diagonal/>
    </border>
    <border>
      <left/>
      <right style="hair">
        <color indexed="64"/>
      </right>
      <top style="hair">
        <color indexed="64"/>
      </top>
      <bottom style="medium">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mediumDashed">
        <color indexed="64"/>
      </bottom>
      <diagonal/>
    </border>
    <border>
      <left style="hair">
        <color indexed="64"/>
      </left>
      <right style="medium">
        <color indexed="64"/>
      </right>
      <top/>
      <bottom style="hair">
        <color indexed="64"/>
      </bottom>
      <diagonal/>
    </border>
    <border>
      <left style="medium">
        <color indexed="64"/>
      </left>
      <right/>
      <top/>
      <bottom style="hair">
        <color indexed="64"/>
      </bottom>
      <diagonal/>
    </border>
    <border>
      <left style="thin">
        <color indexed="64"/>
      </left>
      <right style="hair">
        <color indexed="64"/>
      </right>
      <top style="hair">
        <color indexed="64"/>
      </top>
      <bottom style="mediumDashed">
        <color indexed="64"/>
      </bottom>
      <diagonal/>
    </border>
    <border>
      <left style="hair">
        <color indexed="64"/>
      </left>
      <right style="medium">
        <color indexed="64"/>
      </right>
      <top style="hair">
        <color indexed="64"/>
      </top>
      <bottom style="mediumDashed">
        <color indexed="64"/>
      </bottom>
      <diagonal/>
    </border>
    <border>
      <left style="medium">
        <color indexed="64"/>
      </left>
      <right/>
      <top style="hair">
        <color indexed="64"/>
      </top>
      <bottom style="mediumDashed">
        <color indexed="64"/>
      </bottom>
      <diagonal/>
    </border>
    <border>
      <left/>
      <right/>
      <top style="hair">
        <color indexed="64"/>
      </top>
      <bottom style="mediumDashed">
        <color indexed="64"/>
      </bottom>
      <diagonal/>
    </border>
    <border>
      <left/>
      <right style="thin">
        <color indexed="64"/>
      </right>
      <top style="hair">
        <color indexed="64"/>
      </top>
      <bottom style="mediumDashed">
        <color indexed="64"/>
      </bottom>
      <diagonal/>
    </border>
    <border>
      <left style="thin">
        <color indexed="64"/>
      </left>
      <right/>
      <top style="hair">
        <color indexed="64"/>
      </top>
      <bottom style="mediumDashed">
        <color indexed="64"/>
      </bottom>
      <diagonal/>
    </border>
    <border>
      <left style="medium">
        <color indexed="64"/>
      </left>
      <right style="hair">
        <color indexed="64"/>
      </right>
      <top/>
      <bottom style="hair">
        <color indexed="64"/>
      </bottom>
      <diagonal/>
    </border>
    <border>
      <left style="medium">
        <color indexed="64"/>
      </left>
      <right style="hair">
        <color indexed="64"/>
      </right>
      <top style="hair">
        <color indexed="64"/>
      </top>
      <bottom style="mediumDashed">
        <color indexed="64"/>
      </bottom>
      <diagonal/>
    </border>
    <border>
      <left/>
      <right style="hair">
        <color indexed="64"/>
      </right>
      <top style="hair">
        <color indexed="64"/>
      </top>
      <bottom style="mediumDashed">
        <color indexed="64"/>
      </bottom>
      <diagonal/>
    </border>
    <border>
      <left style="medium">
        <color indexed="64"/>
      </left>
      <right/>
      <top style="hair">
        <color indexed="64"/>
      </top>
      <bottom style="thin">
        <color indexed="64"/>
      </bottom>
      <diagonal/>
    </border>
    <border>
      <left style="medium">
        <color indexed="64"/>
      </left>
      <right/>
      <top/>
      <bottom style="thick">
        <color indexed="64"/>
      </bottom>
      <diagonal/>
    </border>
    <border>
      <left/>
      <right style="medium">
        <color indexed="64"/>
      </right>
      <top/>
      <bottom style="thick">
        <color indexed="64"/>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dotted">
        <color rgb="FF000000"/>
      </bottom>
      <diagonal/>
    </border>
    <border>
      <left/>
      <right/>
      <top style="thin">
        <color rgb="FF000000"/>
      </top>
      <bottom style="dotted">
        <color rgb="FF000000"/>
      </bottom>
      <diagonal/>
    </border>
    <border>
      <left/>
      <right style="thin">
        <color rgb="FF000000"/>
      </right>
      <top style="thin">
        <color rgb="FF000000"/>
      </top>
      <bottom style="dotted">
        <color rgb="FF000000"/>
      </bottom>
      <diagonal/>
    </border>
    <border>
      <left/>
      <right/>
      <top style="dotted">
        <color rgb="FF000000"/>
      </top>
      <bottom style="dotted">
        <color rgb="FF000000"/>
      </bottom>
      <diagonal/>
    </border>
    <border>
      <left style="thin">
        <color rgb="FF000000"/>
      </left>
      <right/>
      <top style="dotted">
        <color rgb="FF000000"/>
      </top>
      <bottom style="dotted">
        <color rgb="FF000000"/>
      </bottom>
      <diagonal/>
    </border>
    <border>
      <left/>
      <right style="thin">
        <color rgb="FF000000"/>
      </right>
      <top style="dotted">
        <color rgb="FF000000"/>
      </top>
      <bottom style="dotted">
        <color rgb="FF000000"/>
      </bottom>
      <diagonal/>
    </border>
    <border>
      <left style="thin">
        <color rgb="FF000000"/>
      </left>
      <right/>
      <top style="dotted">
        <color rgb="FF000000"/>
      </top>
      <bottom style="thin">
        <color rgb="FF000000"/>
      </bottom>
      <diagonal/>
    </border>
    <border>
      <left/>
      <right/>
      <top style="dotted">
        <color rgb="FF000000"/>
      </top>
      <bottom style="thin">
        <color rgb="FF000000"/>
      </bottom>
      <diagonal/>
    </border>
    <border>
      <left/>
      <right style="thin">
        <color rgb="FF000000"/>
      </right>
      <top style="dotted">
        <color rgb="FF000000"/>
      </top>
      <bottom style="thin">
        <color rgb="FF000000"/>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rgb="FF000000"/>
      </left>
      <right/>
      <top/>
      <bottom style="dotted">
        <color rgb="FF000000"/>
      </bottom>
      <diagonal/>
    </border>
    <border>
      <left/>
      <right/>
      <top/>
      <bottom style="dotted">
        <color rgb="FF000000"/>
      </bottom>
      <diagonal/>
    </border>
    <border>
      <left/>
      <right style="thin">
        <color rgb="FF000000"/>
      </right>
      <top/>
      <bottom style="dotted">
        <color rgb="FF000000"/>
      </bottom>
      <diagonal/>
    </border>
    <border>
      <left style="thin">
        <color rgb="FF000000"/>
      </left>
      <right/>
      <top/>
      <bottom/>
      <diagonal/>
    </border>
    <border>
      <left style="thin">
        <color rgb="FF000000"/>
      </left>
      <right/>
      <top style="dotted">
        <color rgb="FF000000"/>
      </top>
      <bottom/>
      <diagonal/>
    </border>
    <border>
      <left/>
      <right/>
      <top style="dotted">
        <color rgb="FF000000"/>
      </top>
      <bottom/>
      <diagonal/>
    </border>
    <border>
      <left style="thin">
        <color rgb="FF000000"/>
      </left>
      <right/>
      <top style="double">
        <color theme="8"/>
      </top>
      <bottom style="dotted">
        <color rgb="FF000000"/>
      </bottom>
      <diagonal/>
    </border>
    <border>
      <left/>
      <right/>
      <top style="double">
        <color theme="8"/>
      </top>
      <bottom style="dotted">
        <color rgb="FF000000"/>
      </bottom>
      <diagonal/>
    </border>
    <border>
      <left/>
      <right style="thin">
        <color rgb="FF000000"/>
      </right>
      <top style="double">
        <color theme="8"/>
      </top>
      <bottom style="dotted">
        <color rgb="FF000000"/>
      </bottom>
      <diagonal/>
    </border>
    <border>
      <left style="thin">
        <color rgb="FF000000"/>
      </left>
      <right/>
      <top style="double">
        <color rgb="FFFF0000"/>
      </top>
      <bottom style="dotted">
        <color rgb="FF000000"/>
      </bottom>
      <diagonal/>
    </border>
    <border>
      <left/>
      <right/>
      <top style="double">
        <color rgb="FFFF0000"/>
      </top>
      <bottom style="dotted">
        <color rgb="FF000000"/>
      </bottom>
      <diagonal/>
    </border>
    <border>
      <left/>
      <right style="thin">
        <color rgb="FF000000"/>
      </right>
      <top style="double">
        <color rgb="FFFF0000"/>
      </top>
      <bottom style="dotted">
        <color rgb="FF000000"/>
      </bottom>
      <diagonal/>
    </border>
    <border>
      <left style="thin">
        <color rgb="FF000000"/>
      </left>
      <right style="thin">
        <color rgb="FF000000"/>
      </right>
      <top style="dotted">
        <color rgb="FF000000"/>
      </top>
      <bottom style="dotted">
        <color rgb="FF000000"/>
      </bottom>
      <diagonal/>
    </border>
    <border>
      <left style="thin">
        <color rgb="FF000000"/>
      </left>
      <right style="thin">
        <color rgb="FF000000"/>
      </right>
      <top style="dotted">
        <color rgb="FF000000"/>
      </top>
      <bottom style="thin">
        <color rgb="FF000000"/>
      </bottom>
      <diagonal/>
    </border>
    <border>
      <left style="thin">
        <color rgb="FF000000"/>
      </left>
      <right style="thin">
        <color rgb="FF000000"/>
      </right>
      <top style="thin">
        <color rgb="FF000000"/>
      </top>
      <bottom style="dotted">
        <color rgb="FF000000"/>
      </bottom>
      <diagonal/>
    </border>
    <border>
      <left style="thin">
        <color rgb="FF000000"/>
      </left>
      <right/>
      <top style="double">
        <color rgb="FFFF0000"/>
      </top>
      <bottom/>
      <diagonal/>
    </border>
    <border>
      <left/>
      <right/>
      <top style="double">
        <color rgb="FFFF0000"/>
      </top>
      <bottom/>
      <diagonal/>
    </border>
    <border>
      <left/>
      <right style="thin">
        <color rgb="FF000000"/>
      </right>
      <top style="double">
        <color rgb="FFFF0000"/>
      </top>
      <bottom/>
      <diagonal/>
    </border>
    <border>
      <left/>
      <right style="thin">
        <color rgb="FF000000"/>
      </right>
      <top style="dotted">
        <color rgb="FF000000"/>
      </top>
      <bottom/>
      <diagonal/>
    </border>
    <border>
      <left/>
      <right style="thin">
        <color rgb="FF000000"/>
      </right>
      <top/>
      <bottom/>
      <diagonal/>
    </border>
    <border>
      <left style="thin">
        <color rgb="FF000000"/>
      </left>
      <right/>
      <top style="double">
        <color theme="8"/>
      </top>
      <bottom/>
      <diagonal/>
    </border>
    <border>
      <left/>
      <right/>
      <top style="double">
        <color theme="8"/>
      </top>
      <bottom/>
      <diagonal/>
    </border>
    <border>
      <left/>
      <right style="thin">
        <color rgb="FF000000"/>
      </right>
      <top style="double">
        <color theme="8"/>
      </top>
      <bottom/>
      <diagonal/>
    </border>
    <border>
      <left style="thin">
        <color rgb="FF000000"/>
      </left>
      <right/>
      <top/>
      <bottom style="double">
        <color rgb="FFFF0000"/>
      </bottom>
      <diagonal/>
    </border>
    <border>
      <left/>
      <right/>
      <top/>
      <bottom style="double">
        <color rgb="FFFF0000"/>
      </bottom>
      <diagonal/>
    </border>
    <border>
      <left/>
      <right style="thin">
        <color rgb="FF000000"/>
      </right>
      <top/>
      <bottom style="double">
        <color rgb="FFFF0000"/>
      </bottom>
      <diagonal/>
    </border>
    <border>
      <left style="thin">
        <color rgb="FF000000"/>
      </left>
      <right/>
      <top style="thin">
        <color indexed="64"/>
      </top>
      <bottom/>
      <diagonal/>
    </border>
    <border>
      <left/>
      <right style="thin">
        <color rgb="FF000000"/>
      </right>
      <top style="thin">
        <color indexed="64"/>
      </top>
      <bottom/>
      <diagonal/>
    </border>
    <border>
      <left/>
      <right/>
      <top style="thin">
        <color rgb="FF000000"/>
      </top>
      <bottom style="thin">
        <color rgb="FF000000"/>
      </bottom>
      <diagonal/>
    </border>
  </borders>
  <cellStyleXfs count="17">
    <xf numFmtId="0" fontId="0" fillId="0" borderId="0">
      <alignment vertical="center"/>
    </xf>
    <xf numFmtId="38" fontId="30"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6" fontId="30" fillId="0" borderId="0" applyFont="0" applyFill="0" applyBorder="0" applyAlignment="0" applyProtection="0">
      <alignment vertical="center"/>
    </xf>
    <xf numFmtId="6" fontId="1" fillId="0" borderId="0" applyFont="0" applyFill="0" applyBorder="0" applyAlignment="0" applyProtection="0">
      <alignment vertical="center"/>
    </xf>
    <xf numFmtId="6" fontId="1" fillId="0" borderId="0" applyFont="0" applyFill="0" applyBorder="0" applyAlignment="0" applyProtection="0">
      <alignment vertical="center"/>
    </xf>
    <xf numFmtId="0" fontId="3"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78" fillId="0" borderId="0" applyNumberFormat="0" applyFill="0" applyBorder="0" applyAlignment="0" applyProtection="0">
      <alignment vertical="center"/>
    </xf>
    <xf numFmtId="6" fontId="30" fillId="0" borderId="0" applyFont="0" applyFill="0" applyBorder="0" applyAlignment="0" applyProtection="0">
      <alignment vertical="center"/>
    </xf>
    <xf numFmtId="6" fontId="1" fillId="0" borderId="0" applyFont="0" applyFill="0" applyBorder="0" applyAlignment="0" applyProtection="0">
      <alignment vertical="center"/>
    </xf>
    <xf numFmtId="6" fontId="1" fillId="0" borderId="0" applyFont="0" applyFill="0" applyBorder="0" applyAlignment="0" applyProtection="0">
      <alignment vertical="center"/>
    </xf>
    <xf numFmtId="0" fontId="182" fillId="0" borderId="0"/>
  </cellStyleXfs>
  <cellXfs count="2385">
    <xf numFmtId="0" fontId="0" fillId="0" borderId="0" xfId="0">
      <alignment vertical="center"/>
    </xf>
    <xf numFmtId="0" fontId="34" fillId="0" borderId="0" xfId="0" applyFont="1" applyAlignment="1">
      <alignment vertical="center" wrapText="1"/>
    </xf>
    <xf numFmtId="0" fontId="41" fillId="0" borderId="0" xfId="0" applyFont="1">
      <alignment vertical="center"/>
    </xf>
    <xf numFmtId="0" fontId="17" fillId="0" borderId="0" xfId="0" applyFont="1">
      <alignment vertical="center"/>
    </xf>
    <xf numFmtId="0" fontId="0" fillId="0" borderId="0" xfId="0" applyAlignment="1">
      <alignment vertical="center" wrapText="1"/>
    </xf>
    <xf numFmtId="0" fontId="32" fillId="0" borderId="0" xfId="0" applyFont="1">
      <alignment vertical="center"/>
    </xf>
    <xf numFmtId="0" fontId="0" fillId="0" borderId="20" xfId="0" applyBorder="1">
      <alignment vertical="center"/>
    </xf>
    <xf numFmtId="0" fontId="40" fillId="0" borderId="0" xfId="0" applyFont="1" applyAlignment="1">
      <alignment vertical="top" wrapText="1"/>
    </xf>
    <xf numFmtId="0" fontId="44" fillId="0" borderId="0" xfId="0" applyFont="1">
      <alignment vertical="center"/>
    </xf>
    <xf numFmtId="0" fontId="17" fillId="0" borderId="0" xfId="0" applyFont="1" applyAlignment="1">
      <alignment horizontal="center" vertical="center"/>
    </xf>
    <xf numFmtId="0" fontId="17" fillId="0" borderId="0" xfId="0" applyFont="1" applyAlignment="1">
      <alignment horizontal="left" vertical="center"/>
    </xf>
    <xf numFmtId="0" fontId="23" fillId="0" borderId="0" xfId="0" applyFont="1" applyAlignment="1">
      <alignment horizontal="left" vertical="center"/>
    </xf>
    <xf numFmtId="0" fontId="17" fillId="0" borderId="20" xfId="0" applyFont="1" applyBorder="1" applyAlignment="1">
      <alignment horizontal="center" vertical="center"/>
    </xf>
    <xf numFmtId="0" fontId="45" fillId="0" borderId="20" xfId="0" applyFont="1" applyBorder="1" applyAlignment="1">
      <alignment horizontal="center" vertical="center"/>
    </xf>
    <xf numFmtId="0" fontId="17" fillId="0" borderId="20" xfId="0" applyFont="1" applyBorder="1" applyAlignment="1">
      <alignment horizontal="left" vertical="center"/>
    </xf>
    <xf numFmtId="0" fontId="18" fillId="0" borderId="0" xfId="0" applyFont="1" applyAlignment="1"/>
    <xf numFmtId="0" fontId="23" fillId="0" borderId="0" xfId="0" applyFont="1" applyAlignment="1">
      <alignment horizontal="center" vertical="center"/>
    </xf>
    <xf numFmtId="0" fontId="17" fillId="0" borderId="20" xfId="0" applyFont="1" applyBorder="1" applyAlignment="1">
      <alignment horizontal="left" vertical="center" wrapText="1"/>
    </xf>
    <xf numFmtId="0" fontId="45" fillId="0" borderId="0" xfId="0" applyFont="1" applyAlignment="1">
      <alignment horizontal="center" vertical="center"/>
    </xf>
    <xf numFmtId="0" fontId="45" fillId="0" borderId="0" xfId="0" applyFont="1" applyAlignment="1">
      <alignment horizontal="center" vertical="center" wrapText="1"/>
    </xf>
    <xf numFmtId="3" fontId="17" fillId="0" borderId="20" xfId="0" applyNumberFormat="1" applyFont="1" applyBorder="1" applyAlignment="1">
      <alignment horizontal="center" vertical="center"/>
    </xf>
    <xf numFmtId="0" fontId="23" fillId="0" borderId="0" xfId="0" applyFont="1">
      <alignment vertical="center"/>
    </xf>
    <xf numFmtId="0" fontId="23" fillId="3" borderId="20" xfId="0" applyFont="1" applyFill="1" applyBorder="1">
      <alignment vertical="center"/>
    </xf>
    <xf numFmtId="0" fontId="17" fillId="3" borderId="20" xfId="0" applyFont="1" applyFill="1" applyBorder="1" applyAlignment="1">
      <alignment horizontal="center" vertical="center"/>
    </xf>
    <xf numFmtId="0" fontId="38" fillId="0" borderId="0" xfId="0" applyFont="1" applyAlignment="1"/>
    <xf numFmtId="0" fontId="36" fillId="0" borderId="0" xfId="0" applyFont="1" applyAlignment="1"/>
    <xf numFmtId="0" fontId="17" fillId="0" borderId="0" xfId="0" applyFont="1" applyAlignment="1">
      <alignment horizontal="left" vertical="center" wrapText="1"/>
    </xf>
    <xf numFmtId="0" fontId="36" fillId="0" borderId="13" xfId="0" applyFont="1" applyBorder="1" applyAlignment="1"/>
    <xf numFmtId="0" fontId="21" fillId="0" borderId="0" xfId="0" applyFont="1">
      <alignment vertical="center"/>
    </xf>
    <xf numFmtId="49" fontId="49" fillId="0" borderId="0" xfId="0" applyNumberFormat="1" applyFont="1" applyAlignment="1">
      <alignment horizontal="center" vertical="center"/>
    </xf>
    <xf numFmtId="0" fontId="33" fillId="0" borderId="0" xfId="0" applyFont="1">
      <alignment vertical="center"/>
    </xf>
    <xf numFmtId="49" fontId="33" fillId="0" borderId="0" xfId="0" applyNumberFormat="1" applyFont="1">
      <alignment vertical="center"/>
    </xf>
    <xf numFmtId="0" fontId="35" fillId="0" borderId="0" xfId="0" applyFont="1">
      <alignment vertical="center"/>
    </xf>
    <xf numFmtId="0" fontId="42" fillId="0" borderId="0" xfId="0" applyFont="1">
      <alignment vertical="center"/>
    </xf>
    <xf numFmtId="0" fontId="32" fillId="0" borderId="0" xfId="0" applyFont="1" applyAlignment="1">
      <alignment vertical="center" shrinkToFit="1"/>
    </xf>
    <xf numFmtId="0" fontId="0" fillId="0" borderId="20" xfId="0" applyBorder="1" applyProtection="1">
      <alignment vertical="center"/>
      <protection hidden="1"/>
    </xf>
    <xf numFmtId="0" fontId="51" fillId="0" borderId="0" xfId="0" applyFont="1" applyProtection="1">
      <alignment vertical="center"/>
      <protection hidden="1"/>
    </xf>
    <xf numFmtId="0" fontId="52" fillId="0" borderId="0" xfId="0" applyFont="1" applyProtection="1">
      <alignment vertical="center"/>
      <protection hidden="1"/>
    </xf>
    <xf numFmtId="0" fontId="52" fillId="0" borderId="0" xfId="0" applyFont="1" applyAlignment="1" applyProtection="1">
      <alignment vertical="center" shrinkToFit="1"/>
      <protection hidden="1"/>
    </xf>
    <xf numFmtId="38" fontId="53" fillId="0" borderId="0" xfId="3" applyFont="1" applyFill="1" applyBorder="1" applyAlignment="1" applyProtection="1">
      <alignment horizontal="left" shrinkToFit="1"/>
      <protection hidden="1"/>
    </xf>
    <xf numFmtId="0" fontId="54" fillId="0" borderId="0" xfId="0" applyFont="1" applyProtection="1">
      <alignment vertical="center"/>
      <protection hidden="1"/>
    </xf>
    <xf numFmtId="0" fontId="55" fillId="0" borderId="0" xfId="0" applyFont="1" applyProtection="1">
      <alignment vertical="center"/>
      <protection hidden="1"/>
    </xf>
    <xf numFmtId="0" fontId="8" fillId="0" borderId="0" xfId="0" applyFont="1">
      <alignment vertical="center"/>
    </xf>
    <xf numFmtId="0" fontId="15" fillId="0" borderId="0" xfId="0" applyFont="1">
      <alignment vertical="center"/>
    </xf>
    <xf numFmtId="0" fontId="16" fillId="0" borderId="0" xfId="0" applyFont="1">
      <alignment vertical="center"/>
    </xf>
    <xf numFmtId="0" fontId="0" fillId="0" borderId="0" xfId="0" applyAlignment="1">
      <alignment vertical="center" shrinkToFit="1"/>
    </xf>
    <xf numFmtId="38" fontId="18" fillId="0" borderId="0" xfId="3" applyFont="1" applyFill="1" applyBorder="1" applyAlignment="1" applyProtection="1">
      <alignment horizontal="left" shrinkToFit="1"/>
    </xf>
    <xf numFmtId="0" fontId="5" fillId="0" borderId="0" xfId="0" applyFont="1">
      <alignment vertical="center"/>
    </xf>
    <xf numFmtId="0" fontId="47" fillId="0" borderId="0" xfId="0" applyFont="1" applyAlignment="1">
      <alignment horizontal="center" vertical="center"/>
    </xf>
    <xf numFmtId="0" fontId="56" fillId="0" borderId="0" xfId="0" applyFont="1">
      <alignment vertical="center"/>
    </xf>
    <xf numFmtId="0" fontId="52" fillId="0" borderId="0" xfId="0" applyFont="1">
      <alignment vertical="center"/>
    </xf>
    <xf numFmtId="0" fontId="57" fillId="0" borderId="0" xfId="0" applyFont="1" applyAlignment="1">
      <alignment horizontal="center" vertical="center"/>
    </xf>
    <xf numFmtId="0" fontId="52" fillId="0" borderId="0" xfId="0" applyFont="1" applyAlignment="1">
      <alignment horizontal="center" vertical="center"/>
    </xf>
    <xf numFmtId="0" fontId="58" fillId="0" borderId="0" xfId="0" applyFont="1" applyAlignment="1">
      <alignment horizontal="center" vertical="center" shrinkToFit="1"/>
    </xf>
    <xf numFmtId="0" fontId="58" fillId="0" borderId="0" xfId="0" applyFont="1" applyAlignment="1">
      <alignment horizontal="center" vertical="center"/>
    </xf>
    <xf numFmtId="181" fontId="52" fillId="0" borderId="0" xfId="0" applyNumberFormat="1" applyFont="1">
      <alignment vertical="center"/>
    </xf>
    <xf numFmtId="182" fontId="52" fillId="0" borderId="0" xfId="0" applyNumberFormat="1" applyFont="1">
      <alignment vertical="center"/>
    </xf>
    <xf numFmtId="0" fontId="59" fillId="0" borderId="0" xfId="0" applyFont="1" applyAlignment="1">
      <alignment vertical="center" wrapText="1"/>
    </xf>
    <xf numFmtId="0" fontId="60" fillId="0" borderId="0" xfId="0" applyFont="1" applyProtection="1">
      <alignment vertical="center"/>
      <protection locked="0" hidden="1"/>
    </xf>
    <xf numFmtId="0" fontId="22" fillId="0" borderId="0" xfId="0" applyFont="1" applyAlignment="1"/>
    <xf numFmtId="0" fontId="25" fillId="0" borderId="0" xfId="0" applyFont="1">
      <alignment vertical="center"/>
    </xf>
    <xf numFmtId="38" fontId="36" fillId="0" borderId="0" xfId="0" applyNumberFormat="1" applyFont="1" applyAlignment="1"/>
    <xf numFmtId="0" fontId="0" fillId="0" borderId="0" xfId="0" applyProtection="1">
      <alignment vertical="center"/>
      <protection hidden="1"/>
    </xf>
    <xf numFmtId="0" fontId="9" fillId="0" borderId="0" xfId="0" applyFont="1" applyProtection="1">
      <alignment vertical="center"/>
      <protection hidden="1"/>
    </xf>
    <xf numFmtId="0" fontId="28" fillId="0" borderId="0" xfId="0" applyFont="1" applyAlignment="1" applyProtection="1">
      <alignment horizontal="left" vertical="center" wrapText="1"/>
      <protection hidden="1"/>
    </xf>
    <xf numFmtId="0" fontId="9" fillId="0" borderId="20" xfId="0" applyFont="1" applyBorder="1" applyProtection="1">
      <alignment vertical="center"/>
      <protection hidden="1"/>
    </xf>
    <xf numFmtId="0" fontId="6" fillId="0" borderId="0" xfId="0" applyFont="1" applyAlignment="1" applyProtection="1">
      <alignment vertical="center" shrinkToFit="1"/>
      <protection hidden="1"/>
    </xf>
    <xf numFmtId="0" fontId="6" fillId="0" borderId="0" xfId="0" applyFont="1" applyAlignment="1" applyProtection="1">
      <alignment horizontal="center" vertical="center" shrinkToFit="1"/>
      <protection hidden="1"/>
    </xf>
    <xf numFmtId="0" fontId="28" fillId="0" borderId="0" xfId="0" applyFont="1" applyAlignment="1" applyProtection="1">
      <alignment horizontal="left" vertical="center"/>
      <protection hidden="1"/>
    </xf>
    <xf numFmtId="0" fontId="28" fillId="0" borderId="20" xfId="0" applyFont="1" applyBorder="1" applyAlignment="1" applyProtection="1">
      <alignment horizontal="left" vertical="center" wrapText="1"/>
      <protection hidden="1"/>
    </xf>
    <xf numFmtId="0" fontId="28" fillId="0" borderId="20" xfId="0" applyFont="1" applyBorder="1" applyAlignment="1" applyProtection="1">
      <alignment horizontal="left" vertical="center"/>
      <protection hidden="1"/>
    </xf>
    <xf numFmtId="0" fontId="9" fillId="0" borderId="50" xfId="0" applyFont="1" applyBorder="1" applyProtection="1">
      <alignment vertical="center"/>
      <protection hidden="1"/>
    </xf>
    <xf numFmtId="0" fontId="9" fillId="0" borderId="20" xfId="0" applyFont="1" applyBorder="1" applyAlignment="1" applyProtection="1">
      <alignment horizontal="center" vertical="center"/>
      <protection hidden="1"/>
    </xf>
    <xf numFmtId="0" fontId="28" fillId="0" borderId="60" xfId="0" applyFont="1" applyBorder="1" applyAlignment="1" applyProtection="1">
      <alignment horizontal="left" vertical="center" wrapText="1"/>
      <protection hidden="1"/>
    </xf>
    <xf numFmtId="0" fontId="28" fillId="0" borderId="80" xfId="0" applyFont="1" applyBorder="1" applyAlignment="1" applyProtection="1">
      <alignment horizontal="left" vertical="center"/>
      <protection hidden="1"/>
    </xf>
    <xf numFmtId="0" fontId="0" fillId="0" borderId="83" xfId="0" applyBorder="1" applyProtection="1">
      <alignment vertical="center"/>
      <protection hidden="1"/>
    </xf>
    <xf numFmtId="0" fontId="0" fillId="0" borderId="85" xfId="0" applyBorder="1" applyProtection="1">
      <alignment vertical="center"/>
      <protection hidden="1"/>
    </xf>
    <xf numFmtId="0" fontId="0" fillId="0" borderId="64" xfId="0" applyBorder="1" applyProtection="1">
      <alignment vertical="center"/>
      <protection hidden="1"/>
    </xf>
    <xf numFmtId="0" fontId="0" fillId="0" borderId="81" xfId="0" applyBorder="1" applyProtection="1">
      <alignment vertical="center"/>
      <protection hidden="1"/>
    </xf>
    <xf numFmtId="0" fontId="0" fillId="0" borderId="69" xfId="0" applyBorder="1" applyProtection="1">
      <alignment vertical="center"/>
      <protection hidden="1"/>
    </xf>
    <xf numFmtId="0" fontId="0" fillId="0" borderId="82" xfId="0" applyBorder="1" applyProtection="1">
      <alignment vertical="center"/>
      <protection hidden="1"/>
    </xf>
    <xf numFmtId="0" fontId="0" fillId="0" borderId="65" xfId="0" applyBorder="1" applyProtection="1">
      <alignment vertical="center"/>
      <protection hidden="1"/>
    </xf>
    <xf numFmtId="0" fontId="23" fillId="0" borderId="0" xfId="0" applyFont="1" applyAlignment="1" applyProtection="1">
      <alignment horizontal="left" vertical="center"/>
      <protection hidden="1"/>
    </xf>
    <xf numFmtId="0" fontId="17" fillId="0" borderId="0" xfId="0" applyFont="1" applyAlignment="1" applyProtection="1">
      <alignment horizontal="center" vertical="center"/>
      <protection hidden="1"/>
    </xf>
    <xf numFmtId="0" fontId="17" fillId="0" borderId="33" xfId="0" applyFont="1" applyBorder="1" applyAlignment="1" applyProtection="1">
      <alignment horizontal="left" vertical="center"/>
      <protection hidden="1"/>
    </xf>
    <xf numFmtId="0" fontId="17" fillId="0" borderId="33" xfId="0" applyFont="1" applyBorder="1" applyAlignment="1" applyProtection="1">
      <alignment horizontal="center" vertical="center"/>
      <protection hidden="1"/>
    </xf>
    <xf numFmtId="0" fontId="0" fillId="0" borderId="12" xfId="0" applyBorder="1" applyProtection="1">
      <alignment vertical="center"/>
      <protection hidden="1"/>
    </xf>
    <xf numFmtId="0" fontId="0" fillId="0" borderId="20" xfId="0" applyBorder="1" applyAlignment="1" applyProtection="1">
      <alignment horizontal="left" vertical="center"/>
      <protection hidden="1"/>
    </xf>
    <xf numFmtId="0" fontId="17" fillId="0" borderId="20" xfId="0" applyFont="1" applyBorder="1" applyAlignment="1" applyProtection="1">
      <alignment horizontal="left" vertical="center"/>
      <protection hidden="1"/>
    </xf>
    <xf numFmtId="0" fontId="17" fillId="0" borderId="20" xfId="0" applyFont="1" applyBorder="1" applyAlignment="1" applyProtection="1">
      <alignment horizontal="center" vertical="center"/>
      <protection hidden="1"/>
    </xf>
    <xf numFmtId="0" fontId="9" fillId="0" borderId="12" xfId="0" applyFont="1" applyBorder="1" applyAlignment="1" applyProtection="1">
      <alignment horizontal="center" vertical="center"/>
      <protection hidden="1"/>
    </xf>
    <xf numFmtId="0" fontId="17" fillId="0" borderId="20" xfId="0" applyFont="1" applyBorder="1" applyAlignment="1" applyProtection="1">
      <alignment horizontal="left" vertical="center" wrapText="1"/>
      <protection hidden="1"/>
    </xf>
    <xf numFmtId="0" fontId="61" fillId="0" borderId="20" xfId="0" applyFont="1" applyBorder="1" applyAlignment="1" applyProtection="1">
      <alignment horizontal="left" vertical="center"/>
      <protection hidden="1"/>
    </xf>
    <xf numFmtId="0" fontId="17" fillId="0" borderId="12" xfId="0" applyFont="1" applyBorder="1" applyAlignment="1" applyProtection="1">
      <alignment horizontal="left" vertical="center" wrapText="1"/>
      <protection hidden="1"/>
    </xf>
    <xf numFmtId="0" fontId="17" fillId="0" borderId="12" xfId="0" applyFont="1" applyBorder="1" applyAlignment="1" applyProtection="1">
      <alignment horizontal="left" vertical="center"/>
      <protection hidden="1"/>
    </xf>
    <xf numFmtId="0" fontId="39" fillId="0" borderId="0" xfId="0" applyFont="1">
      <alignment vertical="center"/>
    </xf>
    <xf numFmtId="0" fontId="0" fillId="0" borderId="20" xfId="0" applyBorder="1" applyAlignment="1">
      <alignment horizontal="center" vertical="center"/>
    </xf>
    <xf numFmtId="0" fontId="0" fillId="0" borderId="51" xfId="0" applyBorder="1" applyAlignment="1">
      <alignment horizontal="center" vertical="center" wrapText="1"/>
    </xf>
    <xf numFmtId="184" fontId="30" fillId="0" borderId="20" xfId="1" applyNumberFormat="1" applyFont="1" applyBorder="1">
      <alignment vertical="center"/>
    </xf>
    <xf numFmtId="184" fontId="0" fillId="0" borderId="20" xfId="0" applyNumberFormat="1" applyBorder="1">
      <alignment vertical="center"/>
    </xf>
    <xf numFmtId="184" fontId="0" fillId="0" borderId="51" xfId="0" applyNumberFormat="1" applyBorder="1">
      <alignment vertical="center"/>
    </xf>
    <xf numFmtId="184" fontId="0" fillId="0" borderId="81" xfId="0" applyNumberFormat="1" applyBorder="1">
      <alignment vertical="center"/>
    </xf>
    <xf numFmtId="184" fontId="0" fillId="0" borderId="15" xfId="0" applyNumberFormat="1" applyBorder="1">
      <alignment vertical="center"/>
    </xf>
    <xf numFmtId="184" fontId="0" fillId="0" borderId="96" xfId="0" applyNumberFormat="1" applyBorder="1">
      <alignment vertical="center"/>
    </xf>
    <xf numFmtId="184" fontId="41" fillId="0" borderId="80" xfId="0" applyNumberFormat="1" applyFont="1" applyBorder="1">
      <alignment vertical="center"/>
    </xf>
    <xf numFmtId="0" fontId="41" fillId="0" borderId="57" xfId="0" applyFont="1" applyBorder="1" applyAlignment="1">
      <alignment horizontal="center" vertical="center"/>
    </xf>
    <xf numFmtId="0" fontId="0" fillId="0" borderId="0" xfId="0" applyAlignment="1">
      <alignment horizontal="center" vertical="center"/>
    </xf>
    <xf numFmtId="0" fontId="41" fillId="0" borderId="2" xfId="0" applyFont="1" applyBorder="1">
      <alignment vertical="center"/>
    </xf>
    <xf numFmtId="181" fontId="0" fillId="0" borderId="20" xfId="0" applyNumberFormat="1" applyBorder="1">
      <alignment vertical="center"/>
    </xf>
    <xf numFmtId="0" fontId="39" fillId="0" borderId="20" xfId="0" applyFont="1" applyBorder="1">
      <alignment vertical="center"/>
    </xf>
    <xf numFmtId="0" fontId="0" fillId="0" borderId="23" xfId="0" applyBorder="1" applyAlignment="1">
      <alignment horizontal="center" vertical="center" wrapText="1"/>
    </xf>
    <xf numFmtId="184" fontId="0" fillId="3" borderId="20" xfId="0" applyNumberFormat="1" applyFill="1" applyBorder="1">
      <alignment vertical="center"/>
    </xf>
    <xf numFmtId="184" fontId="30" fillId="3" borderId="20" xfId="1" applyNumberFormat="1" applyFont="1" applyFill="1" applyBorder="1">
      <alignment vertical="center"/>
    </xf>
    <xf numFmtId="184" fontId="0" fillId="3" borderId="51" xfId="0" applyNumberFormat="1" applyFill="1" applyBorder="1">
      <alignment vertical="center"/>
    </xf>
    <xf numFmtId="184" fontId="0" fillId="3" borderId="81" xfId="0" applyNumberFormat="1" applyFill="1" applyBorder="1">
      <alignment vertical="center"/>
    </xf>
    <xf numFmtId="184" fontId="0" fillId="3" borderId="23" xfId="0" applyNumberFormat="1" applyFill="1" applyBorder="1">
      <alignment vertical="center"/>
    </xf>
    <xf numFmtId="184" fontId="0" fillId="0" borderId="23" xfId="0" applyNumberFormat="1" applyBorder="1">
      <alignment vertical="center"/>
    </xf>
    <xf numFmtId="0" fontId="0" fillId="3" borderId="20" xfId="0" applyFill="1" applyBorder="1">
      <alignment vertical="center"/>
    </xf>
    <xf numFmtId="0" fontId="0" fillId="0" borderId="20" xfId="0" applyBorder="1" applyAlignment="1">
      <alignment horizontal="center" vertical="center" wrapText="1"/>
    </xf>
    <xf numFmtId="184" fontId="0" fillId="0" borderId="97" xfId="0" applyNumberFormat="1" applyBorder="1">
      <alignment vertical="center"/>
    </xf>
    <xf numFmtId="184" fontId="41" fillId="0" borderId="98" xfId="0" applyNumberFormat="1" applyFont="1" applyBorder="1">
      <alignment vertical="center"/>
    </xf>
    <xf numFmtId="0" fontId="41" fillId="0" borderId="98" xfId="0" applyFont="1" applyBorder="1" applyAlignment="1">
      <alignment horizontal="center" vertical="center"/>
    </xf>
    <xf numFmtId="184" fontId="41" fillId="0" borderId="99" xfId="0" applyNumberFormat="1" applyFont="1" applyBorder="1">
      <alignment vertical="center"/>
    </xf>
    <xf numFmtId="184" fontId="0" fillId="3" borderId="69" xfId="0" applyNumberFormat="1" applyFill="1" applyBorder="1">
      <alignment vertical="center"/>
    </xf>
    <xf numFmtId="184" fontId="0" fillId="0" borderId="69" xfId="0" applyNumberFormat="1" applyBorder="1">
      <alignment vertical="center"/>
    </xf>
    <xf numFmtId="184" fontId="0" fillId="0" borderId="66" xfId="0" applyNumberFormat="1" applyBorder="1">
      <alignment vertical="center"/>
    </xf>
    <xf numFmtId="184" fontId="41" fillId="0" borderId="57" xfId="0" applyNumberFormat="1" applyFont="1" applyBorder="1">
      <alignment vertical="center"/>
    </xf>
    <xf numFmtId="184" fontId="41" fillId="0" borderId="100" xfId="0" applyNumberFormat="1" applyFont="1" applyBorder="1">
      <alignment vertical="center"/>
    </xf>
    <xf numFmtId="0" fontId="0" fillId="0" borderId="101" xfId="0" applyBorder="1">
      <alignment vertical="center"/>
    </xf>
    <xf numFmtId="0" fontId="41" fillId="0" borderId="101" xfId="0" applyFont="1" applyBorder="1">
      <alignment vertical="center"/>
    </xf>
    <xf numFmtId="184" fontId="0" fillId="5" borderId="102" xfId="0" applyNumberFormat="1" applyFill="1" applyBorder="1">
      <alignment vertical="center"/>
    </xf>
    <xf numFmtId="184" fontId="0" fillId="5" borderId="103" xfId="0" applyNumberFormat="1" applyFill="1" applyBorder="1">
      <alignment vertical="center"/>
    </xf>
    <xf numFmtId="184" fontId="0" fillId="5" borderId="20" xfId="0" applyNumberFormat="1" applyFill="1" applyBorder="1">
      <alignment vertical="center"/>
    </xf>
    <xf numFmtId="184" fontId="0" fillId="5" borderId="51" xfId="0" applyNumberFormat="1" applyFill="1" applyBorder="1">
      <alignment vertical="center"/>
    </xf>
    <xf numFmtId="184" fontId="0" fillId="5" borderId="81" xfId="0" applyNumberFormat="1" applyFill="1" applyBorder="1">
      <alignment vertical="center"/>
    </xf>
    <xf numFmtId="184" fontId="30" fillId="5" borderId="20" xfId="1" applyNumberFormat="1" applyFont="1" applyFill="1" applyBorder="1">
      <alignment vertical="center"/>
    </xf>
    <xf numFmtId="0" fontId="0" fillId="3" borderId="101" xfId="0" applyFill="1" applyBorder="1">
      <alignment vertical="center"/>
    </xf>
    <xf numFmtId="184" fontId="41" fillId="0" borderId="20" xfId="0" applyNumberFormat="1" applyFont="1" applyBorder="1">
      <alignment vertical="center"/>
    </xf>
    <xf numFmtId="0" fontId="39" fillId="0" borderId="20" xfId="0" applyFont="1" applyBorder="1" applyAlignment="1">
      <alignment horizontal="center" vertical="center"/>
    </xf>
    <xf numFmtId="0" fontId="39" fillId="3" borderId="20" xfId="0" applyFont="1" applyFill="1" applyBorder="1" applyAlignment="1">
      <alignment horizontal="center" vertical="center"/>
    </xf>
    <xf numFmtId="0" fontId="39" fillId="5" borderId="37" xfId="0" applyFont="1" applyFill="1" applyBorder="1" applyAlignment="1">
      <alignment horizontal="center" vertical="center"/>
    </xf>
    <xf numFmtId="0" fontId="3" fillId="0" borderId="20" xfId="0" applyFont="1" applyBorder="1" applyAlignment="1">
      <alignment horizontal="center" vertical="center"/>
    </xf>
    <xf numFmtId="0" fontId="3" fillId="0" borderId="0" xfId="0" applyFont="1" applyAlignment="1">
      <alignment horizontal="center" vertical="center"/>
    </xf>
    <xf numFmtId="177" fontId="0" fillId="0" borderId="51" xfId="0" applyNumberFormat="1" applyBorder="1">
      <alignment vertical="center"/>
    </xf>
    <xf numFmtId="0" fontId="39" fillId="0" borderId="10" xfId="0" applyFont="1" applyBorder="1">
      <alignment vertical="center"/>
    </xf>
    <xf numFmtId="181" fontId="0" fillId="0" borderId="0" xfId="0" applyNumberFormat="1">
      <alignment vertical="center"/>
    </xf>
    <xf numFmtId="0" fontId="63" fillId="0" borderId="0" xfId="0" applyFont="1">
      <alignment vertical="center"/>
    </xf>
    <xf numFmtId="0" fontId="0" fillId="5" borderId="20" xfId="0" applyFill="1" applyBorder="1">
      <alignment vertical="center"/>
    </xf>
    <xf numFmtId="0" fontId="17" fillId="0" borderId="20" xfId="0" applyFont="1" applyBorder="1">
      <alignment vertical="center"/>
    </xf>
    <xf numFmtId="0" fontId="29" fillId="0" borderId="20" xfId="0" applyFont="1" applyBorder="1">
      <alignment vertical="center"/>
    </xf>
    <xf numFmtId="0" fontId="0" fillId="3" borderId="20" xfId="0" applyFill="1" applyBorder="1" applyAlignment="1">
      <alignment horizontal="center" vertical="center"/>
    </xf>
    <xf numFmtId="38" fontId="65" fillId="0" borderId="0" xfId="3" applyFont="1" applyFill="1" applyBorder="1" applyAlignment="1" applyProtection="1">
      <alignment horizontal="center"/>
    </xf>
    <xf numFmtId="0" fontId="65" fillId="0" borderId="0" xfId="0" applyFont="1" applyAlignment="1"/>
    <xf numFmtId="6" fontId="66" fillId="0" borderId="0" xfId="6" applyFont="1" applyFill="1" applyBorder="1" applyAlignment="1" applyProtection="1">
      <alignment vertical="top" wrapText="1"/>
    </xf>
    <xf numFmtId="0" fontId="66" fillId="0" borderId="0" xfId="0" applyFont="1" applyAlignment="1">
      <alignment vertical="center" wrapText="1"/>
    </xf>
    <xf numFmtId="0" fontId="67" fillId="0" borderId="0" xfId="0" applyFont="1">
      <alignment vertical="center"/>
    </xf>
    <xf numFmtId="178" fontId="65" fillId="0" borderId="0" xfId="0" applyNumberFormat="1" applyFont="1" applyAlignment="1">
      <alignment horizontal="center" vertical="center" shrinkToFit="1"/>
    </xf>
    <xf numFmtId="178" fontId="68" fillId="0" borderId="0" xfId="3" applyNumberFormat="1" applyFont="1" applyFill="1" applyBorder="1" applyAlignment="1" applyProtection="1">
      <alignment horizontal="center" vertical="center" shrinkToFit="1"/>
    </xf>
    <xf numFmtId="0" fontId="66" fillId="0" borderId="0" xfId="0" applyFont="1" applyAlignment="1">
      <alignment horizontal="center" vertical="center"/>
    </xf>
    <xf numFmtId="178" fontId="66" fillId="0" borderId="0" xfId="0" applyNumberFormat="1" applyFont="1" applyAlignment="1">
      <alignment horizontal="right" vertical="center"/>
    </xf>
    <xf numFmtId="0" fontId="66" fillId="0" borderId="0" xfId="0" applyFont="1" applyAlignment="1">
      <alignment horizontal="right" vertical="center"/>
    </xf>
    <xf numFmtId="178" fontId="66" fillId="0" borderId="0" xfId="0" applyNumberFormat="1" applyFont="1" applyAlignment="1">
      <alignment horizontal="center" vertical="center"/>
    </xf>
    <xf numFmtId="38" fontId="66" fillId="0" borderId="0" xfId="3" applyFont="1" applyFill="1" applyBorder="1" applyAlignment="1" applyProtection="1">
      <alignment horizontal="center" vertical="center"/>
    </xf>
    <xf numFmtId="178" fontId="68" fillId="0" borderId="0" xfId="0" applyNumberFormat="1" applyFont="1" applyAlignment="1">
      <alignment vertical="center" shrinkToFit="1"/>
    </xf>
    <xf numFmtId="178" fontId="68" fillId="0" borderId="0" xfId="0" applyNumberFormat="1" applyFont="1" applyAlignment="1">
      <alignment horizontal="center" vertical="center" shrinkToFit="1"/>
    </xf>
    <xf numFmtId="178" fontId="68" fillId="0" borderId="0" xfId="3" applyNumberFormat="1" applyFont="1" applyFill="1" applyBorder="1" applyAlignment="1" applyProtection="1">
      <alignment vertical="center" shrinkToFit="1"/>
    </xf>
    <xf numFmtId="176" fontId="62" fillId="0" borderId="0" xfId="0" applyNumberFormat="1" applyFont="1" applyAlignment="1">
      <alignment horizontal="center" vertical="center" shrinkToFit="1"/>
    </xf>
    <xf numFmtId="176" fontId="62" fillId="0" borderId="0" xfId="3" applyNumberFormat="1" applyFont="1" applyFill="1" applyBorder="1" applyAlignment="1" applyProtection="1">
      <alignment horizontal="right" vertical="center" shrinkToFit="1"/>
    </xf>
    <xf numFmtId="0" fontId="69" fillId="0" borderId="0" xfId="0" applyFont="1" applyAlignment="1">
      <alignment vertical="center" wrapText="1"/>
    </xf>
    <xf numFmtId="0" fontId="69" fillId="0" borderId="0" xfId="0" applyFont="1">
      <alignment vertical="center"/>
    </xf>
    <xf numFmtId="0" fontId="50" fillId="0" borderId="0" xfId="0" applyFont="1" applyAlignment="1">
      <alignment horizontal="center" vertical="center"/>
    </xf>
    <xf numFmtId="0" fontId="31" fillId="0" borderId="0" xfId="0" applyFont="1" applyAlignment="1" applyProtection="1">
      <alignment horizontal="right" vertical="center"/>
      <protection locked="0"/>
    </xf>
    <xf numFmtId="38" fontId="31" fillId="0" borderId="0" xfId="3" applyFont="1" applyFill="1" applyBorder="1" applyAlignment="1" applyProtection="1">
      <alignment horizontal="right" vertical="center"/>
      <protection locked="0"/>
    </xf>
    <xf numFmtId="0" fontId="31" fillId="0" borderId="0" xfId="0" applyFont="1" applyAlignment="1">
      <alignment horizontal="center" vertical="center"/>
    </xf>
    <xf numFmtId="179" fontId="68" fillId="0" borderId="0" xfId="3" applyNumberFormat="1" applyFont="1" applyFill="1" applyBorder="1" applyAlignment="1" applyProtection="1">
      <alignment horizontal="right" vertical="center" shrinkToFit="1"/>
    </xf>
    <xf numFmtId="0" fontId="62" fillId="0" borderId="0" xfId="0" applyFont="1" applyAlignment="1">
      <alignment horizontal="center" vertical="center"/>
    </xf>
    <xf numFmtId="180" fontId="62" fillId="0" borderId="0" xfId="0" applyNumberFormat="1" applyFont="1" applyAlignment="1">
      <alignment horizontal="center" vertical="center" shrinkToFit="1"/>
    </xf>
    <xf numFmtId="180" fontId="68" fillId="0" borderId="0" xfId="3" applyNumberFormat="1" applyFont="1" applyFill="1" applyBorder="1" applyAlignment="1" applyProtection="1">
      <alignment horizontal="right" vertical="center" shrinkToFit="1"/>
    </xf>
    <xf numFmtId="180" fontId="62" fillId="0" borderId="0" xfId="3" applyNumberFormat="1" applyFont="1" applyFill="1" applyBorder="1" applyAlignment="1" applyProtection="1">
      <alignment vertical="center" shrinkToFit="1"/>
    </xf>
    <xf numFmtId="49" fontId="68" fillId="0" borderId="0" xfId="3" applyNumberFormat="1" applyFont="1" applyFill="1" applyBorder="1" applyAlignment="1" applyProtection="1">
      <alignment horizontal="center" vertical="center" shrinkToFit="1"/>
    </xf>
    <xf numFmtId="38" fontId="68" fillId="0" borderId="0" xfId="3" applyFont="1" applyFill="1" applyBorder="1" applyAlignment="1" applyProtection="1">
      <alignment horizontal="right" vertical="center" shrinkToFit="1"/>
    </xf>
    <xf numFmtId="180" fontId="68" fillId="0" borderId="0" xfId="3" applyNumberFormat="1" applyFont="1" applyFill="1" applyBorder="1" applyAlignment="1" applyProtection="1">
      <alignment vertical="center" shrinkToFit="1"/>
    </xf>
    <xf numFmtId="176" fontId="62" fillId="0" borderId="0" xfId="0" applyNumberFormat="1" applyFont="1" applyAlignment="1">
      <alignment vertical="center" shrinkToFit="1"/>
    </xf>
    <xf numFmtId="182" fontId="62" fillId="0" borderId="0" xfId="3" applyNumberFormat="1" applyFont="1" applyFill="1" applyBorder="1" applyAlignment="1" applyProtection="1">
      <alignment vertical="center" shrinkToFit="1"/>
    </xf>
    <xf numFmtId="180" fontId="68" fillId="0" borderId="0" xfId="3" applyNumberFormat="1" applyFont="1" applyFill="1" applyBorder="1" applyAlignment="1" applyProtection="1">
      <alignment horizontal="center" vertical="center" shrinkToFit="1"/>
    </xf>
    <xf numFmtId="176" fontId="62" fillId="0" borderId="0" xfId="3" applyNumberFormat="1" applyFont="1" applyFill="1" applyBorder="1" applyAlignment="1" applyProtection="1">
      <alignment vertical="center" shrinkToFit="1"/>
    </xf>
    <xf numFmtId="0" fontId="62" fillId="0" borderId="0" xfId="0" applyFont="1" applyAlignment="1">
      <alignment horizontal="center" vertical="center" shrinkToFit="1"/>
    </xf>
    <xf numFmtId="0" fontId="70" fillId="0" borderId="0" xfId="0" applyFont="1" applyAlignment="1">
      <alignment vertical="top" shrinkToFit="1"/>
    </xf>
    <xf numFmtId="177" fontId="70" fillId="0" borderId="0" xfId="0" applyNumberFormat="1" applyFont="1" applyAlignment="1">
      <alignment vertical="top" shrinkToFit="1"/>
    </xf>
    <xf numFmtId="0" fontId="67" fillId="0" borderId="0" xfId="0" applyFont="1" applyAlignment="1">
      <alignment vertical="center" wrapText="1"/>
    </xf>
    <xf numFmtId="0" fontId="66" fillId="0" borderId="0" xfId="0" applyFont="1">
      <alignment vertical="center"/>
    </xf>
    <xf numFmtId="178" fontId="62" fillId="0" borderId="0" xfId="0" applyNumberFormat="1" applyFont="1" applyAlignment="1">
      <alignment vertical="center" shrinkToFit="1"/>
    </xf>
    <xf numFmtId="0" fontId="66" fillId="0" borderId="0" xfId="0" applyFont="1" applyAlignment="1">
      <alignment vertical="center" shrinkToFit="1"/>
    </xf>
    <xf numFmtId="178" fontId="71" fillId="0" borderId="0" xfId="0" applyNumberFormat="1" applyFont="1" applyAlignment="1">
      <alignment vertical="center" textRotation="255"/>
    </xf>
    <xf numFmtId="178" fontId="31" fillId="0" borderId="0" xfId="0" applyNumberFormat="1" applyFont="1" applyAlignment="1">
      <alignment vertical="center" shrinkToFit="1"/>
    </xf>
    <xf numFmtId="0" fontId="65" fillId="0" borderId="0" xfId="0" applyFont="1" applyAlignment="1">
      <alignment vertical="center" wrapText="1"/>
    </xf>
    <xf numFmtId="178" fontId="50" fillId="0" borderId="0" xfId="0" applyNumberFormat="1" applyFont="1" applyAlignment="1">
      <alignment vertical="center" shrinkToFit="1"/>
    </xf>
    <xf numFmtId="178" fontId="66" fillId="0" borderId="0" xfId="0" applyNumberFormat="1" applyFont="1">
      <alignment vertical="center"/>
    </xf>
    <xf numFmtId="0" fontId="31" fillId="0" borderId="0" xfId="0" applyFont="1">
      <alignment vertical="center"/>
    </xf>
    <xf numFmtId="178" fontId="68" fillId="0" borderId="0" xfId="0" applyNumberFormat="1" applyFont="1" applyAlignment="1">
      <alignment vertical="center" textRotation="255" shrinkToFit="1"/>
    </xf>
    <xf numFmtId="0" fontId="72" fillId="0" borderId="0" xfId="0" applyFont="1" applyAlignment="1">
      <alignment vertical="center" wrapText="1"/>
    </xf>
    <xf numFmtId="176" fontId="62" fillId="0" borderId="0" xfId="0" applyNumberFormat="1" applyFont="1" applyAlignment="1" applyProtection="1">
      <alignment vertical="center" shrinkToFit="1"/>
      <protection locked="0"/>
    </xf>
    <xf numFmtId="0" fontId="50" fillId="0" borderId="0" xfId="0" applyFont="1">
      <alignment vertical="center"/>
    </xf>
    <xf numFmtId="0" fontId="50" fillId="0" borderId="0" xfId="0" applyFont="1" applyAlignment="1">
      <alignment vertical="center" textRotation="255" wrapText="1" shrinkToFit="1"/>
    </xf>
    <xf numFmtId="0" fontId="50" fillId="0" borderId="0" xfId="0" applyFont="1" applyAlignment="1">
      <alignment vertical="center" justifyLastLine="1"/>
    </xf>
    <xf numFmtId="0" fontId="66" fillId="0" borderId="0" xfId="0" applyFont="1" applyAlignment="1" applyProtection="1">
      <alignment vertical="center" justifyLastLine="1"/>
      <protection locked="0"/>
    </xf>
    <xf numFmtId="6" fontId="67" fillId="0" borderId="0" xfId="6" applyFont="1" applyFill="1" applyBorder="1" applyAlignment="1" applyProtection="1">
      <alignment vertical="center" wrapText="1"/>
    </xf>
    <xf numFmtId="0" fontId="71" fillId="0" borderId="0" xfId="0" applyFont="1" applyAlignment="1">
      <alignment vertical="center" textRotation="255"/>
    </xf>
    <xf numFmtId="0" fontId="31" fillId="0" borderId="0" xfId="0" applyFont="1" applyAlignment="1">
      <alignment vertical="center" wrapText="1" shrinkToFit="1"/>
    </xf>
    <xf numFmtId="0" fontId="31" fillId="0" borderId="0" xfId="0" applyFont="1" applyAlignment="1">
      <alignment vertical="center" shrinkToFit="1"/>
    </xf>
    <xf numFmtId="0" fontId="31" fillId="0" borderId="0" xfId="0" applyFont="1" applyAlignment="1">
      <alignment vertical="center" wrapText="1"/>
    </xf>
    <xf numFmtId="38" fontId="68" fillId="0" borderId="0" xfId="3" applyFont="1" applyFill="1" applyBorder="1" applyAlignment="1" applyProtection="1"/>
    <xf numFmtId="38" fontId="31" fillId="0" borderId="0" xfId="3" applyFont="1" applyFill="1" applyBorder="1" applyAlignment="1" applyProtection="1"/>
    <xf numFmtId="0" fontId="50" fillId="0" borderId="0" xfId="0" applyFont="1" applyAlignment="1">
      <alignment vertical="center" textRotation="255" shrinkToFit="1"/>
    </xf>
    <xf numFmtId="0" fontId="62" fillId="0" borderId="0" xfId="0" applyFont="1" applyProtection="1">
      <alignment vertical="center"/>
      <protection locked="0"/>
    </xf>
    <xf numFmtId="0" fontId="31" fillId="0" borderId="0" xfId="0" applyFont="1" applyAlignment="1" applyProtection="1">
      <alignment vertical="center" shrinkToFit="1"/>
      <protection locked="0"/>
    </xf>
    <xf numFmtId="180" fontId="62" fillId="0" borderId="0" xfId="0" applyNumberFormat="1" applyFont="1" applyAlignment="1" applyProtection="1">
      <alignment vertical="center" shrinkToFit="1"/>
      <protection locked="0"/>
    </xf>
    <xf numFmtId="178" fontId="50" fillId="0" borderId="0" xfId="0" applyNumberFormat="1" applyFont="1" applyAlignment="1" applyProtection="1">
      <alignment vertical="center" shrinkToFit="1"/>
      <protection locked="0"/>
    </xf>
    <xf numFmtId="0" fontId="31" fillId="0" borderId="0" xfId="0" applyFont="1" applyAlignment="1" applyProtection="1">
      <alignment vertical="center" wrapText="1" shrinkToFit="1"/>
      <protection locked="0"/>
    </xf>
    <xf numFmtId="0" fontId="68" fillId="0" borderId="0" xfId="0" applyFont="1" applyAlignment="1">
      <alignment vertical="center" shrinkToFit="1"/>
    </xf>
    <xf numFmtId="180" fontId="62" fillId="0" borderId="0" xfId="0" applyNumberFormat="1" applyFont="1" applyAlignment="1">
      <alignment vertical="center" shrinkToFit="1"/>
    </xf>
    <xf numFmtId="0" fontId="68" fillId="0" borderId="0" xfId="0" applyFont="1" applyAlignment="1">
      <alignment vertical="center" textRotation="255"/>
    </xf>
    <xf numFmtId="0" fontId="31" fillId="0" borderId="0" xfId="0" applyFont="1" applyAlignment="1">
      <alignment vertical="distributed" textRotation="255" justifyLastLine="1"/>
    </xf>
    <xf numFmtId="0" fontId="66" fillId="0" borderId="0" xfId="0" applyFont="1" applyAlignment="1">
      <alignment vertical="center" textRotation="255" wrapText="1"/>
    </xf>
    <xf numFmtId="0" fontId="31" fillId="0" borderId="0" xfId="0" applyFont="1" applyAlignment="1">
      <alignment vertical="center" justifyLastLine="1"/>
    </xf>
    <xf numFmtId="0" fontId="31" fillId="0" borderId="0" xfId="0" applyFont="1" applyAlignment="1">
      <alignment vertical="center" wrapText="1" justifyLastLine="1"/>
    </xf>
    <xf numFmtId="0" fontId="62" fillId="0" borderId="0" xfId="0" applyFont="1" applyAlignment="1">
      <alignment vertical="center" shrinkToFit="1"/>
    </xf>
    <xf numFmtId="0" fontId="73" fillId="0" borderId="0" xfId="0" applyFont="1" applyAlignment="1">
      <alignment horizontal="center" vertical="center" wrapText="1"/>
    </xf>
    <xf numFmtId="0" fontId="41" fillId="0" borderId="20" xfId="0" applyFont="1" applyBorder="1">
      <alignment vertical="center"/>
    </xf>
    <xf numFmtId="0" fontId="73" fillId="0" borderId="10" xfId="0" applyFont="1" applyBorder="1" applyAlignment="1">
      <alignment horizontal="center" vertical="center" wrapText="1"/>
    </xf>
    <xf numFmtId="0" fontId="36" fillId="0" borderId="88" xfId="0" applyFont="1" applyBorder="1" applyAlignment="1"/>
    <xf numFmtId="0" fontId="41" fillId="0" borderId="20" xfId="0" applyFont="1" applyBorder="1" applyAlignment="1">
      <alignment horizontal="center" vertical="center"/>
    </xf>
    <xf numFmtId="0" fontId="63" fillId="0" borderId="20" xfId="0" applyFont="1" applyBorder="1">
      <alignment vertical="center"/>
    </xf>
    <xf numFmtId="0" fontId="41" fillId="0" borderId="0" xfId="0" applyFont="1" applyAlignment="1">
      <alignment horizontal="center" vertical="center"/>
    </xf>
    <xf numFmtId="0" fontId="41" fillId="0" borderId="2" xfId="0" applyFont="1" applyBorder="1" applyAlignment="1">
      <alignment horizontal="center" vertical="center"/>
    </xf>
    <xf numFmtId="0" fontId="42" fillId="0" borderId="0" xfId="0" applyFont="1" applyAlignment="1">
      <alignment horizontal="center" vertical="center"/>
    </xf>
    <xf numFmtId="0" fontId="0" fillId="0" borderId="33" xfId="0" applyBorder="1" applyAlignment="1">
      <alignment horizontal="center" vertical="center"/>
    </xf>
    <xf numFmtId="0" fontId="41" fillId="0" borderId="38" xfId="0" applyFont="1" applyBorder="1">
      <alignment vertical="center"/>
    </xf>
    <xf numFmtId="0" fontId="41" fillId="0" borderId="38" xfId="0" applyFont="1" applyBorder="1" applyAlignment="1">
      <alignment horizontal="center" vertical="center"/>
    </xf>
    <xf numFmtId="0" fontId="39" fillId="0" borderId="20" xfId="0" applyFont="1" applyBorder="1" applyAlignment="1">
      <alignment horizontal="right" vertical="center"/>
    </xf>
    <xf numFmtId="0" fontId="0" fillId="0" borderId="20" xfId="0" applyBorder="1" applyAlignment="1">
      <alignment horizontal="right" vertical="center"/>
    </xf>
    <xf numFmtId="0" fontId="39" fillId="0" borderId="33" xfId="0" applyFont="1" applyBorder="1" applyAlignment="1">
      <alignment horizontal="center" vertical="center"/>
    </xf>
    <xf numFmtId="0" fontId="0" fillId="0" borderId="33" xfId="0" applyBorder="1">
      <alignment vertical="center"/>
    </xf>
    <xf numFmtId="0" fontId="0" fillId="0" borderId="33" xfId="0" applyBorder="1" applyAlignment="1">
      <alignment horizontal="right" vertical="center"/>
    </xf>
    <xf numFmtId="0" fontId="39" fillId="0" borderId="0" xfId="0" applyFont="1" applyAlignment="1">
      <alignment horizontal="center" vertical="center"/>
    </xf>
    <xf numFmtId="0" fontId="39" fillId="0" borderId="98" xfId="0" applyFont="1" applyBorder="1" applyAlignment="1">
      <alignment horizontal="center" vertical="center"/>
    </xf>
    <xf numFmtId="0" fontId="0" fillId="0" borderId="99" xfId="0" applyBorder="1">
      <alignment vertical="center"/>
    </xf>
    <xf numFmtId="0" fontId="0" fillId="0" borderId="112" xfId="0" applyBorder="1">
      <alignment vertical="center"/>
    </xf>
    <xf numFmtId="0" fontId="41" fillId="0" borderId="38" xfId="0" applyFont="1" applyBorder="1" applyAlignment="1">
      <alignment horizontal="center" vertical="center" wrapText="1"/>
    </xf>
    <xf numFmtId="0" fontId="0" fillId="0" borderId="37" xfId="0" applyBorder="1" applyAlignment="1">
      <alignment horizontal="center" vertical="center"/>
    </xf>
    <xf numFmtId="0" fontId="76" fillId="0" borderId="20" xfId="0" applyFont="1" applyBorder="1" applyAlignment="1">
      <alignment horizontal="center" vertical="center"/>
    </xf>
    <xf numFmtId="0" fontId="37" fillId="0" borderId="20" xfId="0" applyFont="1" applyBorder="1" applyAlignment="1">
      <alignment horizontal="center" vertical="center"/>
    </xf>
    <xf numFmtId="181" fontId="0" fillId="0" borderId="33" xfId="0" applyNumberFormat="1" applyBorder="1">
      <alignment vertical="center"/>
    </xf>
    <xf numFmtId="0" fontId="0" fillId="0" borderId="222" xfId="0" applyBorder="1" applyAlignment="1">
      <alignment horizontal="center" vertical="center"/>
    </xf>
    <xf numFmtId="0" fontId="0" fillId="0" borderId="92" xfId="0" applyBorder="1" applyAlignment="1">
      <alignment horizontal="center" vertical="center" wrapText="1"/>
    </xf>
    <xf numFmtId="186" fontId="0" fillId="0" borderId="20" xfId="0" applyNumberFormat="1" applyBorder="1" applyAlignment="1">
      <alignment horizontal="right" vertical="center"/>
    </xf>
    <xf numFmtId="0" fontId="77" fillId="15" borderId="224" xfId="0" applyFont="1" applyFill="1" applyBorder="1" applyAlignment="1">
      <alignment vertical="center" wrapText="1"/>
    </xf>
    <xf numFmtId="0" fontId="77" fillId="15" borderId="0" xfId="0" applyFont="1" applyFill="1" applyAlignment="1">
      <alignment vertical="center" wrapText="1"/>
    </xf>
    <xf numFmtId="0" fontId="58" fillId="0" borderId="227" xfId="0" applyFont="1" applyBorder="1" applyAlignment="1">
      <alignment horizontal="center" vertical="center" shrinkToFit="1"/>
    </xf>
    <xf numFmtId="181" fontId="52" fillId="0" borderId="12" xfId="0" applyNumberFormat="1" applyFont="1" applyBorder="1">
      <alignment vertical="center"/>
    </xf>
    <xf numFmtId="178" fontId="0" fillId="0" borderId="0" xfId="0" applyNumberFormat="1" applyAlignment="1">
      <alignment vertical="center" shrinkToFit="1"/>
    </xf>
    <xf numFmtId="0" fontId="32" fillId="0" borderId="58" xfId="0" applyFont="1" applyBorder="1" applyAlignment="1">
      <alignment horizontal="center" vertical="center"/>
    </xf>
    <xf numFmtId="178" fontId="0" fillId="0" borderId="0" xfId="0" applyNumberFormat="1">
      <alignment vertical="center"/>
    </xf>
    <xf numFmtId="0" fontId="10" fillId="0" borderId="0" xfId="0" applyFont="1">
      <alignment vertical="center"/>
    </xf>
    <xf numFmtId="0" fontId="0" fillId="0" borderId="58" xfId="0" applyBorder="1">
      <alignment vertical="center"/>
    </xf>
    <xf numFmtId="0" fontId="11" fillId="0" borderId="58" xfId="0" applyFont="1" applyBorder="1">
      <alignment vertical="center"/>
    </xf>
    <xf numFmtId="0" fontId="0" fillId="0" borderId="0" xfId="0" applyAlignment="1">
      <alignment horizontal="right" vertical="center"/>
    </xf>
    <xf numFmtId="0" fontId="11" fillId="0" borderId="0" xfId="0" applyFont="1" applyAlignment="1">
      <alignment horizontal="right" vertical="center"/>
    </xf>
    <xf numFmtId="0" fontId="11" fillId="0" borderId="0" xfId="0" applyFont="1">
      <alignment vertical="center"/>
    </xf>
    <xf numFmtId="0" fontId="12" fillId="0" borderId="0" xfId="0" applyFont="1" applyAlignment="1">
      <alignment horizontal="center" vertical="center"/>
    </xf>
    <xf numFmtId="0" fontId="48" fillId="0" borderId="0" xfId="0" applyFont="1" applyAlignment="1">
      <alignment horizontal="center" vertical="center"/>
    </xf>
    <xf numFmtId="0" fontId="47" fillId="0" borderId="0" xfId="0" applyFont="1" applyAlignment="1">
      <alignment horizontal="center" vertical="center" shrinkToFit="1"/>
    </xf>
    <xf numFmtId="0" fontId="39" fillId="0" borderId="0" xfId="0" applyFont="1" applyAlignment="1">
      <alignment vertical="center" justifyLastLine="1"/>
    </xf>
    <xf numFmtId="0" fontId="0" fillId="0" borderId="0" xfId="0" applyProtection="1">
      <alignment vertical="center"/>
      <protection locked="0"/>
    </xf>
    <xf numFmtId="0" fontId="52" fillId="0" borderId="0" xfId="0" applyFont="1" applyProtection="1">
      <alignment vertical="center"/>
      <protection locked="0"/>
    </xf>
    <xf numFmtId="49" fontId="79" fillId="4" borderId="0" xfId="0" applyNumberFormat="1" applyFont="1" applyFill="1" applyAlignment="1" applyProtection="1">
      <alignment horizontal="center" vertical="center"/>
      <protection locked="0"/>
    </xf>
    <xf numFmtId="49" fontId="79" fillId="4" borderId="0" xfId="0" applyNumberFormat="1" applyFont="1" applyFill="1" applyProtection="1">
      <alignment vertical="center"/>
      <protection locked="0"/>
    </xf>
    <xf numFmtId="0" fontId="42" fillId="0" borderId="0" xfId="0" applyFont="1" applyAlignment="1">
      <alignment horizontal="center" vertical="center" shrinkToFit="1"/>
    </xf>
    <xf numFmtId="0" fontId="3" fillId="0" borderId="0" xfId="0" applyFont="1">
      <alignment vertical="center"/>
    </xf>
    <xf numFmtId="0" fontId="80" fillId="0" borderId="20" xfId="0" applyFont="1" applyBorder="1">
      <alignment vertical="center"/>
    </xf>
    <xf numFmtId="0" fontId="6" fillId="0" borderId="0" xfId="0" applyFont="1" applyAlignment="1">
      <alignment vertical="center" shrinkToFit="1"/>
    </xf>
    <xf numFmtId="0" fontId="9" fillId="0" borderId="0" xfId="0" applyFont="1" applyAlignment="1">
      <alignment horizontal="center" vertical="center" shrinkToFit="1"/>
    </xf>
    <xf numFmtId="0" fontId="6" fillId="0" borderId="0" xfId="0" applyFont="1" applyAlignment="1" applyProtection="1">
      <alignment horizontal="center" vertical="center" shrinkToFit="1"/>
      <protection locked="0"/>
    </xf>
    <xf numFmtId="0" fontId="6" fillId="0" borderId="0" xfId="0" applyFont="1" applyAlignment="1">
      <alignment horizontal="right" vertical="center" shrinkToFit="1"/>
    </xf>
    <xf numFmtId="0" fontId="14" fillId="0" borderId="0" xfId="0" applyFont="1" applyAlignment="1">
      <alignment horizontal="center" vertical="center" shrinkToFit="1"/>
    </xf>
    <xf numFmtId="0" fontId="13" fillId="0" borderId="0" xfId="0" applyFont="1" applyAlignment="1">
      <alignment horizontal="center" vertical="center" shrinkToFit="1"/>
    </xf>
    <xf numFmtId="0" fontId="6" fillId="0" borderId="0" xfId="0" applyFont="1" applyAlignment="1">
      <alignment horizontal="center" vertical="center" shrinkToFit="1"/>
    </xf>
    <xf numFmtId="0" fontId="14" fillId="0" borderId="0" xfId="0" applyFont="1" applyAlignment="1">
      <alignment vertical="center" shrinkToFit="1"/>
    </xf>
    <xf numFmtId="0" fontId="0" fillId="0" borderId="58" xfId="0" applyBorder="1" applyAlignment="1">
      <alignment horizontal="left" vertical="center"/>
    </xf>
    <xf numFmtId="0" fontId="0" fillId="0" borderId="58" xfId="0" applyBorder="1" applyAlignment="1">
      <alignment horizontal="center" vertical="center"/>
    </xf>
    <xf numFmtId="0" fontId="46" fillId="0" borderId="0" xfId="0" applyFont="1" applyAlignment="1">
      <alignment horizontal="center" vertical="center"/>
    </xf>
    <xf numFmtId="0" fontId="47" fillId="0" borderId="0" xfId="0" applyFont="1" applyAlignment="1">
      <alignment vertical="center" shrinkToFit="1"/>
    </xf>
    <xf numFmtId="178" fontId="35" fillId="0" borderId="0" xfId="0" applyNumberFormat="1" applyFont="1" applyAlignment="1">
      <alignment vertical="center" shrinkToFit="1"/>
    </xf>
    <xf numFmtId="0" fontId="46" fillId="0" borderId="0" xfId="0" applyFont="1" applyAlignment="1">
      <alignment vertical="center" textRotation="255" wrapText="1"/>
    </xf>
    <xf numFmtId="0" fontId="84" fillId="0" borderId="58" xfId="0" applyFont="1" applyBorder="1" applyAlignment="1">
      <alignment horizontal="left" vertical="center"/>
    </xf>
    <xf numFmtId="0" fontId="84" fillId="0" borderId="58" xfId="0" applyFont="1" applyBorder="1" applyAlignment="1">
      <alignment horizontal="center" vertical="center"/>
    </xf>
    <xf numFmtId="0" fontId="86" fillId="0" borderId="0" xfId="0" applyFont="1" applyAlignment="1">
      <alignment horizontal="center" vertical="center"/>
    </xf>
    <xf numFmtId="0" fontId="84" fillId="0" borderId="0" xfId="0" applyFont="1">
      <alignment vertical="center"/>
    </xf>
    <xf numFmtId="0" fontId="84" fillId="0" borderId="58" xfId="0" applyFont="1" applyBorder="1">
      <alignment vertical="center"/>
    </xf>
    <xf numFmtId="0" fontId="89" fillId="0" borderId="58" xfId="0" applyFont="1" applyBorder="1" applyAlignment="1" applyProtection="1">
      <alignment horizontal="center" vertical="center"/>
      <protection locked="0"/>
    </xf>
    <xf numFmtId="187" fontId="39" fillId="0" borderId="0" xfId="0" applyNumberFormat="1" applyFont="1" applyProtection="1">
      <alignment vertical="center"/>
      <protection hidden="1"/>
    </xf>
    <xf numFmtId="0" fontId="89" fillId="0" borderId="58" xfId="0" applyFont="1" applyBorder="1" applyAlignment="1" applyProtection="1">
      <alignment horizontal="right" vertical="center"/>
      <protection locked="0"/>
    </xf>
    <xf numFmtId="0" fontId="89" fillId="0" borderId="58" xfId="0" applyFont="1" applyBorder="1" applyProtection="1">
      <alignment vertical="center"/>
      <protection locked="0"/>
    </xf>
    <xf numFmtId="187" fontId="89" fillId="0" borderId="58" xfId="0" applyNumberFormat="1" applyFont="1" applyBorder="1" applyAlignment="1" applyProtection="1">
      <alignment horizontal="center" vertical="center"/>
      <protection locked="0"/>
    </xf>
    <xf numFmtId="0" fontId="92" fillId="4" borderId="50" xfId="0" applyFont="1" applyFill="1" applyBorder="1" applyAlignment="1">
      <alignment horizontal="center" vertical="center" shrinkToFit="1"/>
    </xf>
    <xf numFmtId="0" fontId="92" fillId="4" borderId="70" xfId="0" applyFont="1" applyFill="1" applyBorder="1" applyAlignment="1">
      <alignment horizontal="center" vertical="center" shrinkToFit="1"/>
    </xf>
    <xf numFmtId="0" fontId="94" fillId="0" borderId="0" xfId="0" applyFont="1">
      <alignment vertical="center"/>
    </xf>
    <xf numFmtId="0" fontId="93" fillId="0" borderId="0" xfId="0" applyFont="1">
      <alignment vertical="center"/>
    </xf>
    <xf numFmtId="0" fontId="98" fillId="0" borderId="0" xfId="0" applyFont="1" applyAlignment="1">
      <alignment horizontal="center" vertical="center"/>
    </xf>
    <xf numFmtId="0" fontId="99" fillId="0" borderId="0" xfId="0" applyFont="1" applyAlignment="1">
      <alignment horizontal="center" vertical="center"/>
    </xf>
    <xf numFmtId="49" fontId="95" fillId="0" borderId="8" xfId="0" applyNumberFormat="1" applyFont="1" applyBorder="1">
      <alignment vertical="center"/>
    </xf>
    <xf numFmtId="49" fontId="95" fillId="0" borderId="8" xfId="0" applyNumberFormat="1" applyFont="1" applyBorder="1" applyAlignment="1">
      <alignment horizontal="center" vertical="center"/>
    </xf>
    <xf numFmtId="49" fontId="98" fillId="0" borderId="8" xfId="0" applyNumberFormat="1" applyFont="1" applyBorder="1">
      <alignment vertical="center"/>
    </xf>
    <xf numFmtId="49" fontId="100" fillId="4" borderId="8" xfId="0" applyNumberFormat="1" applyFont="1" applyFill="1" applyBorder="1" applyAlignment="1">
      <alignment horizontal="center" vertical="center"/>
    </xf>
    <xf numFmtId="49" fontId="100" fillId="4" borderId="8" xfId="0" applyNumberFormat="1" applyFont="1" applyFill="1" applyBorder="1">
      <alignment vertical="center"/>
    </xf>
    <xf numFmtId="49" fontId="98" fillId="0" borderId="7" xfId="0" applyNumberFormat="1" applyFont="1" applyBorder="1" applyAlignment="1">
      <alignment horizontal="center" vertical="center"/>
    </xf>
    <xf numFmtId="49" fontId="102" fillId="0" borderId="6" xfId="0" applyNumberFormat="1" applyFont="1" applyBorder="1" applyAlignment="1">
      <alignment horizontal="center" vertical="center"/>
    </xf>
    <xf numFmtId="49" fontId="102" fillId="0" borderId="5" xfId="0" applyNumberFormat="1" applyFont="1" applyBorder="1" applyAlignment="1">
      <alignment horizontal="center" vertical="center"/>
    </xf>
    <xf numFmtId="0" fontId="104" fillId="0" borderId="0" xfId="0" applyFont="1" applyAlignment="1">
      <alignment horizontal="center" vertical="center"/>
    </xf>
    <xf numFmtId="0" fontId="104" fillId="0" borderId="0" xfId="0" applyFont="1">
      <alignment vertical="center"/>
    </xf>
    <xf numFmtId="0" fontId="95" fillId="0" borderId="0" xfId="0" applyFont="1" applyAlignment="1">
      <alignment vertical="center" wrapText="1"/>
    </xf>
    <xf numFmtId="0" fontId="103" fillId="0" borderId="0" xfId="0" applyFont="1" applyAlignment="1">
      <alignment horizontal="center" vertical="center" wrapText="1"/>
    </xf>
    <xf numFmtId="49" fontId="98" fillId="0" borderId="6" xfId="0" applyNumberFormat="1" applyFont="1" applyBorder="1">
      <alignment vertical="center"/>
    </xf>
    <xf numFmtId="0" fontId="103" fillId="0" borderId="0" xfId="0" applyFont="1">
      <alignment vertical="center"/>
    </xf>
    <xf numFmtId="0" fontId="103" fillId="0" borderId="2" xfId="0" applyFont="1" applyBorder="1">
      <alignment vertical="center"/>
    </xf>
    <xf numFmtId="0" fontId="84" fillId="0" borderId="0" xfId="0" applyFont="1" applyAlignment="1">
      <alignment vertical="center" wrapText="1"/>
    </xf>
    <xf numFmtId="0" fontId="108" fillId="0" borderId="0" xfId="0" applyFont="1">
      <alignment vertical="center"/>
    </xf>
    <xf numFmtId="0" fontId="105" fillId="0" borderId="0" xfId="0" applyFont="1">
      <alignment vertical="center"/>
    </xf>
    <xf numFmtId="0" fontId="84" fillId="0" borderId="0" xfId="0" applyFont="1" applyAlignment="1">
      <alignment horizontal="center" vertical="center"/>
    </xf>
    <xf numFmtId="0" fontId="84" fillId="0" borderId="2" xfId="0" applyFont="1" applyBorder="1">
      <alignment vertical="center"/>
    </xf>
    <xf numFmtId="0" fontId="106" fillId="0" borderId="0" xfId="0" applyFont="1" applyAlignment="1">
      <alignment horizontal="center" vertical="center" shrinkToFit="1"/>
    </xf>
    <xf numFmtId="0" fontId="91" fillId="0" borderId="0" xfId="0" applyFont="1">
      <alignment vertical="center"/>
    </xf>
    <xf numFmtId="0" fontId="115" fillId="0" borderId="0" xfId="0" applyFont="1">
      <alignment vertical="center"/>
    </xf>
    <xf numFmtId="0" fontId="93" fillId="0" borderId="0" xfId="0" applyFont="1" applyAlignment="1">
      <alignment horizontal="center" vertical="center"/>
    </xf>
    <xf numFmtId="178" fontId="112" fillId="0" borderId="0" xfId="0" applyNumberFormat="1" applyFont="1" applyAlignment="1">
      <alignment horizontal="center" vertical="center"/>
    </xf>
    <xf numFmtId="0" fontId="103" fillId="0" borderId="2" xfId="0" applyFont="1" applyBorder="1" applyAlignment="1">
      <alignment horizontal="center" vertical="center"/>
    </xf>
    <xf numFmtId="0" fontId="112" fillId="0" borderId="0" xfId="0" applyFont="1" applyAlignment="1">
      <alignment horizontal="center" vertical="center"/>
    </xf>
    <xf numFmtId="0" fontId="99" fillId="0" borderId="10" xfId="0" applyFont="1" applyBorder="1">
      <alignment vertical="center"/>
    </xf>
    <xf numFmtId="0" fontId="99" fillId="0" borderId="0" xfId="0" applyFont="1">
      <alignment vertical="center"/>
    </xf>
    <xf numFmtId="0" fontId="84" fillId="0" borderId="20" xfId="0" applyFont="1" applyBorder="1">
      <alignment vertical="center"/>
    </xf>
    <xf numFmtId="0" fontId="116" fillId="0" borderId="21" xfId="0" applyFont="1" applyBorder="1" applyAlignment="1" applyProtection="1">
      <alignment horizontal="center" vertical="center"/>
      <protection locked="0"/>
    </xf>
    <xf numFmtId="0" fontId="116" fillId="0" borderId="22" xfId="0" applyFont="1" applyBorder="1" applyAlignment="1" applyProtection="1">
      <alignment horizontal="center" vertical="center"/>
      <protection locked="0"/>
    </xf>
    <xf numFmtId="0" fontId="116" fillId="0" borderId="20" xfId="0" applyFont="1" applyBorder="1" applyAlignment="1" applyProtection="1">
      <alignment horizontal="center" vertical="center"/>
      <protection locked="0"/>
    </xf>
    <xf numFmtId="0" fontId="84" fillId="0" borderId="50" xfId="0" applyFont="1" applyBorder="1">
      <alignment vertical="center"/>
    </xf>
    <xf numFmtId="0" fontId="84" fillId="0" borderId="23" xfId="0" applyFont="1" applyBorder="1">
      <alignment vertical="center"/>
    </xf>
    <xf numFmtId="0" fontId="110" fillId="0" borderId="0" xfId="0" applyFont="1">
      <alignment vertical="center"/>
    </xf>
    <xf numFmtId="49" fontId="116" fillId="0" borderId="0" xfId="0" applyNumberFormat="1" applyFont="1" applyAlignment="1">
      <alignment horizontal="center" vertical="center"/>
    </xf>
    <xf numFmtId="0" fontId="116" fillId="0" borderId="0" xfId="0" applyFont="1" applyAlignment="1">
      <alignment horizontal="center" vertical="center"/>
    </xf>
    <xf numFmtId="0" fontId="116" fillId="0" borderId="0" xfId="0" applyFont="1" applyAlignment="1">
      <alignment horizontal="center" vertical="center" shrinkToFit="1"/>
    </xf>
    <xf numFmtId="0" fontId="84" fillId="0" borderId="17" xfId="0" applyFont="1" applyBorder="1" applyAlignment="1">
      <alignment horizontal="center" vertical="center" textRotation="255"/>
    </xf>
    <xf numFmtId="49" fontId="84" fillId="0" borderId="0" xfId="0" applyNumberFormat="1" applyFont="1">
      <alignment vertical="center"/>
    </xf>
    <xf numFmtId="0" fontId="106" fillId="0" borderId="0" xfId="0" applyFont="1" applyAlignment="1">
      <alignment wrapText="1"/>
    </xf>
    <xf numFmtId="0" fontId="120" fillId="0" borderId="0" xfId="0" applyFont="1" applyAlignment="1">
      <alignment horizontal="center" vertical="center"/>
    </xf>
    <xf numFmtId="0" fontId="84" fillId="0" borderId="0" xfId="0" applyFont="1" applyAlignment="1">
      <alignment vertical="center" textRotation="255"/>
    </xf>
    <xf numFmtId="0" fontId="106" fillId="0" borderId="0" xfId="0" applyFont="1" applyAlignment="1">
      <alignment horizontal="center" vertical="center"/>
    </xf>
    <xf numFmtId="0" fontId="112" fillId="0" borderId="2" xfId="0" applyFont="1" applyBorder="1" applyAlignment="1">
      <alignment horizontal="center" vertical="center"/>
    </xf>
    <xf numFmtId="0" fontId="124" fillId="0" borderId="34" xfId="0" applyFont="1" applyBorder="1" applyAlignment="1">
      <alignment horizontal="center" vertical="center"/>
    </xf>
    <xf numFmtId="178" fontId="124" fillId="0" borderId="34" xfId="0" applyNumberFormat="1" applyFont="1" applyBorder="1" applyAlignment="1">
      <alignment horizontal="right" vertical="center"/>
    </xf>
    <xf numFmtId="0" fontId="124" fillId="0" borderId="34" xfId="0" applyFont="1" applyBorder="1" applyAlignment="1">
      <alignment horizontal="right" vertical="center"/>
    </xf>
    <xf numFmtId="178" fontId="124" fillId="0" borderId="35" xfId="0" applyNumberFormat="1" applyFont="1" applyBorder="1" applyAlignment="1">
      <alignment horizontal="center" vertical="center"/>
    </xf>
    <xf numFmtId="178" fontId="124" fillId="0" borderId="34" xfId="0" applyNumberFormat="1" applyFont="1" applyBorder="1" applyAlignment="1">
      <alignment horizontal="center" vertical="center"/>
    </xf>
    <xf numFmtId="38" fontId="124" fillId="0" borderId="36" xfId="3" applyFont="1" applyFill="1" applyBorder="1" applyAlignment="1" applyProtection="1">
      <alignment horizontal="center" vertical="center"/>
    </xf>
    <xf numFmtId="0" fontId="110" fillId="0" borderId="33" xfId="0" applyFont="1" applyBorder="1" applyAlignment="1">
      <alignment horizontal="center" vertical="center"/>
    </xf>
    <xf numFmtId="0" fontId="110" fillId="0" borderId="20" xfId="0" applyFont="1" applyBorder="1" applyAlignment="1">
      <alignment horizontal="center" vertical="center" wrapText="1" shrinkToFit="1"/>
    </xf>
    <xf numFmtId="0" fontId="110" fillId="0" borderId="50" xfId="0" applyFont="1" applyBorder="1" applyAlignment="1">
      <alignment horizontal="center" vertical="center" wrapText="1" shrinkToFit="1"/>
    </xf>
    <xf numFmtId="0" fontId="110" fillId="0" borderId="20" xfId="0" applyFont="1" applyBorder="1" applyAlignment="1">
      <alignment horizontal="center" vertical="center" wrapText="1"/>
    </xf>
    <xf numFmtId="0" fontId="110" fillId="0" borderId="38" xfId="0" applyFont="1" applyBorder="1" applyAlignment="1">
      <alignment horizontal="center" vertical="center"/>
    </xf>
    <xf numFmtId="186" fontId="97" fillId="0" borderId="29" xfId="0" applyNumberFormat="1" applyFont="1" applyBorder="1" applyAlignment="1">
      <alignment horizontal="center" vertical="center" shrinkToFit="1"/>
    </xf>
    <xf numFmtId="38" fontId="130" fillId="0" borderId="13" xfId="2" applyFont="1" applyFill="1" applyBorder="1" applyAlignment="1" applyProtection="1">
      <alignment horizontal="right" vertical="center" shrinkToFit="1"/>
    </xf>
    <xf numFmtId="186" fontId="97" fillId="0" borderId="30" xfId="3" applyNumberFormat="1" applyFont="1" applyFill="1" applyBorder="1" applyAlignment="1" applyProtection="1">
      <alignment horizontal="center" vertical="center" shrinkToFit="1"/>
    </xf>
    <xf numFmtId="38" fontId="98" fillId="0" borderId="31" xfId="3" applyFont="1" applyFill="1" applyBorder="1" applyAlignment="1" applyProtection="1">
      <alignment horizontal="right" vertical="center" shrinkToFit="1"/>
    </xf>
    <xf numFmtId="186" fontId="97" fillId="0" borderId="31" xfId="3" applyNumberFormat="1" applyFont="1" applyFill="1" applyBorder="1" applyAlignment="1" applyProtection="1">
      <alignment horizontal="center" vertical="center" shrinkToFit="1"/>
    </xf>
    <xf numFmtId="180" fontId="93" fillId="0" borderId="27" xfId="0" applyNumberFormat="1" applyFont="1" applyBorder="1" applyAlignment="1" applyProtection="1">
      <alignment horizontal="center" vertical="center" shrinkToFit="1"/>
      <protection locked="0"/>
    </xf>
    <xf numFmtId="38" fontId="130" fillId="0" borderId="3" xfId="2" applyFont="1" applyFill="1" applyBorder="1" applyAlignment="1" applyProtection="1">
      <alignment horizontal="right" vertical="center" shrinkToFit="1"/>
    </xf>
    <xf numFmtId="178" fontId="95" fillId="0" borderId="33" xfId="0" applyNumberFormat="1" applyFont="1" applyBorder="1" applyAlignment="1">
      <alignment horizontal="center" vertical="center" shrinkToFit="1"/>
    </xf>
    <xf numFmtId="178" fontId="102" fillId="0" borderId="20" xfId="0" applyNumberFormat="1" applyFont="1" applyBorder="1" applyAlignment="1">
      <alignment horizontal="center" vertical="center" wrapText="1" shrinkToFit="1"/>
    </xf>
    <xf numFmtId="178" fontId="102" fillId="0" borderId="50" xfId="0" applyNumberFormat="1" applyFont="1" applyBorder="1" applyAlignment="1">
      <alignment horizontal="center" vertical="center" wrapText="1" shrinkToFit="1"/>
    </xf>
    <xf numFmtId="178" fontId="98" fillId="0" borderId="33" xfId="3" applyNumberFormat="1" applyFont="1" applyFill="1" applyBorder="1" applyAlignment="1" applyProtection="1">
      <alignment horizontal="center" vertical="center" shrinkToFit="1"/>
    </xf>
    <xf numFmtId="178" fontId="102" fillId="0" borderId="15" xfId="0" applyNumberFormat="1" applyFont="1" applyBorder="1" applyAlignment="1">
      <alignment vertical="center" textRotation="255" shrinkToFit="1"/>
    </xf>
    <xf numFmtId="178" fontId="102" fillId="0" borderId="33" xfId="0" applyNumberFormat="1" applyFont="1" applyBorder="1" applyAlignment="1">
      <alignment vertical="center" textRotation="255" shrinkToFit="1"/>
    </xf>
    <xf numFmtId="178" fontId="95" fillId="0" borderId="37" xfId="0" applyNumberFormat="1" applyFont="1" applyBorder="1" applyAlignment="1">
      <alignment horizontal="center" vertical="center" shrinkToFit="1"/>
    </xf>
    <xf numFmtId="178" fontId="102" fillId="0" borderId="209" xfId="0" applyNumberFormat="1" applyFont="1" applyBorder="1" applyAlignment="1">
      <alignment horizontal="center" vertical="center" shrinkToFit="1"/>
    </xf>
    <xf numFmtId="178" fontId="102" fillId="0" borderId="54" xfId="0" applyNumberFormat="1" applyFont="1" applyBorder="1" applyAlignment="1">
      <alignment horizontal="center" vertical="center" shrinkToFit="1"/>
    </xf>
    <xf numFmtId="178" fontId="95" fillId="0" borderId="38" xfId="3" applyNumberFormat="1" applyFont="1" applyFill="1" applyBorder="1" applyAlignment="1" applyProtection="1">
      <alignment horizontal="center" vertical="center" shrinkToFit="1"/>
    </xf>
    <xf numFmtId="178" fontId="98" fillId="0" borderId="200" xfId="0" applyNumberFormat="1" applyFont="1" applyBorder="1" applyAlignment="1">
      <alignment vertical="center" shrinkToFit="1"/>
    </xf>
    <xf numFmtId="178" fontId="98" fillId="0" borderId="200" xfId="0" applyNumberFormat="1" applyFont="1" applyBorder="1" applyAlignment="1">
      <alignment horizontal="center" vertical="center" shrinkToFit="1"/>
    </xf>
    <xf numFmtId="178" fontId="98" fillId="0" borderId="33" xfId="3" applyNumberFormat="1" applyFont="1" applyFill="1" applyBorder="1" applyAlignment="1" applyProtection="1">
      <alignment vertical="center" shrinkToFit="1"/>
    </xf>
    <xf numFmtId="176" fontId="97" fillId="0" borderId="24" xfId="0" applyNumberFormat="1" applyFont="1" applyBorder="1" applyAlignment="1">
      <alignment horizontal="center" vertical="center" shrinkToFit="1"/>
    </xf>
    <xf numFmtId="176" fontId="93" fillId="0" borderId="40" xfId="0" applyNumberFormat="1" applyFont="1" applyBorder="1" applyAlignment="1" applyProtection="1">
      <alignment horizontal="center" vertical="center" shrinkToFit="1"/>
      <protection locked="0"/>
    </xf>
    <xf numFmtId="176" fontId="93" fillId="0" borderId="41" xfId="0" applyNumberFormat="1" applyFont="1" applyBorder="1" applyAlignment="1" applyProtection="1">
      <alignment horizontal="center" vertical="center" shrinkToFit="1"/>
      <protection locked="0"/>
    </xf>
    <xf numFmtId="178" fontId="98" fillId="0" borderId="63" xfId="0" applyNumberFormat="1" applyFont="1" applyBorder="1" applyAlignment="1">
      <alignment vertical="center" shrinkToFit="1"/>
    </xf>
    <xf numFmtId="178" fontId="98" fillId="0" borderId="63" xfId="0" applyNumberFormat="1" applyFont="1" applyBorder="1" applyAlignment="1">
      <alignment horizontal="center" vertical="center" shrinkToFit="1"/>
    </xf>
    <xf numFmtId="178" fontId="98" fillId="0" borderId="63" xfId="3" applyNumberFormat="1" applyFont="1" applyFill="1" applyBorder="1" applyAlignment="1" applyProtection="1">
      <alignment vertical="center" shrinkToFit="1"/>
    </xf>
    <xf numFmtId="176" fontId="93" fillId="0" borderId="43" xfId="0" applyNumberFormat="1" applyFont="1" applyBorder="1" applyAlignment="1" applyProtection="1">
      <alignment horizontal="center" vertical="center" shrinkToFit="1"/>
      <protection locked="0"/>
    </xf>
    <xf numFmtId="176" fontId="93" fillId="0" borderId="44" xfId="0" applyNumberFormat="1" applyFont="1" applyBorder="1" applyAlignment="1" applyProtection="1">
      <alignment horizontal="center" vertical="center" shrinkToFit="1"/>
      <protection locked="0"/>
    </xf>
    <xf numFmtId="178" fontId="98" fillId="0" borderId="37" xfId="3" applyNumberFormat="1" applyFont="1" applyFill="1" applyBorder="1" applyAlignment="1" applyProtection="1">
      <alignment vertical="center" shrinkToFit="1"/>
    </xf>
    <xf numFmtId="178" fontId="98" fillId="0" borderId="89" xfId="3" applyNumberFormat="1" applyFont="1" applyFill="1" applyBorder="1" applyAlignment="1" applyProtection="1">
      <alignment vertical="center" shrinkToFit="1"/>
    </xf>
    <xf numFmtId="178" fontId="98" fillId="0" borderId="211" xfId="0" applyNumberFormat="1" applyFont="1" applyBorder="1" applyAlignment="1">
      <alignment vertical="center" shrinkToFit="1"/>
    </xf>
    <xf numFmtId="178" fontId="98" fillId="0" borderId="211" xfId="0" applyNumberFormat="1" applyFont="1" applyBorder="1" applyAlignment="1">
      <alignment horizontal="center" vertical="center" shrinkToFit="1"/>
    </xf>
    <xf numFmtId="178" fontId="98" fillId="0" borderId="211" xfId="3" applyNumberFormat="1" applyFont="1" applyFill="1" applyBorder="1" applyAlignment="1" applyProtection="1">
      <alignment vertical="center" shrinkToFit="1"/>
    </xf>
    <xf numFmtId="176" fontId="97" fillId="0" borderId="212" xfId="0" applyNumberFormat="1" applyFont="1" applyBorder="1" applyAlignment="1">
      <alignment horizontal="center" vertical="center" shrinkToFit="1"/>
    </xf>
    <xf numFmtId="38" fontId="130" fillId="0" borderId="210" xfId="2" applyFont="1" applyFill="1" applyBorder="1" applyAlignment="1" applyProtection="1">
      <alignment vertical="center" shrinkToFit="1"/>
    </xf>
    <xf numFmtId="38" fontId="114" fillId="0" borderId="54" xfId="2" applyFont="1" applyBorder="1" applyAlignment="1" applyProtection="1">
      <alignment vertical="center"/>
    </xf>
    <xf numFmtId="38" fontId="114" fillId="0" borderId="53" xfId="2" applyFont="1" applyBorder="1" applyAlignment="1" applyProtection="1">
      <alignment vertical="center"/>
    </xf>
    <xf numFmtId="38" fontId="114" fillId="0" borderId="209" xfId="2" applyFont="1" applyBorder="1" applyProtection="1">
      <alignment vertical="center"/>
    </xf>
    <xf numFmtId="38" fontId="114" fillId="0" borderId="55" xfId="2" applyFont="1" applyBorder="1" applyProtection="1">
      <alignment vertical="center"/>
    </xf>
    <xf numFmtId="180" fontId="102" fillId="0" borderId="28" xfId="3" applyNumberFormat="1" applyFont="1" applyFill="1" applyBorder="1" applyAlignment="1" applyProtection="1">
      <alignment horizontal="right" vertical="center" shrinkToFit="1"/>
    </xf>
    <xf numFmtId="178" fontId="102" fillId="0" borderId="29" xfId="3" applyNumberFormat="1" applyFont="1" applyFill="1" applyBorder="1" applyAlignment="1" applyProtection="1">
      <alignment horizontal="center" vertical="center" shrinkToFit="1"/>
    </xf>
    <xf numFmtId="180" fontId="102" fillId="0" borderId="78" xfId="3" applyNumberFormat="1" applyFont="1" applyFill="1" applyBorder="1" applyAlignment="1" applyProtection="1">
      <alignment vertical="center" shrinkToFit="1"/>
    </xf>
    <xf numFmtId="49" fontId="103" fillId="0" borderId="13" xfId="0" applyNumberFormat="1" applyFont="1" applyBorder="1">
      <alignment vertical="center"/>
    </xf>
    <xf numFmtId="49" fontId="103" fillId="0" borderId="0" xfId="0" applyNumberFormat="1" applyFont="1">
      <alignment vertical="center"/>
    </xf>
    <xf numFmtId="0" fontId="103" fillId="0" borderId="0" xfId="0" applyFont="1" applyAlignment="1">
      <alignment horizontal="center" vertical="center"/>
    </xf>
    <xf numFmtId="0" fontId="103" fillId="0" borderId="12" xfId="0" applyFont="1" applyBorder="1" applyAlignment="1">
      <alignment horizontal="center" vertical="center"/>
    </xf>
    <xf numFmtId="178" fontId="82" fillId="0" borderId="17" xfId="0" applyNumberFormat="1" applyFont="1" applyBorder="1" applyAlignment="1">
      <alignment horizontal="center" vertical="center"/>
    </xf>
    <xf numFmtId="49" fontId="103" fillId="0" borderId="12" xfId="0" applyNumberFormat="1" applyFont="1" applyBorder="1">
      <alignment vertical="center"/>
    </xf>
    <xf numFmtId="0" fontId="103" fillId="0" borderId="12" xfId="0" applyFont="1" applyBorder="1">
      <alignment vertical="center"/>
    </xf>
    <xf numFmtId="49" fontId="103" fillId="0" borderId="13" xfId="0" applyNumberFormat="1" applyFont="1" applyBorder="1" applyAlignment="1">
      <alignment horizontal="center" vertical="center"/>
    </xf>
    <xf numFmtId="49" fontId="103" fillId="0" borderId="0" xfId="0" applyNumberFormat="1" applyFont="1" applyAlignment="1">
      <alignment horizontal="center" vertical="center"/>
    </xf>
    <xf numFmtId="49" fontId="102" fillId="0" borderId="13" xfId="0" applyNumberFormat="1" applyFont="1" applyBorder="1">
      <alignment vertical="center"/>
    </xf>
    <xf numFmtId="0" fontId="103" fillId="0" borderId="58" xfId="0" applyFont="1" applyBorder="1" applyAlignment="1">
      <alignment horizontal="center" vertical="center"/>
    </xf>
    <xf numFmtId="0" fontId="128" fillId="0" borderId="0" xfId="0" applyFont="1" applyAlignment="1"/>
    <xf numFmtId="0" fontId="103" fillId="0" borderId="10" xfId="0" applyFont="1" applyBorder="1">
      <alignment vertical="center"/>
    </xf>
    <xf numFmtId="0" fontId="84" fillId="0" borderId="13" xfId="0" applyFont="1" applyBorder="1">
      <alignment vertical="center"/>
    </xf>
    <xf numFmtId="49" fontId="103" fillId="0" borderId="37" xfId="0" applyNumberFormat="1" applyFont="1" applyBorder="1">
      <alignment vertical="center"/>
    </xf>
    <xf numFmtId="0" fontId="103" fillId="0" borderId="13" xfId="0" applyFont="1" applyBorder="1">
      <alignment vertical="center"/>
    </xf>
    <xf numFmtId="49" fontId="103" fillId="0" borderId="11" xfId="0" applyNumberFormat="1" applyFont="1" applyBorder="1">
      <alignment vertical="center"/>
    </xf>
    <xf numFmtId="49" fontId="82" fillId="0" borderId="0" xfId="0" applyNumberFormat="1" applyFont="1" applyAlignment="1">
      <alignment horizontal="center" vertical="center"/>
    </xf>
    <xf numFmtId="49" fontId="103" fillId="0" borderId="12" xfId="0" applyNumberFormat="1" applyFont="1" applyBorder="1" applyAlignment="1">
      <alignment horizontal="center" vertical="center"/>
    </xf>
    <xf numFmtId="0" fontId="103" fillId="0" borderId="3" xfId="0" applyFont="1" applyBorder="1">
      <alignment vertical="center"/>
    </xf>
    <xf numFmtId="0" fontId="84" fillId="0" borderId="0" xfId="8" applyFont="1">
      <alignment vertical="center"/>
    </xf>
    <xf numFmtId="0" fontId="128" fillId="0" borderId="0" xfId="8" applyFont="1">
      <alignment vertical="center"/>
    </xf>
    <xf numFmtId="49" fontId="132" fillId="0" borderId="0" xfId="0" applyNumberFormat="1" applyFont="1" applyProtection="1">
      <alignment vertical="center"/>
      <protection locked="0"/>
    </xf>
    <xf numFmtId="49" fontId="103" fillId="0" borderId="0" xfId="0" applyNumberFormat="1" applyFont="1" applyAlignment="1">
      <alignment horizontal="left" vertical="center"/>
    </xf>
    <xf numFmtId="0" fontId="82" fillId="0" borderId="0" xfId="0" applyFont="1">
      <alignment vertical="center"/>
    </xf>
    <xf numFmtId="49" fontId="134" fillId="0" borderId="0" xfId="0" applyNumberFormat="1" applyFont="1">
      <alignment vertical="center"/>
    </xf>
    <xf numFmtId="49" fontId="133" fillId="0" borderId="0" xfId="0" applyNumberFormat="1" applyFont="1" applyAlignment="1" applyProtection="1">
      <alignment horizontal="center" vertical="center"/>
      <protection locked="0"/>
    </xf>
    <xf numFmtId="0" fontId="133" fillId="0" borderId="0" xfId="0" applyFont="1" applyProtection="1">
      <alignment vertical="center"/>
      <protection locked="0"/>
    </xf>
    <xf numFmtId="0" fontId="103" fillId="0" borderId="0" xfId="0" applyFont="1" applyAlignment="1">
      <alignment horizontal="right" vertical="center"/>
    </xf>
    <xf numFmtId="0" fontId="82" fillId="0" borderId="0" xfId="0" applyFont="1" applyAlignment="1">
      <alignment horizontal="center" vertical="center"/>
    </xf>
    <xf numFmtId="0" fontId="111" fillId="0" borderId="58" xfId="0" applyFont="1" applyBorder="1" applyAlignment="1">
      <alignment horizontal="center" vertical="center"/>
    </xf>
    <xf numFmtId="178" fontId="117" fillId="0" borderId="0" xfId="0" applyNumberFormat="1" applyFont="1" applyAlignment="1">
      <alignment horizontal="center" vertical="center"/>
    </xf>
    <xf numFmtId="0" fontId="106" fillId="0" borderId="58" xfId="0" applyFont="1" applyBorder="1" applyAlignment="1">
      <alignment horizontal="center" vertical="center"/>
    </xf>
    <xf numFmtId="0" fontId="91" fillId="7" borderId="58" xfId="0" applyFont="1" applyFill="1" applyBorder="1" applyAlignment="1">
      <alignment horizontal="center" vertical="center"/>
    </xf>
    <xf numFmtId="0" fontId="110" fillId="0" borderId="58" xfId="0" applyFont="1" applyBorder="1" applyAlignment="1">
      <alignment horizontal="center" vertical="center"/>
    </xf>
    <xf numFmtId="0" fontId="111" fillId="4" borderId="68" xfId="0" applyFont="1" applyFill="1" applyBorder="1" applyAlignment="1" applyProtection="1">
      <alignment horizontal="center" vertical="center" shrinkToFit="1"/>
      <protection locked="0"/>
    </xf>
    <xf numFmtId="0" fontId="111" fillId="4" borderId="3" xfId="0" applyFont="1" applyFill="1" applyBorder="1" applyAlignment="1" applyProtection="1">
      <alignment horizontal="center" vertical="center" shrinkToFit="1"/>
      <protection locked="0"/>
    </xf>
    <xf numFmtId="0" fontId="111" fillId="4" borderId="133" xfId="0" applyFont="1" applyFill="1" applyBorder="1" applyAlignment="1" applyProtection="1">
      <alignment horizontal="center" vertical="center" shrinkToFit="1"/>
      <protection locked="0"/>
    </xf>
    <xf numFmtId="178" fontId="116" fillId="0" borderId="64" xfId="0" applyNumberFormat="1" applyFont="1" applyBorder="1" applyAlignment="1">
      <alignment horizontal="center" vertical="center" shrinkToFit="1"/>
    </xf>
    <xf numFmtId="0" fontId="84" fillId="0" borderId="68" xfId="0" applyFont="1" applyBorder="1" applyAlignment="1">
      <alignment horizontal="center" vertical="center" shrinkToFit="1"/>
    </xf>
    <xf numFmtId="178" fontId="111" fillId="0" borderId="69" xfId="0" applyNumberFormat="1" applyFont="1" applyBorder="1" applyAlignment="1">
      <alignment horizontal="center" vertical="center" shrinkToFit="1"/>
    </xf>
    <xf numFmtId="0" fontId="84" fillId="0" borderId="50" xfId="0" applyFont="1" applyBorder="1" applyAlignment="1">
      <alignment horizontal="center" vertical="center" shrinkToFit="1"/>
    </xf>
    <xf numFmtId="178" fontId="116" fillId="0" borderId="69" xfId="0" applyNumberFormat="1" applyFont="1" applyBorder="1" applyAlignment="1">
      <alignment horizontal="center" vertical="center" shrinkToFit="1"/>
    </xf>
    <xf numFmtId="0" fontId="116" fillId="0" borderId="65" xfId="0" applyFont="1" applyBorder="1" applyAlignment="1">
      <alignment horizontal="center" vertical="center" shrinkToFit="1"/>
    </xf>
    <xf numFmtId="0" fontId="84" fillId="0" borderId="70" xfId="0" applyFont="1" applyBorder="1" applyAlignment="1">
      <alignment horizontal="center" vertical="center" shrinkToFit="1"/>
    </xf>
    <xf numFmtId="0" fontId="84" fillId="0" borderId="58" xfId="0" applyFont="1" applyBorder="1" applyAlignment="1" applyProtection="1">
      <alignment horizontal="center" vertical="center"/>
      <protection locked="0"/>
    </xf>
    <xf numFmtId="0" fontId="31" fillId="0" borderId="0" xfId="0" applyFont="1" applyAlignment="1" applyProtection="1">
      <alignment horizontal="center" vertical="center"/>
      <protection locked="0"/>
    </xf>
    <xf numFmtId="38" fontId="36" fillId="0" borderId="88" xfId="0" applyNumberFormat="1" applyFont="1" applyBorder="1" applyAlignment="1"/>
    <xf numFmtId="6" fontId="36" fillId="0" borderId="0" xfId="4" applyFont="1" applyFill="1" applyBorder="1" applyAlignment="1" applyProtection="1"/>
    <xf numFmtId="6" fontId="130" fillId="9" borderId="196" xfId="4" applyFont="1" applyFill="1" applyBorder="1" applyAlignment="1" applyProtection="1">
      <alignment horizontal="center" vertical="center" shrinkToFit="1"/>
    </xf>
    <xf numFmtId="6" fontId="130" fillId="0" borderId="48" xfId="4" applyFont="1" applyFill="1" applyBorder="1" applyAlignment="1" applyProtection="1">
      <alignment horizontal="right" vertical="center" shrinkToFit="1"/>
    </xf>
    <xf numFmtId="6" fontId="130" fillId="0" borderId="217" xfId="4" applyFont="1" applyFill="1" applyBorder="1" applyAlignment="1" applyProtection="1">
      <alignment horizontal="right" vertical="center" shrinkToFit="1"/>
    </xf>
    <xf numFmtId="0" fontId="39" fillId="5" borderId="20" xfId="0" applyFont="1" applyFill="1" applyBorder="1" applyAlignment="1">
      <alignment horizontal="center" vertical="center"/>
    </xf>
    <xf numFmtId="0" fontId="42" fillId="0" borderId="20" xfId="0" applyFont="1" applyBorder="1" applyAlignment="1">
      <alignment horizontal="center" vertical="center"/>
    </xf>
    <xf numFmtId="0" fontId="136" fillId="0" borderId="0" xfId="0" applyFont="1">
      <alignment vertical="center"/>
    </xf>
    <xf numFmtId="0" fontId="137" fillId="0" borderId="0" xfId="0" applyFont="1">
      <alignment vertical="center"/>
    </xf>
    <xf numFmtId="0" fontId="135" fillId="0" borderId="0" xfId="0" applyFont="1" applyAlignment="1">
      <alignment horizontal="center" vertical="center"/>
    </xf>
    <xf numFmtId="0" fontId="39" fillId="3" borderId="0" xfId="0" applyFont="1" applyFill="1" applyAlignment="1">
      <alignment horizontal="center" vertical="center"/>
    </xf>
    <xf numFmtId="0" fontId="39" fillId="3" borderId="51" xfId="0" applyFont="1" applyFill="1" applyBorder="1" applyAlignment="1">
      <alignment horizontal="center" vertical="center"/>
    </xf>
    <xf numFmtId="0" fontId="138" fillId="0" borderId="0" xfId="0" applyFont="1" applyAlignment="1">
      <alignment horizontal="center" vertical="center"/>
    </xf>
    <xf numFmtId="0" fontId="90" fillId="0" borderId="0" xfId="0" applyFont="1" applyAlignment="1">
      <alignment horizontal="center" vertical="center"/>
    </xf>
    <xf numFmtId="0" fontId="0" fillId="0" borderId="0" xfId="0" applyAlignment="1">
      <alignment horizontal="center" vertical="center" wrapText="1"/>
    </xf>
    <xf numFmtId="0" fontId="139" fillId="0" borderId="20" xfId="0" applyFont="1" applyBorder="1" applyAlignment="1">
      <alignment horizontal="center" vertical="center"/>
    </xf>
    <xf numFmtId="0" fontId="139" fillId="0" borderId="0" xfId="0" applyFont="1">
      <alignment vertical="center"/>
    </xf>
    <xf numFmtId="0" fontId="139" fillId="14" borderId="0" xfId="0" applyFont="1" applyFill="1">
      <alignment vertical="center"/>
    </xf>
    <xf numFmtId="0" fontId="139" fillId="13" borderId="0" xfId="0" applyFont="1" applyFill="1">
      <alignment vertical="center"/>
    </xf>
    <xf numFmtId="0" fontId="139" fillId="12" borderId="0" xfId="0" applyFont="1" applyFill="1">
      <alignment vertical="center"/>
    </xf>
    <xf numFmtId="0" fontId="139" fillId="3" borderId="0" xfId="0" applyFont="1" applyFill="1">
      <alignment vertical="center"/>
    </xf>
    <xf numFmtId="38" fontId="139" fillId="0" borderId="20" xfId="1" applyFont="1" applyBorder="1" applyAlignment="1">
      <alignment horizontal="center" vertical="center"/>
    </xf>
    <xf numFmtId="0" fontId="139" fillId="11" borderId="0" xfId="0" applyFont="1" applyFill="1">
      <alignment vertical="center"/>
    </xf>
    <xf numFmtId="6" fontId="114" fillId="0" borderId="47" xfId="4" applyFont="1" applyBorder="1" applyAlignment="1" applyProtection="1">
      <alignment horizontal="center" vertical="center" shrinkToFit="1"/>
    </xf>
    <xf numFmtId="6" fontId="130" fillId="0" borderId="47" xfId="4" applyFont="1" applyBorder="1" applyAlignment="1" applyProtection="1">
      <alignment horizontal="center" vertical="center" shrinkToFit="1"/>
    </xf>
    <xf numFmtId="178" fontId="31" fillId="0" borderId="0" xfId="0" applyNumberFormat="1" applyFont="1" applyAlignment="1">
      <alignment horizontal="right" vertical="center"/>
    </xf>
    <xf numFmtId="186" fontId="97" fillId="0" borderId="32" xfId="0" applyNumberFormat="1" applyFont="1" applyBorder="1" applyAlignment="1">
      <alignment horizontal="center" vertical="center" shrinkToFit="1"/>
    </xf>
    <xf numFmtId="178" fontId="82" fillId="0" borderId="0" xfId="0" applyNumberFormat="1" applyFont="1" applyAlignment="1" applyProtection="1">
      <alignment horizontal="center" vertical="center"/>
      <protection locked="0"/>
    </xf>
    <xf numFmtId="181" fontId="111" fillId="4" borderId="67" xfId="0" applyNumberFormat="1" applyFont="1" applyFill="1" applyBorder="1" applyAlignment="1" applyProtection="1">
      <alignment vertical="center" shrinkToFit="1"/>
      <protection locked="0"/>
    </xf>
    <xf numFmtId="0" fontId="119" fillId="0" borderId="81" xfId="0" applyFont="1" applyBorder="1" applyAlignment="1" applyProtection="1">
      <alignment vertical="center" wrapText="1"/>
      <protection hidden="1"/>
    </xf>
    <xf numFmtId="0" fontId="84" fillId="0" borderId="80" xfId="0" applyFont="1" applyBorder="1" applyAlignment="1" applyProtection="1">
      <alignment horizontal="center" vertical="center"/>
      <protection hidden="1"/>
    </xf>
    <xf numFmtId="0" fontId="119" fillId="0" borderId="83" xfId="0" applyFont="1" applyBorder="1" applyAlignment="1" applyProtection="1">
      <alignment horizontal="left" vertical="center" wrapText="1"/>
      <protection hidden="1"/>
    </xf>
    <xf numFmtId="0" fontId="84" fillId="0" borderId="0" xfId="0" applyFont="1" applyProtection="1">
      <alignment vertical="center"/>
      <protection hidden="1"/>
    </xf>
    <xf numFmtId="0" fontId="84" fillId="0" borderId="0" xfId="0" applyFont="1" applyAlignment="1">
      <alignment horizontal="left" vertical="center"/>
    </xf>
    <xf numFmtId="0" fontId="142" fillId="0" borderId="0" xfId="0" applyFont="1" applyAlignment="1">
      <alignment horizontal="center" vertical="center"/>
    </xf>
    <xf numFmtId="0" fontId="142" fillId="0" borderId="0" xfId="0" applyFont="1">
      <alignment vertical="center"/>
    </xf>
    <xf numFmtId="49" fontId="142" fillId="0" borderId="0" xfId="0" applyNumberFormat="1" applyFont="1">
      <alignment vertical="center"/>
    </xf>
    <xf numFmtId="49" fontId="142" fillId="0" borderId="0" xfId="0" applyNumberFormat="1" applyFont="1" applyAlignment="1">
      <alignment horizontal="center" vertical="center"/>
    </xf>
    <xf numFmtId="49" fontId="142" fillId="0" borderId="0" xfId="0" applyNumberFormat="1" applyFont="1" applyAlignment="1">
      <alignment horizontal="left" vertical="center"/>
    </xf>
    <xf numFmtId="0" fontId="148" fillId="0" borderId="0" xfId="0" applyFont="1" applyAlignment="1">
      <alignment vertical="center" wrapText="1"/>
    </xf>
    <xf numFmtId="0" fontId="103" fillId="0" borderId="110" xfId="0" applyFont="1" applyBorder="1" applyAlignment="1">
      <alignment horizontal="center" vertical="center"/>
    </xf>
    <xf numFmtId="49" fontId="84" fillId="0" borderId="0" xfId="0" applyNumberFormat="1" applyFont="1" applyAlignment="1">
      <alignment horizontal="center" vertical="center"/>
    </xf>
    <xf numFmtId="0" fontId="116" fillId="0" borderId="51" xfId="0" applyFont="1" applyBorder="1" applyAlignment="1" applyProtection="1">
      <alignment horizontal="center" vertical="center"/>
      <protection locked="0"/>
    </xf>
    <xf numFmtId="38" fontId="126" fillId="0" borderId="25" xfId="1" applyFont="1" applyFill="1" applyBorder="1" applyAlignment="1" applyProtection="1">
      <alignment horizontal="right" vertical="center" shrinkToFit="1"/>
    </xf>
    <xf numFmtId="0" fontId="95" fillId="0" borderId="223" xfId="0" applyFont="1" applyBorder="1" applyAlignment="1">
      <alignment vertical="center" wrapText="1"/>
    </xf>
    <xf numFmtId="0" fontId="111" fillId="4" borderId="38" xfId="0" applyFont="1" applyFill="1" applyBorder="1" applyAlignment="1" applyProtection="1">
      <alignment horizontal="center" vertical="center" wrapText="1" shrinkToFit="1"/>
      <protection locked="0"/>
    </xf>
    <xf numFmtId="0" fontId="111" fillId="4" borderId="20" xfId="0" applyFont="1" applyFill="1" applyBorder="1" applyAlignment="1" applyProtection="1">
      <alignment horizontal="center" vertical="center" wrapText="1" shrinkToFit="1"/>
      <protection locked="0"/>
    </xf>
    <xf numFmtId="180" fontId="93" fillId="0" borderId="43" xfId="0" applyNumberFormat="1" applyFont="1" applyBorder="1" applyAlignment="1" applyProtection="1">
      <alignment horizontal="center" vertical="center" shrinkToFit="1"/>
      <protection locked="0"/>
    </xf>
    <xf numFmtId="180" fontId="93" fillId="0" borderId="40" xfId="0" applyNumberFormat="1" applyFont="1" applyBorder="1" applyAlignment="1" applyProtection="1">
      <alignment horizontal="center" vertical="center" shrinkToFit="1"/>
      <protection locked="0"/>
    </xf>
    <xf numFmtId="180" fontId="93" fillId="0" borderId="106" xfId="0" applyNumberFormat="1" applyFont="1" applyBorder="1" applyAlignment="1" applyProtection="1">
      <alignment horizontal="center" vertical="center" shrinkToFit="1"/>
      <protection locked="0"/>
    </xf>
    <xf numFmtId="0" fontId="97" fillId="0" borderId="104" xfId="0" applyFont="1" applyBorder="1" applyAlignment="1" applyProtection="1">
      <alignment horizontal="center" vertical="center"/>
      <protection locked="0"/>
    </xf>
    <xf numFmtId="180" fontId="93" fillId="0" borderId="105" xfId="0" applyNumberFormat="1" applyFont="1" applyBorder="1" applyAlignment="1" applyProtection="1">
      <alignment horizontal="center" vertical="center" shrinkToFit="1"/>
      <protection locked="0"/>
    </xf>
    <xf numFmtId="49" fontId="106" fillId="0" borderId="0" xfId="0" applyNumberFormat="1" applyFont="1">
      <alignment vertical="center"/>
    </xf>
    <xf numFmtId="0" fontId="84" fillId="0" borderId="23" xfId="0" applyFont="1" applyBorder="1" applyAlignment="1">
      <alignment vertical="center" shrinkToFit="1"/>
    </xf>
    <xf numFmtId="0" fontId="84" fillId="0" borderId="20" xfId="0" applyFont="1" applyBorder="1" applyAlignment="1">
      <alignment vertical="center" shrinkToFit="1"/>
    </xf>
    <xf numFmtId="0" fontId="40" fillId="0" borderId="20" xfId="0" applyFont="1" applyBorder="1">
      <alignment vertical="center"/>
    </xf>
    <xf numFmtId="0" fontId="40" fillId="0" borderId="51" xfId="0" applyFont="1" applyBorder="1">
      <alignment vertical="center"/>
    </xf>
    <xf numFmtId="0" fontId="41" fillId="0" borderId="12" xfId="0" applyFont="1" applyBorder="1">
      <alignment vertical="center"/>
    </xf>
    <xf numFmtId="0" fontId="102" fillId="0" borderId="0" xfId="0" applyFont="1" applyAlignment="1">
      <alignment horizontal="center" vertical="center"/>
    </xf>
    <xf numFmtId="0" fontId="102" fillId="0" borderId="0" xfId="0" applyFont="1" applyAlignment="1">
      <alignment horizontal="left" vertical="center"/>
    </xf>
    <xf numFmtId="180" fontId="93" fillId="0" borderId="218" xfId="0" applyNumberFormat="1" applyFont="1" applyBorder="1" applyAlignment="1" applyProtection="1">
      <alignment horizontal="center" vertical="center" shrinkToFit="1"/>
      <protection locked="0"/>
    </xf>
    <xf numFmtId="186" fontId="97" fillId="0" borderId="31" xfId="0" applyNumberFormat="1" applyFont="1" applyBorder="1" applyAlignment="1">
      <alignment horizontal="center" vertical="center" shrinkToFit="1"/>
    </xf>
    <xf numFmtId="186" fontId="97" fillId="0" borderId="235" xfId="0" applyNumberFormat="1" applyFont="1" applyBorder="1" applyAlignment="1">
      <alignment horizontal="center" vertical="center" shrinkToFit="1"/>
    </xf>
    <xf numFmtId="49" fontId="98" fillId="0" borderId="30" xfId="3" applyNumberFormat="1" applyFont="1" applyFill="1" applyBorder="1" applyAlignment="1" applyProtection="1">
      <alignment horizontal="center" vertical="center" shrinkToFit="1"/>
    </xf>
    <xf numFmtId="38" fontId="98" fillId="0" borderId="30" xfId="3" applyFont="1" applyFill="1" applyBorder="1" applyAlignment="1" applyProtection="1">
      <alignment horizontal="right" vertical="center" shrinkToFit="1"/>
    </xf>
    <xf numFmtId="49" fontId="98" fillId="0" borderId="31" xfId="3" applyNumberFormat="1" applyFont="1" applyFill="1" applyBorder="1" applyAlignment="1" applyProtection="1">
      <alignment horizontal="center" vertical="center" shrinkToFit="1"/>
    </xf>
    <xf numFmtId="38" fontId="98" fillId="0" borderId="244" xfId="3" applyFont="1" applyFill="1" applyBorder="1" applyAlignment="1" applyProtection="1">
      <alignment horizontal="right" vertical="center" shrinkToFit="1"/>
    </xf>
    <xf numFmtId="186" fontId="97" fillId="0" borderId="236" xfId="3" applyNumberFormat="1" applyFont="1" applyFill="1" applyBorder="1" applyAlignment="1" applyProtection="1">
      <alignment horizontal="center" vertical="center" shrinkToFit="1"/>
    </xf>
    <xf numFmtId="186" fontId="97" fillId="0" borderId="29" xfId="3" applyNumberFormat="1" applyFont="1" applyFill="1" applyBorder="1" applyAlignment="1" applyProtection="1">
      <alignment horizontal="center" vertical="center" shrinkToFit="1"/>
    </xf>
    <xf numFmtId="186" fontId="97" fillId="0" borderId="235" xfId="3" applyNumberFormat="1" applyFont="1" applyFill="1" applyBorder="1" applyAlignment="1" applyProtection="1">
      <alignment horizontal="center" vertical="center" shrinkToFit="1"/>
    </xf>
    <xf numFmtId="49" fontId="98" fillId="0" borderId="32" xfId="3" applyNumberFormat="1" applyFont="1" applyFill="1" applyBorder="1" applyAlignment="1" applyProtection="1">
      <alignment horizontal="center" vertical="center" shrinkToFit="1"/>
    </xf>
    <xf numFmtId="38" fontId="98" fillId="0" borderId="245" xfId="3" applyFont="1" applyFill="1" applyBorder="1" applyAlignment="1" applyProtection="1">
      <alignment horizontal="right" vertical="center" shrinkToFit="1"/>
    </xf>
    <xf numFmtId="180" fontId="130" fillId="0" borderId="247" xfId="0" applyNumberFormat="1" applyFont="1" applyBorder="1" applyAlignment="1">
      <alignment horizontal="center" vertical="center" shrinkToFit="1"/>
    </xf>
    <xf numFmtId="186" fontId="122" fillId="0" borderId="201" xfId="0" applyNumberFormat="1" applyFont="1" applyBorder="1" applyAlignment="1">
      <alignment horizontal="center" vertical="center" shrinkToFit="1"/>
    </xf>
    <xf numFmtId="0" fontId="111" fillId="4" borderId="75" xfId="0" applyFont="1" applyFill="1" applyBorder="1" applyAlignment="1" applyProtection="1">
      <alignment horizontal="center" vertical="center" wrapText="1" shrinkToFit="1"/>
      <protection locked="0"/>
    </xf>
    <xf numFmtId="38" fontId="126" fillId="0" borderId="204" xfId="1" applyFont="1" applyFill="1" applyBorder="1" applyAlignment="1" applyProtection="1">
      <alignment horizontal="right" vertical="center" shrinkToFit="1"/>
    </xf>
    <xf numFmtId="0" fontId="84" fillId="0" borderId="249" xfId="0" applyFont="1" applyBorder="1">
      <alignment vertical="center"/>
    </xf>
    <xf numFmtId="0" fontId="116" fillId="0" borderId="199" xfId="0" applyFont="1" applyBorder="1" applyAlignment="1" applyProtection="1">
      <alignment horizontal="center" vertical="center"/>
      <protection locked="0"/>
    </xf>
    <xf numFmtId="0" fontId="103" fillId="0" borderId="10" xfId="0" applyFont="1" applyBorder="1" applyAlignment="1">
      <alignment horizontal="center" vertical="center"/>
    </xf>
    <xf numFmtId="38" fontId="130" fillId="9" borderId="2" xfId="2" applyFont="1" applyFill="1" applyBorder="1" applyAlignment="1" applyProtection="1">
      <alignment vertical="center" shrinkToFit="1"/>
    </xf>
    <xf numFmtId="38" fontId="130" fillId="9" borderId="3" xfId="2" applyFont="1" applyFill="1" applyBorder="1" applyAlignment="1" applyProtection="1">
      <alignment vertical="center" shrinkToFit="1"/>
    </xf>
    <xf numFmtId="49" fontId="103" fillId="0" borderId="10" xfId="0" applyNumberFormat="1" applyFont="1" applyBorder="1" applyAlignment="1">
      <alignment horizontal="center" vertical="center"/>
    </xf>
    <xf numFmtId="49" fontId="103" fillId="0" borderId="15" xfId="0" applyNumberFormat="1" applyFont="1" applyBorder="1" applyAlignment="1">
      <alignment horizontal="center" vertical="center"/>
    </xf>
    <xf numFmtId="49" fontId="103" fillId="0" borderId="17" xfId="0" applyNumberFormat="1" applyFont="1" applyBorder="1" applyAlignment="1">
      <alignment horizontal="center" vertical="center"/>
    </xf>
    <xf numFmtId="178" fontId="103" fillId="0" borderId="17" xfId="0" applyNumberFormat="1" applyFont="1" applyBorder="1" applyAlignment="1">
      <alignment horizontal="center" vertical="center"/>
    </xf>
    <xf numFmtId="179" fontId="98" fillId="0" borderId="20" xfId="3" applyNumberFormat="1" applyFont="1" applyFill="1" applyBorder="1" applyAlignment="1" applyProtection="1">
      <alignment horizontal="right" vertical="center" shrinkToFit="1"/>
    </xf>
    <xf numFmtId="186" fontId="97" fillId="0" borderId="77" xfId="0" applyNumberFormat="1" applyFont="1" applyBorder="1" applyAlignment="1">
      <alignment horizontal="center" vertical="center" shrinkToFit="1"/>
    </xf>
    <xf numFmtId="186" fontId="97" fillId="0" borderId="250" xfId="0" applyNumberFormat="1" applyFont="1" applyBorder="1" applyAlignment="1">
      <alignment horizontal="center" vertical="center" shrinkToFit="1"/>
    </xf>
    <xf numFmtId="179" fontId="98" fillId="0" borderId="159" xfId="3" applyNumberFormat="1" applyFont="1" applyFill="1" applyBorder="1" applyAlignment="1" applyProtection="1">
      <alignment horizontal="right" vertical="center" shrinkToFit="1"/>
    </xf>
    <xf numFmtId="179" fontId="98" fillId="0" borderId="231" xfId="3" applyNumberFormat="1" applyFont="1" applyFill="1" applyBorder="1" applyAlignment="1" applyProtection="1">
      <alignment horizontal="right" vertical="center" shrinkToFit="1"/>
    </xf>
    <xf numFmtId="179" fontId="98" fillId="0" borderId="251" xfId="3" applyNumberFormat="1" applyFont="1" applyFill="1" applyBorder="1" applyAlignment="1" applyProtection="1">
      <alignment horizontal="right" vertical="center" shrinkToFit="1"/>
    </xf>
    <xf numFmtId="180" fontId="93" fillId="0" borderId="192" xfId="0" applyNumberFormat="1" applyFont="1" applyBorder="1" applyAlignment="1" applyProtection="1">
      <alignment horizontal="center" vertical="center" shrinkToFit="1"/>
      <protection locked="0"/>
    </xf>
    <xf numFmtId="180" fontId="93" fillId="0" borderId="93" xfId="0" applyNumberFormat="1" applyFont="1" applyBorder="1" applyAlignment="1" applyProtection="1">
      <alignment horizontal="center" vertical="center" shrinkToFit="1"/>
      <protection locked="0"/>
    </xf>
    <xf numFmtId="180" fontId="93" fillId="0" borderId="25" xfId="0" applyNumberFormat="1" applyFont="1" applyBorder="1" applyAlignment="1" applyProtection="1">
      <alignment horizontal="center" vertical="center" shrinkToFit="1"/>
      <protection locked="0"/>
    </xf>
    <xf numFmtId="38" fontId="93" fillId="0" borderId="37" xfId="2" applyFont="1" applyFill="1" applyBorder="1" applyAlignment="1" applyProtection="1">
      <alignment horizontal="center" vertical="center" shrinkToFit="1"/>
      <protection locked="0"/>
    </xf>
    <xf numFmtId="180" fontId="93" fillId="0" borderId="109" xfId="0" applyNumberFormat="1" applyFont="1" applyBorder="1" applyAlignment="1" applyProtection="1">
      <alignment horizontal="center" vertical="center" shrinkToFit="1"/>
      <protection locked="0"/>
    </xf>
    <xf numFmtId="38" fontId="93" fillId="0" borderId="107" xfId="2" applyFont="1" applyFill="1" applyBorder="1" applyAlignment="1" applyProtection="1">
      <alignment horizontal="center" vertical="center" shrinkToFit="1"/>
      <protection locked="0"/>
    </xf>
    <xf numFmtId="180" fontId="93" fillId="0" borderId="234" xfId="0" applyNumberFormat="1" applyFont="1" applyBorder="1" applyAlignment="1" applyProtection="1">
      <alignment horizontal="center" vertical="center" shrinkToFit="1"/>
      <protection locked="0"/>
    </xf>
    <xf numFmtId="180" fontId="93" fillId="0" borderId="242" xfId="0" applyNumberFormat="1" applyFont="1" applyBorder="1" applyAlignment="1" applyProtection="1">
      <alignment horizontal="center" vertical="center" shrinkToFit="1"/>
      <protection locked="0"/>
    </xf>
    <xf numFmtId="0" fontId="24" fillId="0" borderId="12" xfId="0" applyFont="1" applyBorder="1" applyAlignment="1">
      <alignment vertical="center" wrapText="1"/>
    </xf>
    <xf numFmtId="0" fontId="74" fillId="0" borderId="12" xfId="0" applyFont="1" applyBorder="1" applyAlignment="1" applyProtection="1">
      <alignment vertical="center" wrapText="1"/>
      <protection locked="0"/>
    </xf>
    <xf numFmtId="0" fontId="65" fillId="0" borderId="0" xfId="0" applyFont="1" applyAlignment="1" applyProtection="1">
      <protection locked="0"/>
    </xf>
    <xf numFmtId="176" fontId="97" fillId="0" borderId="202" xfId="0" applyNumberFormat="1" applyFont="1" applyBorder="1" applyAlignment="1">
      <alignment horizontal="center" vertical="center" shrinkToFit="1"/>
    </xf>
    <xf numFmtId="181" fontId="97" fillId="0" borderId="26" xfId="0" applyNumberFormat="1" applyFont="1" applyBorder="1" applyAlignment="1">
      <alignment horizontal="center" vertical="center" shrinkToFit="1"/>
    </xf>
    <xf numFmtId="179" fontId="38" fillId="0" borderId="231" xfId="3" applyNumberFormat="1" applyFont="1" applyFill="1" applyBorder="1" applyAlignment="1" applyProtection="1">
      <alignment horizontal="right" vertical="center" shrinkToFit="1"/>
    </xf>
    <xf numFmtId="176" fontId="97" fillId="0" borderId="26" xfId="0" applyNumberFormat="1" applyFont="1" applyBorder="1" applyAlignment="1">
      <alignment horizontal="center" vertical="center" shrinkToFit="1"/>
    </xf>
    <xf numFmtId="179" fontId="98" fillId="0" borderId="254" xfId="3" applyNumberFormat="1" applyFont="1" applyFill="1" applyBorder="1" applyAlignment="1" applyProtection="1">
      <alignment horizontal="right" vertical="center" shrinkToFit="1"/>
    </xf>
    <xf numFmtId="38" fontId="130" fillId="0" borderId="140" xfId="2" applyFont="1" applyFill="1" applyBorder="1" applyAlignment="1" applyProtection="1">
      <alignment horizontal="right" vertical="center" shrinkToFit="1"/>
    </xf>
    <xf numFmtId="176" fontId="97" fillId="0" borderId="79" xfId="0" applyNumberFormat="1" applyFont="1" applyBorder="1" applyAlignment="1">
      <alignment horizontal="center" vertical="center" shrinkToFit="1"/>
    </xf>
    <xf numFmtId="176" fontId="93" fillId="0" borderId="25" xfId="0" applyNumberFormat="1" applyFont="1" applyBorder="1" applyAlignment="1" applyProtection="1">
      <alignment vertical="center" shrinkToFit="1"/>
      <protection locked="0"/>
    </xf>
    <xf numFmtId="176" fontId="93" fillId="0" borderId="46" xfId="0" applyNumberFormat="1" applyFont="1" applyBorder="1" applyAlignment="1" applyProtection="1">
      <alignment vertical="center" shrinkToFit="1"/>
      <protection locked="0"/>
    </xf>
    <xf numFmtId="176" fontId="93" fillId="0" borderId="44" xfId="0" applyNumberFormat="1" applyFont="1" applyBorder="1" applyAlignment="1" applyProtection="1">
      <alignment vertical="center" shrinkToFit="1"/>
      <protection locked="0"/>
    </xf>
    <xf numFmtId="38" fontId="128" fillId="0" borderId="37" xfId="2" applyFont="1" applyFill="1" applyBorder="1" applyAlignment="1" applyProtection="1">
      <alignment horizontal="center" vertical="center" shrinkToFit="1"/>
      <protection locked="0"/>
    </xf>
    <xf numFmtId="0" fontId="38" fillId="0" borderId="0" xfId="0" applyFont="1" applyAlignment="1">
      <alignment vertical="center" wrapText="1" justifyLastLine="1"/>
    </xf>
    <xf numFmtId="0" fontId="38" fillId="0" borderId="0" xfId="0" applyFont="1" applyAlignment="1">
      <alignment vertical="center" justifyLastLine="1"/>
    </xf>
    <xf numFmtId="0" fontId="43" fillId="0" borderId="0" xfId="0" applyFont="1">
      <alignment vertical="center"/>
    </xf>
    <xf numFmtId="38" fontId="128" fillId="0" borderId="107" xfId="2" applyFont="1" applyFill="1" applyBorder="1" applyAlignment="1" applyProtection="1">
      <alignment horizontal="center" vertical="center" shrinkToFit="1"/>
      <protection locked="0"/>
    </xf>
    <xf numFmtId="0" fontId="84" fillId="0" borderId="249" xfId="0" applyFont="1" applyBorder="1" applyAlignment="1">
      <alignment vertical="center" shrinkToFit="1"/>
    </xf>
    <xf numFmtId="0" fontId="84" fillId="0" borderId="50" xfId="0" applyFont="1" applyBorder="1" applyAlignment="1">
      <alignment vertical="center" shrinkToFit="1"/>
    </xf>
    <xf numFmtId="0" fontId="82" fillId="0" borderId="20" xfId="0" applyFont="1" applyBorder="1" applyAlignment="1">
      <alignment horizontal="center" vertical="center"/>
    </xf>
    <xf numFmtId="49" fontId="103" fillId="0" borderId="157" xfId="0" applyNumberFormat="1" applyFont="1" applyBorder="1">
      <alignment vertical="center"/>
    </xf>
    <xf numFmtId="49" fontId="103" fillId="0" borderId="157" xfId="0" applyNumberFormat="1" applyFont="1" applyBorder="1" applyAlignment="1">
      <alignment horizontal="center" vertical="center"/>
    </xf>
    <xf numFmtId="0" fontId="82" fillId="0" borderId="158" xfId="0" applyFont="1" applyBorder="1" applyAlignment="1">
      <alignment horizontal="center" vertical="center"/>
    </xf>
    <xf numFmtId="49" fontId="84" fillId="0" borderId="158" xfId="0" applyNumberFormat="1" applyFont="1" applyBorder="1" applyAlignment="1">
      <alignment horizontal="left" vertical="center" wrapText="1"/>
    </xf>
    <xf numFmtId="0" fontId="102" fillId="0" borderId="0" xfId="0" applyFont="1">
      <alignment vertical="center"/>
    </xf>
    <xf numFmtId="0" fontId="132" fillId="0" borderId="0" xfId="0" applyFont="1">
      <alignment vertical="center"/>
    </xf>
    <xf numFmtId="0" fontId="110" fillId="0" borderId="2" xfId="0" applyFont="1" applyBorder="1">
      <alignment vertical="center"/>
    </xf>
    <xf numFmtId="49" fontId="103" fillId="0" borderId="158" xfId="0" applyNumberFormat="1" applyFont="1" applyBorder="1" applyAlignment="1">
      <alignment horizontal="center" vertical="center"/>
    </xf>
    <xf numFmtId="0" fontId="82" fillId="0" borderId="0" xfId="0" applyFont="1" applyAlignment="1" applyProtection="1">
      <alignment horizontal="center" vertical="center"/>
      <protection locked="0"/>
    </xf>
    <xf numFmtId="0" fontId="103" fillId="0" borderId="0" xfId="0" applyFont="1" applyAlignment="1">
      <alignment horizontal="left" vertical="center"/>
    </xf>
    <xf numFmtId="0" fontId="119" fillId="0" borderId="0" xfId="0" applyFont="1" applyAlignment="1">
      <alignment horizontal="left" vertical="center" wrapText="1"/>
    </xf>
    <xf numFmtId="180" fontId="102" fillId="0" borderId="77" xfId="3" applyNumberFormat="1" applyFont="1" applyFill="1" applyBorder="1" applyAlignment="1" applyProtection="1">
      <alignment horizontal="center" vertical="center" shrinkToFit="1"/>
    </xf>
    <xf numFmtId="176" fontId="93" fillId="0" borderId="27" xfId="0" applyNumberFormat="1" applyFont="1" applyBorder="1" applyAlignment="1" applyProtection="1">
      <alignment horizontal="center" vertical="center" shrinkToFit="1"/>
      <protection locked="0"/>
    </xf>
    <xf numFmtId="176" fontId="93" fillId="0" borderId="27" xfId="0" applyNumberFormat="1" applyFont="1" applyBorder="1" applyAlignment="1" applyProtection="1">
      <alignment vertical="center" shrinkToFit="1"/>
      <protection locked="0"/>
    </xf>
    <xf numFmtId="176" fontId="97" fillId="0" borderId="183" xfId="0" applyNumberFormat="1" applyFont="1" applyBorder="1" applyAlignment="1">
      <alignment horizontal="center" vertical="center" shrinkToFit="1"/>
    </xf>
    <xf numFmtId="176" fontId="93" fillId="0" borderId="108" xfId="0" applyNumberFormat="1" applyFont="1" applyBorder="1" applyAlignment="1" applyProtection="1">
      <alignment horizontal="center" vertical="center" shrinkToFit="1"/>
      <protection locked="0"/>
    </xf>
    <xf numFmtId="176" fontId="93" fillId="0" borderId="218" xfId="0" applyNumberFormat="1" applyFont="1" applyBorder="1" applyAlignment="1" applyProtection="1">
      <alignment horizontal="center" vertical="center" shrinkToFit="1"/>
      <protection locked="0"/>
    </xf>
    <xf numFmtId="176" fontId="93" fillId="0" borderId="175" xfId="0" applyNumberFormat="1" applyFont="1" applyBorder="1" applyAlignment="1" applyProtection="1">
      <alignment horizontal="center" vertical="center" shrinkToFit="1"/>
      <protection locked="0"/>
    </xf>
    <xf numFmtId="176" fontId="93" fillId="0" borderId="192" xfId="0" applyNumberFormat="1" applyFont="1" applyBorder="1" applyAlignment="1" applyProtection="1">
      <alignment horizontal="center" vertical="center" shrinkToFit="1"/>
      <protection locked="0"/>
    </xf>
    <xf numFmtId="176" fontId="93" fillId="0" borderId="77" xfId="0" applyNumberFormat="1" applyFont="1" applyBorder="1" applyAlignment="1" applyProtection="1">
      <alignment horizontal="center" vertical="center" shrinkToFit="1"/>
      <protection locked="0"/>
    </xf>
    <xf numFmtId="180" fontId="126" fillId="0" borderId="25" xfId="3" applyNumberFormat="1" applyFont="1" applyFill="1" applyBorder="1" applyAlignment="1" applyProtection="1">
      <alignment horizontal="right" vertical="center" shrinkToFit="1"/>
    </xf>
    <xf numFmtId="180" fontId="126" fillId="0" borderId="193" xfId="3" applyNumberFormat="1" applyFont="1" applyFill="1" applyBorder="1" applyAlignment="1" applyProtection="1">
      <alignment horizontal="right" vertical="center" shrinkToFit="1"/>
    </xf>
    <xf numFmtId="180" fontId="102" fillId="0" borderId="78" xfId="3" applyNumberFormat="1" applyFont="1" applyFill="1" applyBorder="1" applyAlignment="1" applyProtection="1">
      <alignment horizontal="center" vertical="center" shrinkToFit="1"/>
    </xf>
    <xf numFmtId="180" fontId="102" fillId="0" borderId="29" xfId="3" applyNumberFormat="1" applyFont="1" applyFill="1" applyBorder="1" applyAlignment="1" applyProtection="1">
      <alignment horizontal="center" vertical="center" shrinkToFit="1"/>
    </xf>
    <xf numFmtId="176" fontId="93" fillId="0" borderId="260" xfId="0" applyNumberFormat="1" applyFont="1" applyBorder="1" applyAlignment="1" applyProtection="1">
      <alignment horizontal="center" vertical="center" shrinkToFit="1"/>
      <protection locked="0"/>
    </xf>
    <xf numFmtId="176" fontId="93" fillId="0" borderId="266" xfId="0" applyNumberFormat="1" applyFont="1" applyBorder="1" applyAlignment="1" applyProtection="1">
      <alignment horizontal="center" vertical="center" shrinkToFit="1"/>
      <protection locked="0"/>
    </xf>
    <xf numFmtId="180" fontId="102" fillId="0" borderId="266" xfId="3" applyNumberFormat="1" applyFont="1" applyFill="1" applyBorder="1" applyAlignment="1" applyProtection="1">
      <alignment vertical="center" shrinkToFit="1"/>
    </xf>
    <xf numFmtId="181" fontId="126" fillId="0" borderId="76" xfId="3" applyNumberFormat="1" applyFont="1" applyFill="1" applyBorder="1" applyAlignment="1" applyProtection="1">
      <alignment horizontal="right" vertical="center" shrinkToFit="1"/>
    </xf>
    <xf numFmtId="180" fontId="98" fillId="0" borderId="49" xfId="3" applyNumberFormat="1" applyFont="1" applyFill="1" applyBorder="1" applyAlignment="1" applyProtection="1">
      <alignment vertical="center" shrinkToFit="1"/>
      <protection locked="0"/>
    </xf>
    <xf numFmtId="181" fontId="126" fillId="0" borderId="204" xfId="3" applyNumberFormat="1" applyFont="1" applyFill="1" applyBorder="1" applyAlignment="1" applyProtection="1">
      <alignment horizontal="right" vertical="center" shrinkToFit="1"/>
    </xf>
    <xf numFmtId="0" fontId="94" fillId="0" borderId="0" xfId="0" applyFont="1" applyAlignment="1">
      <alignment horizontal="center" vertical="center"/>
    </xf>
    <xf numFmtId="0" fontId="87" fillId="0" borderId="0" xfId="0" applyFont="1" applyAlignment="1">
      <alignment horizontal="center" vertical="center" wrapText="1"/>
    </xf>
    <xf numFmtId="0" fontId="103" fillId="0" borderId="20" xfId="0" applyFont="1" applyBorder="1" applyAlignment="1">
      <alignment horizontal="center" vertical="center"/>
    </xf>
    <xf numFmtId="0" fontId="94" fillId="0" borderId="20" xfId="0" applyFont="1" applyBorder="1" applyAlignment="1">
      <alignment horizontal="center" vertical="center"/>
    </xf>
    <xf numFmtId="0" fontId="152" fillId="0" borderId="0" xfId="8" applyFont="1" applyAlignment="1">
      <alignment horizontal="center" vertical="center"/>
    </xf>
    <xf numFmtId="0" fontId="152" fillId="0" borderId="13" xfId="8" applyFont="1" applyBorder="1" applyAlignment="1">
      <alignment horizontal="center" vertical="center"/>
    </xf>
    <xf numFmtId="0" fontId="84" fillId="0" borderId="0" xfId="8" applyFont="1" applyAlignment="1">
      <alignment horizontal="center" vertical="center"/>
    </xf>
    <xf numFmtId="0" fontId="152" fillId="0" borderId="0" xfId="8" applyFont="1" applyAlignment="1">
      <alignment horizontal="center" vertical="center" wrapText="1"/>
    </xf>
    <xf numFmtId="0" fontId="94" fillId="0" borderId="269" xfId="8" applyFont="1" applyBorder="1" applyAlignment="1">
      <alignment horizontal="center" vertical="center" textRotation="255"/>
    </xf>
    <xf numFmtId="0" fontId="94" fillId="0" borderId="270" xfId="8" applyFont="1" applyBorder="1" applyAlignment="1">
      <alignment horizontal="center" vertical="center" textRotation="255"/>
    </xf>
    <xf numFmtId="49" fontId="84" fillId="0" borderId="0" xfId="8" applyNumberFormat="1" applyFont="1" applyAlignment="1">
      <alignment horizontal="right" vertical="center"/>
    </xf>
    <xf numFmtId="0" fontId="111" fillId="4" borderId="0" xfId="0" applyFont="1" applyFill="1" applyAlignment="1">
      <alignment horizontal="center" vertical="center" shrinkToFit="1"/>
    </xf>
    <xf numFmtId="0" fontId="111" fillId="0" borderId="0" xfId="0" applyFont="1" applyAlignment="1">
      <alignment horizontal="center" vertical="center" shrinkToFit="1"/>
    </xf>
    <xf numFmtId="0" fontId="153" fillId="0" borderId="0" xfId="0" applyFont="1" applyAlignment="1">
      <alignment vertical="center" shrinkToFit="1"/>
    </xf>
    <xf numFmtId="188" fontId="98" fillId="0" borderId="69" xfId="0" applyNumberFormat="1" applyFont="1" applyBorder="1" applyAlignment="1">
      <alignment vertical="center" textRotation="255" wrapText="1"/>
    </xf>
    <xf numFmtId="188" fontId="98" fillId="0" borderId="50" xfId="0" applyNumberFormat="1" applyFont="1" applyBorder="1" applyAlignment="1">
      <alignment horizontal="center" vertical="center" justifyLastLine="1"/>
    </xf>
    <xf numFmtId="188" fontId="98" fillId="0" borderId="15" xfId="0" applyNumberFormat="1" applyFont="1" applyBorder="1" applyAlignment="1">
      <alignment horizontal="center" vertical="center" wrapText="1" justifyLastLine="1"/>
    </xf>
    <xf numFmtId="188" fontId="98" fillId="0" borderId="10" xfId="0" applyNumberFormat="1" applyFont="1" applyBorder="1" applyAlignment="1">
      <alignment horizontal="center" vertical="center" justifyLastLine="1"/>
    </xf>
    <xf numFmtId="188" fontId="99" fillId="0" borderId="14" xfId="0" applyNumberFormat="1" applyFont="1" applyBorder="1" applyAlignment="1">
      <alignment horizontal="center" vertical="center"/>
    </xf>
    <xf numFmtId="188" fontId="99" fillId="0" borderId="15" xfId="0" applyNumberFormat="1" applyFont="1" applyBorder="1" applyAlignment="1">
      <alignment horizontal="center" vertical="center"/>
    </xf>
    <xf numFmtId="188" fontId="98" fillId="0" borderId="14" xfId="0" applyNumberFormat="1" applyFont="1" applyBorder="1" applyAlignment="1">
      <alignment horizontal="center" vertical="center" justifyLastLine="1"/>
    </xf>
    <xf numFmtId="188" fontId="98" fillId="0" borderId="15" xfId="0" applyNumberFormat="1" applyFont="1" applyBorder="1" applyAlignment="1">
      <alignment horizontal="center" vertical="center" justifyLastLine="1"/>
    </xf>
    <xf numFmtId="188" fontId="110" fillId="0" borderId="15" xfId="0" applyNumberFormat="1" applyFont="1" applyBorder="1" applyAlignment="1">
      <alignment vertical="center" justifyLastLine="1"/>
    </xf>
    <xf numFmtId="188" fontId="98" fillId="0" borderId="10" xfId="0" applyNumberFormat="1" applyFont="1" applyBorder="1" applyAlignment="1">
      <alignment vertical="center" justifyLastLine="1"/>
    </xf>
    <xf numFmtId="188" fontId="98" fillId="0" borderId="229" xfId="0" applyNumberFormat="1" applyFont="1" applyBorder="1" applyAlignment="1">
      <alignment vertical="center" justifyLastLine="1"/>
    </xf>
    <xf numFmtId="188" fontId="98" fillId="0" borderId="65" xfId="0" applyNumberFormat="1" applyFont="1" applyBorder="1" applyAlignment="1">
      <alignment vertical="center" textRotation="255" wrapText="1"/>
    </xf>
    <xf numFmtId="188" fontId="98" fillId="0" borderId="70" xfId="0" applyNumberFormat="1" applyFont="1" applyBorder="1" applyAlignment="1">
      <alignment horizontal="center" vertical="center" justifyLastLine="1"/>
    </xf>
    <xf numFmtId="188" fontId="98" fillId="0" borderId="135" xfId="0" applyNumberFormat="1" applyFont="1" applyBorder="1" applyAlignment="1">
      <alignment horizontal="center" vertical="center" wrapText="1" justifyLastLine="1"/>
    </xf>
    <xf numFmtId="188" fontId="99" fillId="0" borderId="18" xfId="0" applyNumberFormat="1" applyFont="1" applyBorder="1" applyAlignment="1">
      <alignment horizontal="left" vertical="center"/>
    </xf>
    <xf numFmtId="188" fontId="98" fillId="0" borderId="71" xfId="0" applyNumberFormat="1" applyFont="1" applyBorder="1" applyAlignment="1">
      <alignment horizontal="center" vertical="center" justifyLastLine="1"/>
    </xf>
    <xf numFmtId="188" fontId="99" fillId="0" borderId="70" xfId="0" applyNumberFormat="1" applyFont="1" applyBorder="1" applyAlignment="1">
      <alignment horizontal="center" vertical="center"/>
    </xf>
    <xf numFmtId="188" fontId="110" fillId="0" borderId="135" xfId="0" applyNumberFormat="1" applyFont="1" applyBorder="1" applyAlignment="1">
      <alignment vertical="center" justifyLastLine="1"/>
    </xf>
    <xf numFmtId="188" fontId="98" fillId="0" borderId="71" xfId="0" applyNumberFormat="1" applyFont="1" applyBorder="1" applyAlignment="1">
      <alignment vertical="center" justifyLastLine="1"/>
    </xf>
    <xf numFmtId="0" fontId="157" fillId="0" borderId="0" xfId="0" applyFont="1" applyAlignment="1">
      <alignment vertical="top"/>
    </xf>
    <xf numFmtId="0" fontId="158" fillId="0" borderId="0" xfId="0" applyFont="1" applyAlignment="1">
      <alignment vertical="top" shrinkToFit="1"/>
    </xf>
    <xf numFmtId="178" fontId="68" fillId="0" borderId="0" xfId="0" applyNumberFormat="1" applyFont="1">
      <alignment vertical="center"/>
    </xf>
    <xf numFmtId="0" fontId="65" fillId="0" borderId="37" xfId="0" applyFont="1" applyBorder="1" applyAlignment="1"/>
    <xf numFmtId="0" fontId="72" fillId="0" borderId="37" xfId="0" applyFont="1" applyBorder="1" applyAlignment="1">
      <alignment vertical="center" wrapText="1"/>
    </xf>
    <xf numFmtId="0" fontId="72" fillId="0" borderId="38" xfId="0" applyFont="1" applyBorder="1" applyAlignment="1">
      <alignment vertical="center" wrapText="1"/>
    </xf>
    <xf numFmtId="0" fontId="157" fillId="0" borderId="0" xfId="0" applyFont="1" applyAlignment="1">
      <alignment vertical="center" wrapText="1"/>
    </xf>
    <xf numFmtId="6" fontId="127" fillId="0" borderId="0" xfId="6" applyFont="1" applyFill="1" applyBorder="1" applyAlignment="1" applyProtection="1">
      <alignment vertical="center" wrapText="1"/>
    </xf>
    <xf numFmtId="0" fontId="124" fillId="0" borderId="0" xfId="0" applyFont="1" applyAlignment="1">
      <alignment horizontal="left" vertical="center" wrapText="1"/>
    </xf>
    <xf numFmtId="178" fontId="95" fillId="0" borderId="11" xfId="3" applyNumberFormat="1" applyFont="1" applyFill="1" applyBorder="1" applyAlignment="1" applyProtection="1">
      <alignment horizontal="center" vertical="center" shrinkToFit="1"/>
    </xf>
    <xf numFmtId="38" fontId="126" fillId="0" borderId="0" xfId="1" applyFont="1" applyFill="1" applyBorder="1" applyAlignment="1" applyProtection="1">
      <alignment horizontal="right" vertical="center" shrinkToFit="1"/>
    </xf>
    <xf numFmtId="6" fontId="130" fillId="0" borderId="12" xfId="4" applyFont="1" applyFill="1" applyBorder="1" applyAlignment="1" applyProtection="1">
      <alignment horizontal="right" vertical="center" shrinkToFit="1"/>
    </xf>
    <xf numFmtId="181" fontId="126" fillId="0" borderId="12" xfId="3" applyNumberFormat="1" applyFont="1" applyFill="1" applyBorder="1" applyAlignment="1" applyProtection="1">
      <alignment horizontal="right" vertical="center" shrinkToFit="1"/>
    </xf>
    <xf numFmtId="6" fontId="130" fillId="9" borderId="0" xfId="4" applyFont="1" applyFill="1" applyBorder="1" applyAlignment="1" applyProtection="1">
      <alignment horizontal="center" vertical="center" shrinkToFit="1"/>
    </xf>
    <xf numFmtId="6" fontId="114" fillId="0" borderId="0" xfId="4" applyFont="1" applyBorder="1" applyAlignment="1" applyProtection="1">
      <alignment horizontal="center" vertical="center" shrinkToFit="1"/>
    </xf>
    <xf numFmtId="6" fontId="130" fillId="0" borderId="0" xfId="4" applyFont="1" applyBorder="1" applyAlignment="1" applyProtection="1">
      <alignment horizontal="center" vertical="center" shrinkToFit="1"/>
    </xf>
    <xf numFmtId="49" fontId="38" fillId="0" borderId="0" xfId="0" applyNumberFormat="1" applyFont="1" applyAlignment="1"/>
    <xf numFmtId="49" fontId="36" fillId="0" borderId="0" xfId="0" applyNumberFormat="1" applyFont="1" applyAlignment="1"/>
    <xf numFmtId="49" fontId="149" fillId="0" borderId="12" xfId="0" applyNumberFormat="1" applyFont="1" applyBorder="1" applyAlignment="1" applyProtection="1">
      <alignment vertical="center" wrapText="1"/>
      <protection locked="0"/>
    </xf>
    <xf numFmtId="49" fontId="65" fillId="0" borderId="0" xfId="0" applyNumberFormat="1" applyFont="1" applyAlignment="1" applyProtection="1">
      <protection locked="0"/>
    </xf>
    <xf numFmtId="49" fontId="36" fillId="0" borderId="0" xfId="0" applyNumberFormat="1" applyFont="1" applyAlignment="1" applyProtection="1">
      <protection locked="0"/>
    </xf>
    <xf numFmtId="49" fontId="36" fillId="0" borderId="0" xfId="4" applyNumberFormat="1" applyFont="1" applyFill="1" applyBorder="1" applyAlignment="1" applyProtection="1"/>
    <xf numFmtId="49" fontId="65" fillId="0" borderId="0" xfId="0" applyNumberFormat="1" applyFont="1" applyAlignment="1"/>
    <xf numFmtId="49" fontId="21" fillId="0" borderId="0" xfId="0" applyNumberFormat="1" applyFont="1">
      <alignment vertical="center"/>
    </xf>
    <xf numFmtId="49" fontId="68" fillId="0" borderId="0" xfId="0" applyNumberFormat="1" applyFont="1" applyAlignment="1"/>
    <xf numFmtId="49" fontId="67" fillId="0" borderId="0" xfId="0" applyNumberFormat="1" applyFont="1">
      <alignment vertical="center"/>
    </xf>
    <xf numFmtId="49" fontId="0" fillId="0" borderId="0" xfId="0" applyNumberFormat="1">
      <alignment vertical="center"/>
    </xf>
    <xf numFmtId="49" fontId="17" fillId="0" borderId="0" xfId="0" applyNumberFormat="1" applyFont="1" applyAlignment="1" applyProtection="1">
      <alignment horizontal="center" vertical="center"/>
      <protection hidden="1"/>
    </xf>
    <xf numFmtId="49" fontId="17" fillId="0" borderId="0" xfId="0" applyNumberFormat="1" applyFont="1" applyAlignment="1">
      <alignment horizontal="center" vertical="center"/>
    </xf>
    <xf numFmtId="49" fontId="39" fillId="0" borderId="0" xfId="0" applyNumberFormat="1" applyFont="1">
      <alignment vertical="center"/>
    </xf>
    <xf numFmtId="49" fontId="159" fillId="0" borderId="33" xfId="0" applyNumberFormat="1" applyFont="1" applyBorder="1" applyAlignment="1"/>
    <xf numFmtId="49" fontId="159" fillId="0" borderId="37" xfId="0" applyNumberFormat="1" applyFont="1" applyBorder="1" applyAlignment="1"/>
    <xf numFmtId="49" fontId="159" fillId="0" borderId="37" xfId="0" applyNumberFormat="1" applyFont="1" applyBorder="1">
      <alignment vertical="center"/>
    </xf>
    <xf numFmtId="49" fontId="159" fillId="0" borderId="38" xfId="0" applyNumberFormat="1" applyFont="1" applyBorder="1">
      <alignment vertical="center"/>
    </xf>
    <xf numFmtId="49" fontId="159" fillId="0" borderId="0" xfId="0" applyNumberFormat="1" applyFont="1">
      <alignment vertical="center"/>
    </xf>
    <xf numFmtId="49" fontId="159" fillId="0" borderId="0" xfId="0" applyNumberFormat="1" applyFont="1" applyAlignment="1"/>
    <xf numFmtId="176" fontId="93" fillId="0" borderId="26" xfId="0" applyNumberFormat="1" applyFont="1" applyBorder="1" applyAlignment="1" applyProtection="1">
      <alignment horizontal="center" vertical="center" shrinkToFit="1"/>
      <protection locked="0"/>
    </xf>
    <xf numFmtId="176" fontId="93" fillId="0" borderId="163" xfId="0" applyNumberFormat="1" applyFont="1" applyBorder="1" applyAlignment="1" applyProtection="1">
      <alignment horizontal="center" vertical="center" shrinkToFit="1"/>
      <protection locked="0"/>
    </xf>
    <xf numFmtId="176" fontId="93" fillId="0" borderId="182" xfId="0" applyNumberFormat="1" applyFont="1" applyBorder="1" applyAlignment="1" applyProtection="1">
      <alignment horizontal="center" vertical="center" shrinkToFit="1"/>
      <protection locked="0"/>
    </xf>
    <xf numFmtId="0" fontId="84" fillId="0" borderId="0" xfId="8" applyFont="1" applyAlignment="1" applyProtection="1">
      <alignment vertical="center" wrapText="1"/>
      <protection locked="0"/>
    </xf>
    <xf numFmtId="0" fontId="84" fillId="0" borderId="12" xfId="8" applyFont="1" applyBorder="1" applyAlignment="1" applyProtection="1">
      <alignment vertical="center" wrapText="1"/>
      <protection locked="0"/>
    </xf>
    <xf numFmtId="49" fontId="65" fillId="4" borderId="0" xfId="0" applyNumberFormat="1" applyFont="1" applyFill="1" applyAlignment="1"/>
    <xf numFmtId="49" fontId="65" fillId="4" borderId="13" xfId="0" applyNumberFormat="1" applyFont="1" applyFill="1" applyBorder="1" applyAlignment="1"/>
    <xf numFmtId="49" fontId="65" fillId="4" borderId="88" xfId="0" applyNumberFormat="1" applyFont="1" applyFill="1" applyBorder="1" applyAlignment="1"/>
    <xf numFmtId="188" fontId="98" fillId="0" borderId="0" xfId="0" applyNumberFormat="1" applyFont="1" applyAlignment="1">
      <alignment horizontal="center" vertical="center"/>
    </xf>
    <xf numFmtId="188" fontId="98" fillId="0" borderId="0" xfId="0" applyNumberFormat="1" applyFont="1" applyAlignment="1">
      <alignment vertical="center" justifyLastLine="1"/>
    </xf>
    <xf numFmtId="188" fontId="99" fillId="0" borderId="0" xfId="0" applyNumberFormat="1" applyFont="1" applyAlignment="1">
      <alignment horizontal="left" vertical="center"/>
    </xf>
    <xf numFmtId="176" fontId="93" fillId="0" borderId="271" xfId="0" applyNumberFormat="1" applyFont="1" applyBorder="1" applyAlignment="1" applyProtection="1">
      <alignment horizontal="center" vertical="center" shrinkToFit="1"/>
      <protection locked="0"/>
    </xf>
    <xf numFmtId="0" fontId="103" fillId="0" borderId="0" xfId="8" applyFont="1" applyAlignment="1">
      <alignment horizontal="center" vertical="center"/>
    </xf>
    <xf numFmtId="20" fontId="84" fillId="0" borderId="0" xfId="8" applyNumberFormat="1" applyFont="1">
      <alignment vertical="center"/>
    </xf>
    <xf numFmtId="0" fontId="94" fillId="0" borderId="274" xfId="8" applyFont="1" applyBorder="1" applyAlignment="1">
      <alignment horizontal="center" vertical="center" textRotation="255"/>
    </xf>
    <xf numFmtId="0" fontId="94" fillId="0" borderId="0" xfId="8" applyFont="1" applyAlignment="1">
      <alignment horizontal="center" vertical="center" textRotation="255"/>
    </xf>
    <xf numFmtId="0" fontId="103" fillId="0" borderId="0" xfId="8" applyFont="1" applyAlignment="1">
      <alignment horizontal="center" vertical="center" wrapText="1"/>
    </xf>
    <xf numFmtId="0" fontId="109" fillId="0" borderId="10" xfId="8" applyFont="1" applyBorder="1" applyAlignment="1">
      <alignment horizontal="center" vertical="center"/>
    </xf>
    <xf numFmtId="0" fontId="109" fillId="0" borderId="14" xfId="8" applyFont="1" applyBorder="1" applyAlignment="1">
      <alignment horizontal="center" vertical="center"/>
    </xf>
    <xf numFmtId="0" fontId="84" fillId="0" borderId="0" xfId="8" applyFont="1" applyAlignment="1">
      <alignment vertical="center" wrapText="1"/>
    </xf>
    <xf numFmtId="49" fontId="142" fillId="0" borderId="13" xfId="0" applyNumberFormat="1" applyFont="1" applyBorder="1" applyAlignment="1">
      <alignment horizontal="left" vertical="center" wrapText="1"/>
    </xf>
    <xf numFmtId="49" fontId="142" fillId="0" borderId="0" xfId="0" applyNumberFormat="1" applyFont="1" applyAlignment="1">
      <alignment horizontal="left" vertical="center" wrapText="1"/>
    </xf>
    <xf numFmtId="49" fontId="146" fillId="16" borderId="51" xfId="0" applyNumberFormat="1" applyFont="1" applyFill="1" applyBorder="1" applyAlignment="1">
      <alignment horizontal="left" vertical="center"/>
    </xf>
    <xf numFmtId="49" fontId="146" fillId="16" borderId="17" xfId="0" applyNumberFormat="1" applyFont="1" applyFill="1" applyBorder="1" applyAlignment="1">
      <alignment horizontal="left" vertical="center"/>
    </xf>
    <xf numFmtId="49" fontId="146" fillId="16" borderId="50" xfId="0" applyNumberFormat="1" applyFont="1" applyFill="1" applyBorder="1" applyAlignment="1">
      <alignment horizontal="left" vertical="center"/>
    </xf>
    <xf numFmtId="0" fontId="103" fillId="0" borderId="12" xfId="8" applyFont="1" applyBorder="1" applyAlignment="1">
      <alignment horizontal="center" vertical="center"/>
    </xf>
    <xf numFmtId="49" fontId="142" fillId="0" borderId="13" xfId="0" applyNumberFormat="1" applyFont="1" applyBorder="1" applyAlignment="1">
      <alignment horizontal="center" vertical="center"/>
    </xf>
    <xf numFmtId="49" fontId="146" fillId="0" borderId="0" xfId="0" applyNumberFormat="1" applyFont="1" applyAlignment="1">
      <alignment horizontal="left" vertical="center"/>
    </xf>
    <xf numFmtId="0" fontId="152" fillId="0" borderId="0" xfId="8" applyFont="1" applyAlignment="1" applyProtection="1">
      <alignment horizontal="center" vertical="center"/>
      <protection locked="0"/>
    </xf>
    <xf numFmtId="0" fontId="152" fillId="0" borderId="12" xfId="8" applyFont="1" applyBorder="1" applyAlignment="1" applyProtection="1">
      <alignment horizontal="center" vertical="center"/>
      <protection locked="0"/>
    </xf>
    <xf numFmtId="0" fontId="84" fillId="0" borderId="2" xfId="8" applyFont="1" applyBorder="1" applyAlignment="1" applyProtection="1">
      <alignment vertical="center" wrapText="1"/>
      <protection locked="0"/>
    </xf>
    <xf numFmtId="0" fontId="84" fillId="0" borderId="3" xfId="8" applyFont="1" applyBorder="1" applyAlignment="1" applyProtection="1">
      <alignment vertical="center" wrapText="1"/>
      <protection locked="0"/>
    </xf>
    <xf numFmtId="6" fontId="127" fillId="0" borderId="0" xfId="6" applyFont="1" applyFill="1" applyBorder="1" applyAlignment="1" applyProtection="1">
      <alignment vertical="center"/>
    </xf>
    <xf numFmtId="180" fontId="127" fillId="0" borderId="20" xfId="6" applyNumberFormat="1" applyFont="1" applyFill="1" applyBorder="1" applyAlignment="1" applyProtection="1">
      <alignment vertical="center" wrapText="1"/>
    </xf>
    <xf numFmtId="180" fontId="127" fillId="0" borderId="20" xfId="0" applyNumberFormat="1" applyFont="1" applyBorder="1" applyAlignment="1">
      <alignment vertical="center" wrapText="1" shrinkToFit="1"/>
    </xf>
    <xf numFmtId="0" fontId="132" fillId="0" borderId="0" xfId="0" applyFont="1" applyAlignment="1">
      <alignment vertical="center" wrapText="1" shrinkToFit="1"/>
    </xf>
    <xf numFmtId="180" fontId="132" fillId="0" borderId="20" xfId="0" applyNumberFormat="1" applyFont="1" applyBorder="1" applyAlignment="1">
      <alignment vertical="center" shrinkToFit="1"/>
    </xf>
    <xf numFmtId="180" fontId="132" fillId="0" borderId="20" xfId="0" applyNumberFormat="1" applyFont="1" applyBorder="1">
      <alignment vertical="center"/>
    </xf>
    <xf numFmtId="0" fontId="132" fillId="0" borderId="0" xfId="0" applyFont="1" applyProtection="1">
      <alignment vertical="center"/>
      <protection locked="0"/>
    </xf>
    <xf numFmtId="180" fontId="132" fillId="0" borderId="20" xfId="0" applyNumberFormat="1" applyFont="1" applyBorder="1" applyProtection="1">
      <alignment vertical="center"/>
      <protection locked="0"/>
    </xf>
    <xf numFmtId="180" fontId="132" fillId="0" borderId="0" xfId="0" applyNumberFormat="1" applyFont="1" applyAlignment="1" applyProtection="1">
      <alignment vertical="center" shrinkToFit="1"/>
      <protection locked="0"/>
    </xf>
    <xf numFmtId="180" fontId="132" fillId="0" borderId="20" xfId="0" applyNumberFormat="1" applyFont="1" applyBorder="1" applyAlignment="1" applyProtection="1">
      <alignment vertical="center" shrinkToFit="1"/>
      <protection locked="0"/>
    </xf>
    <xf numFmtId="6" fontId="127" fillId="0" borderId="101" xfId="6" applyFont="1" applyFill="1" applyBorder="1" applyAlignment="1" applyProtection="1">
      <alignment vertical="center" wrapText="1"/>
    </xf>
    <xf numFmtId="0" fontId="132" fillId="0" borderId="33" xfId="0" applyFont="1" applyBorder="1" applyAlignment="1"/>
    <xf numFmtId="49" fontId="163" fillId="0" borderId="12" xfId="3" applyNumberFormat="1" applyFont="1" applyFill="1" applyBorder="1" applyAlignment="1" applyProtection="1">
      <alignment horizontal="right" vertical="center" shrinkToFit="1"/>
    </xf>
    <xf numFmtId="180" fontId="163" fillId="0" borderId="12" xfId="3" applyNumberFormat="1" applyFont="1" applyFill="1" applyBorder="1" applyAlignment="1" applyProtection="1">
      <alignment horizontal="right" vertical="center" shrinkToFit="1"/>
    </xf>
    <xf numFmtId="0" fontId="19" fillId="2" borderId="0" xfId="0" applyFont="1" applyFill="1" applyAlignment="1">
      <alignment horizontal="center" vertical="center"/>
    </xf>
    <xf numFmtId="0" fontId="164" fillId="0" borderId="20" xfId="0" applyFont="1" applyBorder="1" applyAlignment="1" applyProtection="1">
      <alignment horizontal="left" vertical="center" wrapText="1"/>
      <protection hidden="1"/>
    </xf>
    <xf numFmtId="0" fontId="102" fillId="0" borderId="81" xfId="0" applyFont="1" applyBorder="1" applyAlignment="1" applyProtection="1">
      <alignment vertical="center" wrapText="1"/>
      <protection hidden="1"/>
    </xf>
    <xf numFmtId="0" fontId="102" fillId="0" borderId="81" xfId="0" applyFont="1" applyBorder="1" applyAlignment="1" applyProtection="1">
      <alignment horizontal="left" vertical="center" wrapText="1"/>
      <protection hidden="1"/>
    </xf>
    <xf numFmtId="0" fontId="102" fillId="0" borderId="20" xfId="0" applyFont="1" applyBorder="1" applyAlignment="1" applyProtection="1">
      <alignment horizontal="left" vertical="center" wrapText="1"/>
      <protection hidden="1"/>
    </xf>
    <xf numFmtId="0" fontId="17" fillId="0" borderId="0" xfId="0" applyFont="1" applyAlignment="1" applyProtection="1">
      <alignment horizontal="left" vertical="center" wrapText="1"/>
      <protection hidden="1"/>
    </xf>
    <xf numFmtId="0" fontId="0" fillId="0" borderId="20" xfId="0" applyBorder="1" applyAlignment="1" applyProtection="1">
      <alignment horizontal="left" vertical="center" wrapText="1"/>
      <protection hidden="1"/>
    </xf>
    <xf numFmtId="0" fontId="80" fillId="0" borderId="20" xfId="0" applyFont="1" applyBorder="1" applyAlignment="1" applyProtection="1">
      <alignment horizontal="left" vertical="center" wrapText="1"/>
      <protection hidden="1"/>
    </xf>
    <xf numFmtId="0" fontId="84" fillId="0" borderId="81" xfId="0" applyFont="1" applyBorder="1">
      <alignment vertical="center"/>
    </xf>
    <xf numFmtId="0" fontId="84" fillId="0" borderId="81" xfId="0" applyFont="1" applyBorder="1" applyAlignment="1" applyProtection="1">
      <alignment horizontal="left" vertical="center" wrapText="1"/>
      <protection hidden="1"/>
    </xf>
    <xf numFmtId="0" fontId="84" fillId="0" borderId="82" xfId="0" applyFont="1" applyBorder="1" applyAlignment="1" applyProtection="1">
      <alignment horizontal="left" vertical="center" wrapText="1"/>
      <protection hidden="1"/>
    </xf>
    <xf numFmtId="0" fontId="119" fillId="0" borderId="82" xfId="0" applyFont="1" applyBorder="1" applyAlignment="1" applyProtection="1">
      <alignment vertical="center" wrapText="1"/>
      <protection hidden="1"/>
    </xf>
    <xf numFmtId="181" fontId="111" fillId="4" borderId="74" xfId="0" applyNumberFormat="1" applyFont="1" applyFill="1" applyBorder="1" applyAlignment="1" applyProtection="1">
      <alignment vertical="center" shrinkToFit="1"/>
      <protection locked="0"/>
    </xf>
    <xf numFmtId="181" fontId="111" fillId="4" borderId="64" xfId="0" applyNumberFormat="1" applyFont="1" applyFill="1" applyBorder="1" applyAlignment="1" applyProtection="1">
      <alignment vertical="center" shrinkToFit="1"/>
      <protection locked="0"/>
    </xf>
    <xf numFmtId="0" fontId="92" fillId="4" borderId="68" xfId="0" applyFont="1" applyFill="1" applyBorder="1" applyAlignment="1">
      <alignment horizontal="center" vertical="center" shrinkToFit="1"/>
    </xf>
    <xf numFmtId="0" fontId="111" fillId="4" borderId="91" xfId="0" applyFont="1" applyFill="1" applyBorder="1" applyAlignment="1" applyProtection="1">
      <alignment horizontal="center" vertical="center" wrapText="1" shrinkToFit="1"/>
      <protection locked="0"/>
    </xf>
    <xf numFmtId="0" fontId="25" fillId="0" borderId="0" xfId="0" applyFont="1" applyAlignment="1">
      <alignment vertical="center" wrapText="1"/>
    </xf>
    <xf numFmtId="0" fontId="103" fillId="0" borderId="12" xfId="8" applyFont="1" applyBorder="1" applyAlignment="1">
      <alignment horizontal="center" vertical="center" wrapText="1"/>
    </xf>
    <xf numFmtId="0" fontId="109" fillId="0" borderId="0" xfId="8" applyFont="1" applyAlignment="1">
      <alignment horizontal="center" vertical="center"/>
    </xf>
    <xf numFmtId="0" fontId="103" fillId="0" borderId="0" xfId="8" applyFont="1" applyAlignment="1" applyProtection="1">
      <alignment vertical="center" wrapText="1"/>
      <protection locked="0"/>
    </xf>
    <xf numFmtId="0" fontId="109" fillId="0" borderId="17" xfId="8" applyFont="1" applyBorder="1" applyAlignment="1">
      <alignment horizontal="center" vertical="center"/>
    </xf>
    <xf numFmtId="0" fontId="109" fillId="0" borderId="15" xfId="8" applyFont="1" applyBorder="1" applyAlignment="1">
      <alignment horizontal="center" vertical="center"/>
    </xf>
    <xf numFmtId="0" fontId="152" fillId="0" borderId="227" xfId="8" applyFont="1" applyBorder="1" applyAlignment="1">
      <alignment horizontal="center" vertical="center"/>
    </xf>
    <xf numFmtId="0" fontId="152" fillId="0" borderId="12" xfId="8" applyFont="1" applyBorder="1" applyAlignment="1">
      <alignment horizontal="center" vertical="center"/>
    </xf>
    <xf numFmtId="0" fontId="84" fillId="0" borderId="12" xfId="8" applyFont="1" applyBorder="1" applyAlignment="1">
      <alignment vertical="center" wrapText="1"/>
    </xf>
    <xf numFmtId="0" fontId="84" fillId="0" borderId="2" xfId="8" applyFont="1" applyBorder="1" applyAlignment="1">
      <alignment vertical="center" wrapText="1"/>
    </xf>
    <xf numFmtId="0" fontId="84" fillId="0" borderId="3" xfId="8" applyFont="1" applyBorder="1" applyAlignment="1">
      <alignment vertical="center" wrapText="1"/>
    </xf>
    <xf numFmtId="0" fontId="103" fillId="0" borderId="0" xfId="8" applyFont="1" applyAlignment="1">
      <alignment vertical="center" shrinkToFit="1"/>
    </xf>
    <xf numFmtId="0" fontId="103" fillId="0" borderId="0" xfId="8" applyFont="1" applyAlignment="1">
      <alignment vertical="center" wrapText="1"/>
    </xf>
    <xf numFmtId="0" fontId="103" fillId="0" borderId="0" xfId="8" applyFont="1">
      <alignment vertical="center"/>
    </xf>
    <xf numFmtId="0" fontId="104" fillId="0" borderId="0" xfId="8" applyFont="1" applyAlignment="1">
      <alignment vertical="center" wrapText="1"/>
    </xf>
    <xf numFmtId="49" fontId="103" fillId="0" borderId="0" xfId="8" applyNumberFormat="1" applyFont="1">
      <alignment vertical="center"/>
    </xf>
    <xf numFmtId="0" fontId="162" fillId="0" borderId="0" xfId="0" applyFont="1" applyAlignment="1">
      <alignment vertical="center" wrapText="1"/>
    </xf>
    <xf numFmtId="0" fontId="162" fillId="0" borderId="2" xfId="0" applyFont="1" applyBorder="1" applyAlignment="1">
      <alignment vertical="center" wrapText="1"/>
    </xf>
    <xf numFmtId="0" fontId="168" fillId="0" borderId="0" xfId="0" applyFont="1" applyAlignment="1">
      <alignment vertical="center" wrapText="1"/>
    </xf>
    <xf numFmtId="0" fontId="168" fillId="0" borderId="2" xfId="0" applyFont="1" applyBorder="1" applyAlignment="1">
      <alignment vertical="center" wrapText="1"/>
    </xf>
    <xf numFmtId="0" fontId="124" fillId="0" borderId="0" xfId="0" applyFont="1" applyAlignment="1">
      <alignment vertical="center" wrapText="1"/>
    </xf>
    <xf numFmtId="0" fontId="124" fillId="0" borderId="2" xfId="0" applyFont="1" applyBorder="1" applyAlignment="1">
      <alignment vertical="center" wrapText="1"/>
    </xf>
    <xf numFmtId="0" fontId="61" fillId="6" borderId="20" xfId="0" applyFont="1" applyFill="1" applyBorder="1" applyAlignment="1" applyProtection="1">
      <alignment horizontal="left" vertical="center"/>
      <protection hidden="1"/>
    </xf>
    <xf numFmtId="0" fontId="17" fillId="6" borderId="20" xfId="0" applyFont="1" applyFill="1" applyBorder="1" applyAlignment="1" applyProtection="1">
      <alignment horizontal="left" vertical="center"/>
      <protection hidden="1"/>
    </xf>
    <xf numFmtId="0" fontId="17" fillId="6" borderId="20" xfId="0" applyFont="1" applyFill="1" applyBorder="1" applyAlignment="1" applyProtection="1">
      <alignment horizontal="center" vertical="center"/>
      <protection hidden="1"/>
    </xf>
    <xf numFmtId="0" fontId="17" fillId="6" borderId="20" xfId="0" applyFont="1" applyFill="1" applyBorder="1" applyAlignment="1" applyProtection="1">
      <alignment horizontal="left" vertical="center" wrapText="1"/>
      <protection hidden="1"/>
    </xf>
    <xf numFmtId="0" fontId="17" fillId="6" borderId="0" xfId="0" applyFont="1" applyFill="1" applyAlignment="1" applyProtection="1">
      <alignment horizontal="center" vertical="center"/>
      <protection hidden="1"/>
    </xf>
    <xf numFmtId="0" fontId="28" fillId="6" borderId="20" xfId="0" applyFont="1" applyFill="1" applyBorder="1" applyAlignment="1" applyProtection="1">
      <alignment horizontal="left" vertical="center" wrapText="1"/>
      <protection hidden="1"/>
    </xf>
    <xf numFmtId="0" fontId="28" fillId="6" borderId="33" xfId="0" applyFont="1" applyFill="1" applyBorder="1" applyAlignment="1" applyProtection="1">
      <alignment horizontal="left" vertical="center" wrapText="1"/>
      <protection hidden="1"/>
    </xf>
    <xf numFmtId="0" fontId="17" fillId="6" borderId="33" xfId="0" applyFont="1" applyFill="1" applyBorder="1" applyAlignment="1" applyProtection="1">
      <alignment horizontal="left" vertical="center" wrapText="1"/>
      <protection hidden="1"/>
    </xf>
    <xf numFmtId="0" fontId="119" fillId="0" borderId="0" xfId="0" applyFont="1" applyAlignment="1" applyProtection="1">
      <alignment horizontal="left" vertical="center" wrapText="1"/>
      <protection hidden="1"/>
    </xf>
    <xf numFmtId="0" fontId="28" fillId="6" borderId="37" xfId="0" applyFont="1" applyFill="1" applyBorder="1" applyAlignment="1" applyProtection="1">
      <alignment horizontal="left" vertical="center" wrapText="1"/>
      <protection hidden="1"/>
    </xf>
    <xf numFmtId="0" fontId="17" fillId="6" borderId="37" xfId="0" applyFont="1" applyFill="1" applyBorder="1" applyAlignment="1" applyProtection="1">
      <alignment horizontal="left" vertical="center" wrapText="1"/>
      <protection hidden="1"/>
    </xf>
    <xf numFmtId="0" fontId="102" fillId="0" borderId="20" xfId="0" applyFont="1" applyBorder="1" applyAlignment="1" applyProtection="1">
      <alignment vertical="center" wrapText="1"/>
      <protection hidden="1"/>
    </xf>
    <xf numFmtId="0" fontId="102" fillId="0" borderId="84" xfId="0" applyFont="1" applyBorder="1" applyAlignment="1" applyProtection="1">
      <alignment horizontal="left" vertical="center" wrapText="1"/>
      <protection hidden="1"/>
    </xf>
    <xf numFmtId="0" fontId="17" fillId="6" borderId="20" xfId="0" applyFont="1" applyFill="1" applyBorder="1" applyAlignment="1">
      <alignment horizontal="center" vertical="center"/>
    </xf>
    <xf numFmtId="0" fontId="45" fillId="6" borderId="20" xfId="0" applyFont="1" applyFill="1" applyBorder="1" applyAlignment="1">
      <alignment horizontal="center" vertical="center"/>
    </xf>
    <xf numFmtId="0" fontId="17" fillId="6" borderId="20" xfId="0" applyFont="1" applyFill="1" applyBorder="1" applyAlignment="1">
      <alignment horizontal="left" vertical="center"/>
    </xf>
    <xf numFmtId="0" fontId="17" fillId="6" borderId="0" xfId="0" applyFont="1" applyFill="1" applyAlignment="1">
      <alignment horizontal="center" vertical="center"/>
    </xf>
    <xf numFmtId="0" fontId="17" fillId="6" borderId="20" xfId="0" applyFont="1" applyFill="1" applyBorder="1" applyAlignment="1">
      <alignment horizontal="left" vertical="center" wrapText="1"/>
    </xf>
    <xf numFmtId="49" fontId="71" fillId="0" borderId="0" xfId="0" applyNumberFormat="1" applyFont="1" applyAlignment="1" applyProtection="1">
      <protection locked="0"/>
    </xf>
    <xf numFmtId="0" fontId="111" fillId="4" borderId="90" xfId="0" applyFont="1" applyFill="1" applyBorder="1" applyAlignment="1" applyProtection="1">
      <alignment horizontal="center" vertical="center" shrinkToFit="1"/>
      <protection locked="0"/>
    </xf>
    <xf numFmtId="0" fontId="111" fillId="4" borderId="23" xfId="0" applyFont="1" applyFill="1" applyBorder="1" applyAlignment="1" applyProtection="1">
      <alignment horizontal="center" vertical="center" shrinkToFit="1"/>
      <protection locked="0"/>
    </xf>
    <xf numFmtId="0" fontId="111" fillId="4" borderId="301" xfId="0" applyFont="1" applyFill="1" applyBorder="1" applyAlignment="1" applyProtection="1">
      <alignment horizontal="center" vertical="center" shrinkToFit="1"/>
      <protection locked="0"/>
    </xf>
    <xf numFmtId="49" fontId="82" fillId="0" borderId="0" xfId="0" applyNumberFormat="1" applyFont="1" applyAlignment="1" applyProtection="1">
      <alignment horizontal="center" vertical="center" shrinkToFit="1"/>
      <protection locked="0"/>
    </xf>
    <xf numFmtId="49" fontId="103" fillId="0" borderId="0" xfId="0" applyNumberFormat="1" applyFont="1" applyAlignment="1">
      <alignment horizontal="center" vertical="center" shrinkToFit="1"/>
    </xf>
    <xf numFmtId="38" fontId="128" fillId="0" borderId="164" xfId="2" applyFont="1" applyFill="1" applyBorder="1" applyAlignment="1" applyProtection="1">
      <alignment horizontal="center" vertical="center" shrinkToFit="1"/>
      <protection locked="0"/>
    </xf>
    <xf numFmtId="38" fontId="128" fillId="0" borderId="188" xfId="2" applyFont="1" applyFill="1" applyBorder="1" applyAlignment="1" applyProtection="1">
      <alignment horizontal="center" vertical="center" shrinkToFit="1"/>
      <protection locked="0"/>
    </xf>
    <xf numFmtId="38" fontId="130" fillId="0" borderId="255" xfId="1" applyFont="1" applyFill="1" applyBorder="1" applyAlignment="1" applyProtection="1">
      <alignment horizontal="right" vertical="center" shrinkToFit="1"/>
    </xf>
    <xf numFmtId="180" fontId="93" fillId="0" borderId="31" xfId="0" applyNumberFormat="1" applyFont="1" applyBorder="1" applyAlignment="1" applyProtection="1">
      <alignment horizontal="center" vertical="center" shrinkToFit="1"/>
      <protection locked="0"/>
    </xf>
    <xf numFmtId="180" fontId="93" fillId="0" borderId="160" xfId="0" applyNumberFormat="1" applyFont="1" applyBorder="1" applyAlignment="1" applyProtection="1">
      <alignment horizontal="center" vertical="center" shrinkToFit="1"/>
      <protection locked="0"/>
    </xf>
    <xf numFmtId="180" fontId="93" fillId="0" borderId="44" xfId="0" applyNumberFormat="1" applyFont="1" applyBorder="1" applyAlignment="1" applyProtection="1">
      <alignment horizontal="center" vertical="center" shrinkToFit="1"/>
      <protection locked="0"/>
    </xf>
    <xf numFmtId="180" fontId="93" fillId="0" borderId="51" xfId="0" applyNumberFormat="1" applyFont="1" applyBorder="1" applyAlignment="1">
      <alignment horizontal="center" vertical="center" shrinkToFit="1"/>
    </xf>
    <xf numFmtId="180" fontId="93" fillId="0" borderId="20" xfId="0" applyNumberFormat="1" applyFont="1" applyBorder="1" applyAlignment="1">
      <alignment horizontal="center" vertical="center" shrinkToFit="1"/>
    </xf>
    <xf numFmtId="6" fontId="130" fillId="9" borderId="45" xfId="4" applyFont="1" applyFill="1" applyBorder="1" applyAlignment="1" applyProtection="1">
      <alignment horizontal="right" vertical="center" shrinkToFit="1"/>
    </xf>
    <xf numFmtId="6" fontId="114" fillId="0" borderId="47" xfId="4" applyFont="1" applyBorder="1" applyAlignment="1" applyProtection="1">
      <alignment horizontal="right" vertical="center" shrinkToFit="1"/>
    </xf>
    <xf numFmtId="6" fontId="130" fillId="9" borderId="196" xfId="4" applyFont="1" applyFill="1" applyBorder="1" applyAlignment="1" applyProtection="1">
      <alignment horizontal="right" vertical="center" shrinkToFit="1"/>
    </xf>
    <xf numFmtId="6" fontId="130" fillId="0" borderId="47" xfId="4" applyFont="1" applyBorder="1" applyAlignment="1" applyProtection="1">
      <alignment horizontal="right" vertical="center" shrinkToFit="1"/>
    </xf>
    <xf numFmtId="180" fontId="126" fillId="0" borderId="314" xfId="3" applyNumberFormat="1" applyFont="1" applyFill="1" applyBorder="1" applyAlignment="1" applyProtection="1">
      <alignment vertical="center" shrinkToFit="1"/>
    </xf>
    <xf numFmtId="0" fontId="124" fillId="0" borderId="0" xfId="0" applyFont="1" applyAlignment="1">
      <alignment vertical="top" wrapText="1"/>
    </xf>
    <xf numFmtId="0" fontId="90" fillId="0" borderId="144" xfId="0" applyFont="1" applyBorder="1" applyAlignment="1" applyProtection="1">
      <alignment horizontal="center" vertical="center" wrapText="1"/>
      <protection locked="0"/>
    </xf>
    <xf numFmtId="49" fontId="172" fillId="0" borderId="0" xfId="0" applyNumberFormat="1" applyFont="1" applyAlignment="1" applyProtection="1">
      <protection locked="0"/>
    </xf>
    <xf numFmtId="0" fontId="169" fillId="0" borderId="12" xfId="0" applyFont="1" applyBorder="1" applyAlignment="1">
      <alignment vertical="center" justifyLastLine="1"/>
    </xf>
    <xf numFmtId="0" fontId="90" fillId="4" borderId="52" xfId="3" applyNumberFormat="1" applyFont="1" applyFill="1" applyBorder="1" applyAlignment="1" applyProtection="1">
      <alignment horizontal="center" vertical="center"/>
      <protection locked="0"/>
    </xf>
    <xf numFmtId="0" fontId="90" fillId="4" borderId="144" xfId="0" applyFont="1" applyFill="1" applyBorder="1" applyAlignment="1" applyProtection="1">
      <alignment horizontal="center" vertical="center" wrapText="1"/>
      <protection locked="0"/>
    </xf>
    <xf numFmtId="0" fontId="90" fillId="4" borderId="56" xfId="3" applyNumberFormat="1" applyFont="1" applyFill="1" applyBorder="1" applyAlignment="1" applyProtection="1">
      <alignment horizontal="center" vertical="center"/>
      <protection locked="0"/>
    </xf>
    <xf numFmtId="0" fontId="102" fillId="0" borderId="318" xfId="0" applyFont="1" applyBorder="1" applyAlignment="1">
      <alignment horizontal="center" vertical="center"/>
    </xf>
    <xf numFmtId="49" fontId="173" fillId="0" borderId="0" xfId="0" applyNumberFormat="1" applyFont="1" applyAlignment="1" applyProtection="1">
      <alignment vertical="center" wrapText="1"/>
      <protection locked="0"/>
    </xf>
    <xf numFmtId="49" fontId="174" fillId="0" borderId="0" xfId="0" applyNumberFormat="1" applyFont="1" applyAlignment="1" applyProtection="1">
      <protection locked="0"/>
    </xf>
    <xf numFmtId="49" fontId="175" fillId="0" borderId="0" xfId="0" applyNumberFormat="1" applyFont="1" applyAlignment="1" applyProtection="1">
      <protection locked="0"/>
    </xf>
    <xf numFmtId="0" fontId="176" fillId="0" borderId="0" xfId="0" applyFont="1" applyAlignment="1">
      <alignment horizontal="center" vertical="center"/>
    </xf>
    <xf numFmtId="38" fontId="128" fillId="0" borderId="162" xfId="2" applyFont="1" applyFill="1" applyBorder="1" applyAlignment="1" applyProtection="1">
      <alignment horizontal="center" vertical="center" shrinkToFit="1"/>
      <protection locked="0"/>
    </xf>
    <xf numFmtId="38" fontId="128" fillId="0" borderId="271" xfId="2" applyFont="1" applyFill="1" applyBorder="1" applyAlignment="1" applyProtection="1">
      <alignment horizontal="center" vertical="center" shrinkToFit="1"/>
      <protection locked="0"/>
    </xf>
    <xf numFmtId="49" fontId="130" fillId="0" borderId="3" xfId="2" applyNumberFormat="1" applyFont="1" applyFill="1" applyBorder="1" applyAlignment="1" applyProtection="1">
      <alignment horizontal="right" vertical="center" shrinkToFit="1"/>
    </xf>
    <xf numFmtId="38" fontId="130" fillId="9" borderId="11" xfId="1" applyFont="1" applyFill="1" applyBorder="1" applyAlignment="1" applyProtection="1">
      <alignment vertical="center" shrinkToFit="1"/>
    </xf>
    <xf numFmtId="38" fontId="130" fillId="9" borderId="255" xfId="1" applyFont="1" applyFill="1" applyBorder="1" applyAlignment="1" applyProtection="1">
      <alignment vertical="center" shrinkToFit="1"/>
    </xf>
    <xf numFmtId="6" fontId="130" fillId="9" borderId="319" xfId="1" applyNumberFormat="1" applyFont="1" applyFill="1" applyBorder="1" applyAlignment="1" applyProtection="1">
      <alignment vertical="center" shrinkToFit="1"/>
    </xf>
    <xf numFmtId="6" fontId="124" fillId="0" borderId="0" xfId="6" applyFont="1" applyFill="1" applyBorder="1" applyAlignment="1" applyProtection="1">
      <alignment vertical="center" wrapText="1"/>
    </xf>
    <xf numFmtId="0" fontId="90" fillId="4" borderId="142" xfId="3" applyNumberFormat="1" applyFont="1" applyFill="1" applyBorder="1" applyAlignment="1" applyProtection="1">
      <alignment horizontal="center" vertical="center"/>
      <protection locked="0"/>
    </xf>
    <xf numFmtId="0" fontId="110" fillId="0" borderId="81" xfId="0" applyFont="1" applyBorder="1" applyAlignment="1">
      <alignment vertical="center" wrapText="1"/>
    </xf>
    <xf numFmtId="0" fontId="39" fillId="0" borderId="81" xfId="0" applyFont="1" applyBorder="1" applyAlignment="1">
      <alignment vertical="center" wrapText="1"/>
    </xf>
    <xf numFmtId="0" fontId="0" fillId="0" borderId="82" xfId="0" applyBorder="1" applyAlignment="1">
      <alignment vertical="center" wrapText="1"/>
    </xf>
    <xf numFmtId="49" fontId="178" fillId="0" borderId="0" xfId="0" applyNumberFormat="1" applyFont="1" applyAlignment="1" applyProtection="1">
      <alignment horizontal="center" vertical="center"/>
      <protection hidden="1"/>
    </xf>
    <xf numFmtId="0" fontId="179" fillId="0" borderId="0" xfId="0" applyFont="1" applyAlignment="1">
      <alignment horizontal="center" vertical="center" wrapText="1"/>
    </xf>
    <xf numFmtId="0" fontId="179" fillId="0" borderId="0" xfId="0" applyFont="1" applyAlignment="1">
      <alignment horizontal="center" vertical="center"/>
    </xf>
    <xf numFmtId="0" fontId="102" fillId="0" borderId="0" xfId="0" applyFont="1" applyAlignment="1" applyProtection="1">
      <alignment horizontal="left" vertical="center" wrapText="1"/>
      <protection hidden="1"/>
    </xf>
    <xf numFmtId="0" fontId="110" fillId="0" borderId="0" xfId="0" applyFont="1" applyAlignment="1">
      <alignment vertical="center" wrapText="1"/>
    </xf>
    <xf numFmtId="0" fontId="39" fillId="0" borderId="0" xfId="0" applyFont="1" applyAlignment="1">
      <alignment vertical="center" wrapText="1"/>
    </xf>
    <xf numFmtId="0" fontId="80" fillId="0" borderId="0" xfId="0" applyFont="1" applyAlignment="1">
      <alignment horizontal="center" vertical="center"/>
    </xf>
    <xf numFmtId="49" fontId="181" fillId="3" borderId="0" xfId="0" applyNumberFormat="1" applyFont="1" applyFill="1" applyAlignment="1" applyProtection="1">
      <alignment horizontal="center" vertical="center"/>
      <protection hidden="1"/>
    </xf>
    <xf numFmtId="0" fontId="183" fillId="0" borderId="0" xfId="16" applyFont="1"/>
    <xf numFmtId="0" fontId="184" fillId="0" borderId="0" xfId="16" applyFont="1" applyAlignment="1">
      <alignment horizontal="center"/>
    </xf>
    <xf numFmtId="0" fontId="185" fillId="0" borderId="0" xfId="16" applyFont="1" applyAlignment="1">
      <alignment horizontal="center" vertical="center"/>
    </xf>
    <xf numFmtId="0" fontId="187" fillId="0" borderId="0" xfId="16" applyFont="1" applyAlignment="1">
      <alignment horizontal="center" vertical="center"/>
    </xf>
    <xf numFmtId="0" fontId="187" fillId="0" borderId="0" xfId="16" applyFont="1" applyAlignment="1">
      <alignment horizontal="left" vertical="center"/>
    </xf>
    <xf numFmtId="0" fontId="184" fillId="0" borderId="0" xfId="16" applyFont="1" applyAlignment="1">
      <alignment horizontal="center" vertical="center"/>
    </xf>
    <xf numFmtId="0" fontId="189" fillId="0" borderId="0" xfId="16" applyFont="1"/>
    <xf numFmtId="190" fontId="191" fillId="0" borderId="0" xfId="16" applyNumberFormat="1" applyFont="1" applyAlignment="1">
      <alignment horizontal="center"/>
    </xf>
    <xf numFmtId="190" fontId="191" fillId="0" borderId="347" xfId="16" applyNumberFormat="1" applyFont="1" applyBorder="1" applyAlignment="1">
      <alignment horizontal="center"/>
    </xf>
    <xf numFmtId="0" fontId="197" fillId="0" borderId="348" xfId="16" applyFont="1" applyBorder="1" applyAlignment="1">
      <alignment horizontal="center" vertical="center"/>
    </xf>
    <xf numFmtId="0" fontId="191" fillId="0" borderId="0" xfId="16" applyFont="1" applyAlignment="1">
      <alignment horizontal="center" vertical="center" textRotation="255"/>
    </xf>
    <xf numFmtId="190" fontId="198" fillId="22" borderId="339" xfId="16" applyNumberFormat="1" applyFont="1" applyFill="1" applyBorder="1" applyAlignment="1">
      <alignment horizontal="center" vertical="center"/>
    </xf>
    <xf numFmtId="0" fontId="200" fillId="22" borderId="349" xfId="16" applyFont="1" applyFill="1" applyBorder="1" applyAlignment="1">
      <alignment horizontal="center" vertical="center"/>
    </xf>
    <xf numFmtId="0" fontId="200" fillId="22" borderId="350" xfId="16" applyFont="1" applyFill="1" applyBorder="1" applyAlignment="1">
      <alignment horizontal="center" vertical="center"/>
    </xf>
    <xf numFmtId="0" fontId="200" fillId="22" borderId="351" xfId="16" applyFont="1" applyFill="1" applyBorder="1" applyAlignment="1">
      <alignment horizontal="center" vertical="center"/>
    </xf>
    <xf numFmtId="190" fontId="198" fillId="22" borderId="338" xfId="16" applyNumberFormat="1" applyFont="1" applyFill="1" applyBorder="1" applyAlignment="1">
      <alignment horizontal="center" vertical="center"/>
    </xf>
    <xf numFmtId="0" fontId="200" fillId="22" borderId="32" xfId="16" applyFont="1" applyFill="1" applyBorder="1" applyAlignment="1">
      <alignment horizontal="center" vertical="center"/>
    </xf>
    <xf numFmtId="0" fontId="200" fillId="22" borderId="304" xfId="16" applyFont="1" applyFill="1" applyBorder="1" applyAlignment="1">
      <alignment horizontal="center" vertical="center"/>
    </xf>
    <xf numFmtId="0" fontId="200" fillId="22" borderId="87" xfId="16" applyFont="1" applyFill="1" applyBorder="1" applyAlignment="1">
      <alignment horizontal="center" vertical="center"/>
    </xf>
    <xf numFmtId="20" fontId="201" fillId="22" borderId="352" xfId="16" applyNumberFormat="1" applyFont="1" applyFill="1" applyBorder="1" applyAlignment="1">
      <alignment horizontal="center" vertical="center"/>
    </xf>
    <xf numFmtId="0" fontId="200" fillId="22" borderId="353" xfId="16" applyFont="1" applyFill="1" applyBorder="1" applyAlignment="1">
      <alignment horizontal="center" vertical="center"/>
    </xf>
    <xf numFmtId="0" fontId="200" fillId="22" borderId="352" xfId="16" applyFont="1" applyFill="1" applyBorder="1" applyAlignment="1">
      <alignment horizontal="center" vertical="center"/>
    </xf>
    <xf numFmtId="0" fontId="200" fillId="22" borderId="354" xfId="16" applyFont="1" applyFill="1" applyBorder="1" applyAlignment="1">
      <alignment horizontal="center" vertical="center"/>
    </xf>
    <xf numFmtId="20" fontId="201" fillId="22" borderId="353" xfId="16" applyNumberFormat="1" applyFont="1" applyFill="1" applyBorder="1" applyAlignment="1">
      <alignment horizontal="center" vertical="center"/>
    </xf>
    <xf numFmtId="0" fontId="200" fillId="22" borderId="31" xfId="16" applyFont="1" applyFill="1" applyBorder="1" applyAlignment="1">
      <alignment horizontal="center" vertical="center"/>
    </xf>
    <xf numFmtId="0" fontId="200" fillId="22" borderId="26" xfId="16" applyFont="1" applyFill="1" applyBorder="1" applyAlignment="1">
      <alignment horizontal="center" vertical="center"/>
    </xf>
    <xf numFmtId="0" fontId="200" fillId="22" borderId="27" xfId="16" applyFont="1" applyFill="1" applyBorder="1" applyAlignment="1">
      <alignment horizontal="center" vertical="center"/>
    </xf>
    <xf numFmtId="190" fontId="201" fillId="22" borderId="352" xfId="16" applyNumberFormat="1" applyFont="1" applyFill="1" applyBorder="1" applyAlignment="1">
      <alignment horizontal="center" vertical="center"/>
    </xf>
    <xf numFmtId="190" fontId="201" fillId="22" borderId="353" xfId="16" applyNumberFormat="1" applyFont="1" applyFill="1" applyBorder="1" applyAlignment="1">
      <alignment horizontal="center" vertical="center"/>
    </xf>
    <xf numFmtId="20" fontId="201" fillId="22" borderId="343" xfId="16" applyNumberFormat="1" applyFont="1" applyFill="1" applyBorder="1" applyAlignment="1">
      <alignment horizontal="center" vertical="center"/>
    </xf>
    <xf numFmtId="0" fontId="200" fillId="22" borderId="355" xfId="16" applyFont="1" applyFill="1" applyBorder="1" applyAlignment="1">
      <alignment horizontal="center" vertical="center"/>
    </xf>
    <xf numFmtId="0" fontId="200" fillId="22" borderId="356" xfId="16" applyFont="1" applyFill="1" applyBorder="1" applyAlignment="1">
      <alignment horizontal="center" vertical="center"/>
    </xf>
    <xf numFmtId="0" fontId="200" fillId="22" borderId="357" xfId="16" applyFont="1" applyFill="1" applyBorder="1" applyAlignment="1">
      <alignment horizontal="center" vertical="center"/>
    </xf>
    <xf numFmtId="20" fontId="201" fillId="22" borderId="342" xfId="16" applyNumberFormat="1" applyFont="1" applyFill="1" applyBorder="1" applyAlignment="1">
      <alignment horizontal="center" vertical="center"/>
    </xf>
    <xf numFmtId="0" fontId="200" fillId="22" borderId="244" xfId="16" applyFont="1" applyFill="1" applyBorder="1" applyAlignment="1">
      <alignment horizontal="center" vertical="center"/>
    </xf>
    <xf numFmtId="0" fontId="200" fillId="22" borderId="358" xfId="16" applyFont="1" applyFill="1" applyBorder="1" applyAlignment="1">
      <alignment horizontal="center" vertical="center"/>
    </xf>
    <xf numFmtId="0" fontId="200" fillId="22" borderId="359" xfId="16" applyFont="1" applyFill="1" applyBorder="1" applyAlignment="1">
      <alignment horizontal="center" vertical="center"/>
    </xf>
    <xf numFmtId="190" fontId="198" fillId="0" borderId="0" xfId="16" applyNumberFormat="1" applyFont="1" applyAlignment="1">
      <alignment horizontal="center"/>
    </xf>
    <xf numFmtId="190" fontId="198" fillId="0" borderId="338" xfId="16" applyNumberFormat="1" applyFont="1" applyBorder="1" applyAlignment="1">
      <alignment horizontal="center" vertical="center"/>
    </xf>
    <xf numFmtId="0" fontId="200" fillId="0" borderId="360" xfId="16" applyFont="1" applyBorder="1" applyAlignment="1">
      <alignment horizontal="center" vertical="center"/>
    </xf>
    <xf numFmtId="0" fontId="200" fillId="0" borderId="361" xfId="16" applyFont="1" applyBorder="1" applyAlignment="1">
      <alignment horizontal="center" vertical="center"/>
    </xf>
    <xf numFmtId="190" fontId="198" fillId="0" borderId="349" xfId="16" applyNumberFormat="1" applyFont="1" applyBorder="1" applyAlignment="1">
      <alignment horizontal="center" vertical="center"/>
    </xf>
    <xf numFmtId="0" fontId="200" fillId="0" borderId="362" xfId="16" applyFont="1" applyBorder="1" applyAlignment="1">
      <alignment horizontal="center" vertical="center"/>
    </xf>
    <xf numFmtId="20" fontId="201" fillId="0" borderId="0" xfId="16" applyNumberFormat="1" applyFont="1" applyAlignment="1">
      <alignment horizontal="center"/>
    </xf>
    <xf numFmtId="20" fontId="201" fillId="0" borderId="353" xfId="16" applyNumberFormat="1" applyFont="1" applyBorder="1" applyAlignment="1">
      <alignment horizontal="center" vertical="center"/>
    </xf>
    <xf numFmtId="0" fontId="200" fillId="0" borderId="353" xfId="16" applyFont="1" applyBorder="1" applyAlignment="1">
      <alignment horizontal="center" vertical="center"/>
    </xf>
    <xf numFmtId="0" fontId="200" fillId="0" borderId="352" xfId="16" applyFont="1" applyBorder="1" applyAlignment="1">
      <alignment horizontal="center" vertical="center"/>
    </xf>
    <xf numFmtId="0" fontId="200" fillId="0" borderId="354" xfId="16" applyFont="1" applyBorder="1" applyAlignment="1">
      <alignment horizontal="center" vertical="center"/>
    </xf>
    <xf numFmtId="190" fontId="201" fillId="0" borderId="0" xfId="16" applyNumberFormat="1" applyFont="1" applyAlignment="1">
      <alignment horizontal="center"/>
    </xf>
    <xf numFmtId="190" fontId="201" fillId="0" borderId="353" xfId="16" applyNumberFormat="1" applyFont="1" applyBorder="1" applyAlignment="1">
      <alignment horizontal="center" vertical="center"/>
    </xf>
    <xf numFmtId="0" fontId="201" fillId="0" borderId="0" xfId="16" applyFont="1" applyAlignment="1">
      <alignment horizontal="center" vertical="center" textRotation="255"/>
    </xf>
    <xf numFmtId="20" fontId="201" fillId="24" borderId="342" xfId="16" applyNumberFormat="1" applyFont="1" applyFill="1" applyBorder="1" applyAlignment="1">
      <alignment horizontal="center" vertical="center"/>
    </xf>
    <xf numFmtId="0" fontId="200" fillId="0" borderId="355" xfId="16" applyFont="1" applyBorder="1" applyAlignment="1">
      <alignment horizontal="center" vertical="center"/>
    </xf>
    <xf numFmtId="0" fontId="200" fillId="0" borderId="356" xfId="16" applyFont="1" applyBorder="1" applyAlignment="1">
      <alignment horizontal="center" vertical="center"/>
    </xf>
    <xf numFmtId="20" fontId="201" fillId="24" borderId="355" xfId="16" applyNumberFormat="1" applyFont="1" applyFill="1" applyBorder="1" applyAlignment="1">
      <alignment horizontal="center" vertical="center"/>
    </xf>
    <xf numFmtId="0" fontId="200" fillId="0" borderId="357" xfId="16" applyFont="1" applyBorder="1" applyAlignment="1">
      <alignment horizontal="center" vertical="center"/>
    </xf>
    <xf numFmtId="190" fontId="198" fillId="24" borderId="338" xfId="16" applyNumberFormat="1" applyFont="1" applyFill="1" applyBorder="1" applyAlignment="1">
      <alignment horizontal="center" vertical="center"/>
    </xf>
    <xf numFmtId="0" fontId="200" fillId="0" borderId="349" xfId="16" applyFont="1" applyBorder="1" applyAlignment="1">
      <alignment horizontal="center" vertical="center"/>
    </xf>
    <xf numFmtId="0" fontId="200" fillId="0" borderId="350" xfId="16" applyFont="1" applyBorder="1" applyAlignment="1">
      <alignment horizontal="center" vertical="center"/>
    </xf>
    <xf numFmtId="190" fontId="198" fillId="24" borderId="349" xfId="16" applyNumberFormat="1" applyFont="1" applyFill="1" applyBorder="1" applyAlignment="1">
      <alignment horizontal="center" vertical="center"/>
    </xf>
    <xf numFmtId="0" fontId="200" fillId="0" borderId="351" xfId="16" applyFont="1" applyBorder="1" applyAlignment="1">
      <alignment horizontal="center" vertical="center"/>
    </xf>
    <xf numFmtId="20" fontId="201" fillId="24" borderId="353" xfId="16" applyNumberFormat="1" applyFont="1" applyFill="1" applyBorder="1" applyAlignment="1">
      <alignment horizontal="center" vertical="center"/>
    </xf>
    <xf numFmtId="190" fontId="201" fillId="24" borderId="353" xfId="16" applyNumberFormat="1" applyFont="1" applyFill="1" applyBorder="1" applyAlignment="1">
      <alignment horizontal="center" vertical="center"/>
    </xf>
    <xf numFmtId="20" fontId="201" fillId="0" borderId="363" xfId="16" applyNumberFormat="1" applyFont="1" applyBorder="1" applyAlignment="1">
      <alignment horizontal="center" vertical="center"/>
    </xf>
    <xf numFmtId="0" fontId="200" fillId="0" borderId="364" xfId="16" applyFont="1" applyBorder="1" applyAlignment="1">
      <alignment horizontal="center" vertical="center"/>
    </xf>
    <xf numFmtId="0" fontId="200" fillId="0" borderId="365" xfId="16" applyFont="1" applyBorder="1" applyAlignment="1">
      <alignment horizontal="center" vertical="center"/>
    </xf>
    <xf numFmtId="20" fontId="201" fillId="0" borderId="355" xfId="16" applyNumberFormat="1" applyFont="1" applyBorder="1" applyAlignment="1">
      <alignment horizontal="center" vertical="center"/>
    </xf>
    <xf numFmtId="20" fontId="201" fillId="0" borderId="342" xfId="16" applyNumberFormat="1" applyFont="1" applyBorder="1" applyAlignment="1">
      <alignment horizontal="center" vertical="center"/>
    </xf>
    <xf numFmtId="190" fontId="203" fillId="0" borderId="366" xfId="16" applyNumberFormat="1" applyFont="1" applyBorder="1" applyAlignment="1">
      <alignment horizontal="center" vertical="center"/>
    </xf>
    <xf numFmtId="0" fontId="200" fillId="0" borderId="366" xfId="16" applyFont="1" applyBorder="1" applyAlignment="1">
      <alignment horizontal="center" vertical="center"/>
    </xf>
    <xf numFmtId="0" fontId="200" fillId="0" borderId="367" xfId="16" applyFont="1" applyBorder="1" applyAlignment="1">
      <alignment horizontal="center" vertical="center"/>
    </xf>
    <xf numFmtId="0" fontId="200" fillId="0" borderId="368" xfId="16" applyFont="1" applyBorder="1" applyAlignment="1">
      <alignment horizontal="center" vertical="center"/>
    </xf>
    <xf numFmtId="190" fontId="204" fillId="0" borderId="369" xfId="16" applyNumberFormat="1" applyFont="1" applyBorder="1" applyAlignment="1">
      <alignment horizontal="center" vertical="center"/>
    </xf>
    <xf numFmtId="0" fontId="200" fillId="0" borderId="369" xfId="16" applyFont="1" applyBorder="1" applyAlignment="1">
      <alignment horizontal="center" vertical="center"/>
    </xf>
    <xf numFmtId="0" fontId="200" fillId="0" borderId="370" xfId="16" applyFont="1" applyBorder="1" applyAlignment="1">
      <alignment horizontal="center" vertical="center"/>
    </xf>
    <xf numFmtId="0" fontId="200" fillId="0" borderId="371" xfId="16" applyFont="1" applyBorder="1" applyAlignment="1">
      <alignment horizontal="center" vertical="center"/>
    </xf>
    <xf numFmtId="0" fontId="200" fillId="0" borderId="349" xfId="16" applyFont="1" applyBorder="1" applyAlignment="1">
      <alignment horizontal="center" vertical="center" wrapText="1"/>
    </xf>
    <xf numFmtId="190" fontId="201" fillId="0" borderId="372" xfId="16" applyNumberFormat="1" applyFont="1" applyBorder="1" applyAlignment="1">
      <alignment horizontal="center" vertical="center"/>
    </xf>
    <xf numFmtId="20" fontId="201" fillId="0" borderId="373" xfId="16" applyNumberFormat="1" applyFont="1" applyBorder="1" applyAlignment="1">
      <alignment horizontal="center" vertical="center"/>
    </xf>
    <xf numFmtId="190" fontId="198" fillId="0" borderId="374" xfId="16" applyNumberFormat="1" applyFont="1" applyBorder="1" applyAlignment="1">
      <alignment horizontal="center" vertical="center"/>
    </xf>
    <xf numFmtId="0" fontId="200" fillId="0" borderId="350" xfId="16" applyFont="1" applyBorder="1" applyAlignment="1">
      <alignment horizontal="center" vertical="center" wrapText="1"/>
    </xf>
    <xf numFmtId="20" fontId="201" fillId="0" borderId="372" xfId="16" applyNumberFormat="1" applyFont="1" applyBorder="1" applyAlignment="1">
      <alignment horizontal="center" vertical="center"/>
    </xf>
    <xf numFmtId="0" fontId="200" fillId="0" borderId="352" xfId="16" applyFont="1" applyBorder="1" applyAlignment="1">
      <alignment horizontal="center" vertical="center" wrapText="1"/>
    </xf>
    <xf numFmtId="0" fontId="200" fillId="0" borderId="356" xfId="16" applyFont="1" applyBorder="1" applyAlignment="1">
      <alignment horizontal="center" vertical="center" wrapText="1"/>
    </xf>
    <xf numFmtId="190" fontId="198" fillId="26" borderId="338" xfId="16" applyNumberFormat="1" applyFont="1" applyFill="1" applyBorder="1" applyAlignment="1">
      <alignment horizontal="center" vertical="center"/>
    </xf>
    <xf numFmtId="190" fontId="198" fillId="26" borderId="374" xfId="16" applyNumberFormat="1" applyFont="1" applyFill="1" applyBorder="1" applyAlignment="1">
      <alignment horizontal="center" vertical="center"/>
    </xf>
    <xf numFmtId="20" fontId="201" fillId="26" borderId="353" xfId="16" applyNumberFormat="1" applyFont="1" applyFill="1" applyBorder="1" applyAlignment="1">
      <alignment horizontal="center" vertical="center"/>
    </xf>
    <xf numFmtId="20" fontId="201" fillId="26" borderId="372" xfId="16" applyNumberFormat="1" applyFont="1" applyFill="1" applyBorder="1" applyAlignment="1">
      <alignment horizontal="center" vertical="center"/>
    </xf>
    <xf numFmtId="190" fontId="201" fillId="26" borderId="353" xfId="16" applyNumberFormat="1" applyFont="1" applyFill="1" applyBorder="1" applyAlignment="1">
      <alignment horizontal="center" vertical="center"/>
    </xf>
    <xf numFmtId="190" fontId="201" fillId="26" borderId="372" xfId="16" applyNumberFormat="1" applyFont="1" applyFill="1" applyBorder="1" applyAlignment="1">
      <alignment horizontal="center" vertical="center"/>
    </xf>
    <xf numFmtId="20" fontId="201" fillId="26" borderId="342" xfId="16" applyNumberFormat="1" applyFont="1" applyFill="1" applyBorder="1" applyAlignment="1">
      <alignment horizontal="center" vertical="center"/>
    </xf>
    <xf numFmtId="20" fontId="201" fillId="26" borderId="373" xfId="16" applyNumberFormat="1" applyFont="1" applyFill="1" applyBorder="1" applyAlignment="1">
      <alignment horizontal="center" vertical="center"/>
    </xf>
    <xf numFmtId="190" fontId="198" fillId="24" borderId="374" xfId="16" applyNumberFormat="1" applyFont="1" applyFill="1" applyBorder="1" applyAlignment="1">
      <alignment horizontal="center" vertical="center"/>
    </xf>
    <xf numFmtId="20" fontId="201" fillId="24" borderId="372" xfId="16" applyNumberFormat="1" applyFont="1" applyFill="1" applyBorder="1" applyAlignment="1">
      <alignment horizontal="center" vertical="center"/>
    </xf>
    <xf numFmtId="190" fontId="201" fillId="24" borderId="372" xfId="16" applyNumberFormat="1" applyFont="1" applyFill="1" applyBorder="1" applyAlignment="1">
      <alignment horizontal="center" vertical="center"/>
    </xf>
    <xf numFmtId="20" fontId="201" fillId="24" borderId="373" xfId="16" applyNumberFormat="1" applyFont="1" applyFill="1" applyBorder="1" applyAlignment="1">
      <alignment horizontal="center" vertical="center"/>
    </xf>
    <xf numFmtId="0" fontId="184" fillId="0" borderId="356" xfId="16" applyFont="1" applyBorder="1" applyAlignment="1">
      <alignment horizontal="center" vertical="center"/>
    </xf>
    <xf numFmtId="0" fontId="184" fillId="0" borderId="357" xfId="16" applyFont="1" applyBorder="1" applyAlignment="1">
      <alignment horizontal="center" vertical="center"/>
    </xf>
    <xf numFmtId="190" fontId="198" fillId="24" borderId="341" xfId="16" applyNumberFormat="1" applyFont="1" applyFill="1" applyBorder="1" applyAlignment="1">
      <alignment horizontal="center" vertical="center"/>
    </xf>
    <xf numFmtId="0" fontId="184" fillId="0" borderId="350" xfId="16" applyFont="1" applyBorder="1" applyAlignment="1">
      <alignment horizontal="center" vertical="center"/>
    </xf>
    <xf numFmtId="0" fontId="184" fillId="0" borderId="351" xfId="16" applyFont="1" applyBorder="1" applyAlignment="1">
      <alignment horizontal="center" vertical="center"/>
    </xf>
    <xf numFmtId="0" fontId="184" fillId="0" borderId="352" xfId="16" applyFont="1" applyBorder="1" applyAlignment="1">
      <alignment horizontal="center" vertical="center"/>
    </xf>
    <xf numFmtId="0" fontId="184" fillId="0" borderId="354" xfId="16" applyFont="1" applyBorder="1" applyAlignment="1">
      <alignment horizontal="center" vertical="center"/>
    </xf>
    <xf numFmtId="20" fontId="201" fillId="24" borderId="345" xfId="16" applyNumberFormat="1" applyFont="1" applyFill="1" applyBorder="1" applyAlignment="1">
      <alignment horizontal="center" vertical="center"/>
    </xf>
    <xf numFmtId="0" fontId="184" fillId="0" borderId="355" xfId="16" applyFont="1" applyBorder="1" applyAlignment="1">
      <alignment horizontal="center" vertical="center"/>
    </xf>
    <xf numFmtId="190" fontId="201" fillId="26" borderId="342" xfId="16" applyNumberFormat="1" applyFont="1" applyFill="1" applyBorder="1" applyAlignment="1">
      <alignment horizontal="center" vertical="center"/>
    </xf>
    <xf numFmtId="190" fontId="201" fillId="26" borderId="373" xfId="16" applyNumberFormat="1" applyFont="1" applyFill="1" applyBorder="1" applyAlignment="1">
      <alignment horizontal="center" vertical="center"/>
    </xf>
    <xf numFmtId="20" fontId="198" fillId="0" borderId="0" xfId="16" applyNumberFormat="1" applyFont="1" applyAlignment="1">
      <alignment horizontal="center"/>
    </xf>
    <xf numFmtId="20" fontId="198" fillId="26" borderId="338" xfId="16" applyNumberFormat="1" applyFont="1" applyFill="1" applyBorder="1" applyAlignment="1">
      <alignment horizontal="center" vertical="center"/>
    </xf>
    <xf numFmtId="20" fontId="198" fillId="26" borderId="374" xfId="16" applyNumberFormat="1" applyFont="1" applyFill="1" applyBorder="1" applyAlignment="1">
      <alignment horizontal="center" vertical="center"/>
    </xf>
    <xf numFmtId="0" fontId="198" fillId="0" borderId="0" xfId="16" applyFont="1" applyAlignment="1">
      <alignment horizontal="center" vertical="center" textRotation="255"/>
    </xf>
    <xf numFmtId="0" fontId="184" fillId="22" borderId="349" xfId="16" applyFont="1" applyFill="1" applyBorder="1" applyAlignment="1">
      <alignment horizontal="center" vertical="center"/>
    </xf>
    <xf numFmtId="0" fontId="184" fillId="22" borderId="350" xfId="16" applyFont="1" applyFill="1" applyBorder="1" applyAlignment="1">
      <alignment horizontal="center" vertical="center"/>
    </xf>
    <xf numFmtId="0" fontId="184" fillId="22" borderId="351" xfId="16" applyFont="1" applyFill="1" applyBorder="1" applyAlignment="1">
      <alignment horizontal="center" vertical="center"/>
    </xf>
    <xf numFmtId="0" fontId="184" fillId="22" borderId="353" xfId="16" applyFont="1" applyFill="1" applyBorder="1" applyAlignment="1">
      <alignment horizontal="center" vertical="center"/>
    </xf>
    <xf numFmtId="0" fontId="184" fillId="22" borderId="352" xfId="16" applyFont="1" applyFill="1" applyBorder="1" applyAlignment="1">
      <alignment horizontal="center" vertical="center"/>
    </xf>
    <xf numFmtId="0" fontId="184" fillId="22" borderId="354" xfId="16" applyFont="1" applyFill="1" applyBorder="1" applyAlignment="1">
      <alignment horizontal="center" vertical="center"/>
    </xf>
    <xf numFmtId="0" fontId="184" fillId="22" borderId="355" xfId="16" applyFont="1" applyFill="1" applyBorder="1" applyAlignment="1">
      <alignment horizontal="center" vertical="center"/>
    </xf>
    <xf numFmtId="0" fontId="184" fillId="22" borderId="356" xfId="16" applyFont="1" applyFill="1" applyBorder="1" applyAlignment="1">
      <alignment horizontal="center" vertical="center"/>
    </xf>
    <xf numFmtId="0" fontId="184" fillId="22" borderId="357" xfId="16" applyFont="1" applyFill="1" applyBorder="1" applyAlignment="1">
      <alignment horizontal="center" vertical="center"/>
    </xf>
    <xf numFmtId="20" fontId="191" fillId="0" borderId="0" xfId="16" applyNumberFormat="1" applyFont="1" applyAlignment="1">
      <alignment horizontal="center"/>
    </xf>
    <xf numFmtId="178" fontId="64" fillId="0" borderId="0" xfId="0" applyNumberFormat="1" applyFont="1" applyAlignment="1" applyProtection="1">
      <alignment horizontal="center" vertical="center"/>
      <protection hidden="1"/>
    </xf>
    <xf numFmtId="0" fontId="64" fillId="0" borderId="0" xfId="0" applyFont="1" applyAlignment="1" applyProtection="1">
      <alignment horizontal="center" vertical="center"/>
      <protection hidden="1"/>
    </xf>
    <xf numFmtId="0" fontId="187" fillId="0" borderId="0" xfId="16" applyFont="1" applyAlignment="1">
      <alignment horizontal="center"/>
    </xf>
    <xf numFmtId="0" fontId="202" fillId="0" borderId="0" xfId="16" applyFont="1"/>
    <xf numFmtId="190" fontId="198" fillId="24" borderId="350" xfId="16" applyNumberFormat="1" applyFont="1" applyFill="1" applyBorder="1" applyAlignment="1">
      <alignment horizontal="center" vertical="center"/>
    </xf>
    <xf numFmtId="20" fontId="201" fillId="24" borderId="352" xfId="16" applyNumberFormat="1" applyFont="1" applyFill="1" applyBorder="1" applyAlignment="1">
      <alignment horizontal="center" vertical="center"/>
    </xf>
    <xf numFmtId="0" fontId="96" fillId="0" borderId="81" xfId="0" applyFont="1" applyBorder="1" applyAlignment="1" applyProtection="1">
      <alignment horizontal="left" vertical="center" wrapText="1"/>
      <protection hidden="1"/>
    </xf>
    <xf numFmtId="0" fontId="151" fillId="0" borderId="81" xfId="0" applyFont="1" applyBorder="1" applyAlignment="1">
      <alignment vertical="center" wrapText="1"/>
    </xf>
    <xf numFmtId="0" fontId="209" fillId="0" borderId="20" xfId="0" applyFont="1" applyBorder="1" applyAlignment="1">
      <alignment horizontal="center" vertical="center"/>
    </xf>
    <xf numFmtId="191" fontId="0" fillId="0" borderId="0" xfId="0" applyNumberFormat="1">
      <alignment vertical="center"/>
    </xf>
    <xf numFmtId="0" fontId="104" fillId="0" borderId="0" xfId="8" applyFont="1" applyAlignment="1">
      <alignment horizontal="center" vertical="center"/>
    </xf>
    <xf numFmtId="180" fontId="98" fillId="0" borderId="49" xfId="3" applyNumberFormat="1" applyFont="1" applyFill="1" applyBorder="1" applyAlignment="1" applyProtection="1">
      <alignment vertical="center" shrinkToFit="1"/>
    </xf>
    <xf numFmtId="49" fontId="142" fillId="17" borderId="51" xfId="0" applyNumberFormat="1" applyFont="1" applyFill="1" applyBorder="1" applyAlignment="1">
      <alignment horizontal="left" vertical="center"/>
    </xf>
    <xf numFmtId="49" fontId="142" fillId="17" borderId="17" xfId="0" applyNumberFormat="1" applyFont="1" applyFill="1" applyBorder="1" applyAlignment="1">
      <alignment horizontal="left" vertical="center"/>
    </xf>
    <xf numFmtId="49" fontId="142" fillId="17" borderId="50" xfId="0" applyNumberFormat="1" applyFont="1" applyFill="1" applyBorder="1" applyAlignment="1">
      <alignment horizontal="left" vertical="center"/>
    </xf>
    <xf numFmtId="49" fontId="146" fillId="10" borderId="15" xfId="0" applyNumberFormat="1" applyFont="1" applyFill="1" applyBorder="1" applyAlignment="1">
      <alignment horizontal="left" vertical="center" wrapText="1"/>
    </xf>
    <xf numFmtId="49" fontId="146" fillId="10" borderId="10" xfId="0" applyNumberFormat="1" applyFont="1" applyFill="1" applyBorder="1" applyAlignment="1">
      <alignment horizontal="left" vertical="center" wrapText="1"/>
    </xf>
    <xf numFmtId="49" fontId="146" fillId="10" borderId="14" xfId="0" applyNumberFormat="1" applyFont="1" applyFill="1" applyBorder="1" applyAlignment="1">
      <alignment horizontal="left" vertical="center" wrapText="1"/>
    </xf>
    <xf numFmtId="49" fontId="146" fillId="10" borderId="13" xfId="0" applyNumberFormat="1" applyFont="1" applyFill="1" applyBorder="1" applyAlignment="1">
      <alignment horizontal="left" vertical="center" wrapText="1"/>
    </xf>
    <xf numFmtId="49" fontId="146" fillId="10" borderId="0" xfId="0" applyNumberFormat="1" applyFont="1" applyFill="1" applyAlignment="1">
      <alignment horizontal="left" vertical="center" wrapText="1"/>
    </xf>
    <xf numFmtId="49" fontId="146" fillId="10" borderId="12" xfId="0" applyNumberFormat="1" applyFont="1" applyFill="1" applyBorder="1" applyAlignment="1">
      <alignment horizontal="left" vertical="center" wrapText="1"/>
    </xf>
    <xf numFmtId="49" fontId="146" fillId="10" borderId="11" xfId="0" applyNumberFormat="1" applyFont="1" applyFill="1" applyBorder="1" applyAlignment="1">
      <alignment horizontal="left" vertical="center" wrapText="1"/>
    </xf>
    <xf numFmtId="49" fontId="146" fillId="10" borderId="2" xfId="0" applyNumberFormat="1" applyFont="1" applyFill="1" applyBorder="1" applyAlignment="1">
      <alignment horizontal="left" vertical="center" wrapText="1"/>
    </xf>
    <xf numFmtId="49" fontId="146" fillId="10" borderId="3" xfId="0" applyNumberFormat="1" applyFont="1" applyFill="1" applyBorder="1" applyAlignment="1">
      <alignment horizontal="left" vertical="center" wrapText="1"/>
    </xf>
    <xf numFmtId="49" fontId="142" fillId="17" borderId="15" xfId="0" applyNumberFormat="1" applyFont="1" applyFill="1" applyBorder="1" applyAlignment="1">
      <alignment horizontal="left" vertical="center" wrapText="1"/>
    </xf>
    <xf numFmtId="49" fontId="142" fillId="17" borderId="10" xfId="0" applyNumberFormat="1" applyFont="1" applyFill="1" applyBorder="1" applyAlignment="1">
      <alignment horizontal="left" vertical="center" wrapText="1"/>
    </xf>
    <xf numFmtId="49" fontId="142" fillId="17" borderId="14" xfId="0" applyNumberFormat="1" applyFont="1" applyFill="1" applyBorder="1" applyAlignment="1">
      <alignment horizontal="left" vertical="center" wrapText="1"/>
    </xf>
    <xf numFmtId="49" fontId="142" fillId="17" borderId="13" xfId="0" applyNumberFormat="1" applyFont="1" applyFill="1" applyBorder="1" applyAlignment="1">
      <alignment horizontal="left" vertical="center" wrapText="1"/>
    </xf>
    <xf numFmtId="49" fontId="142" fillId="17" borderId="0" xfId="0" applyNumberFormat="1" applyFont="1" applyFill="1" applyAlignment="1">
      <alignment horizontal="left" vertical="center" wrapText="1"/>
    </xf>
    <xf numFmtId="49" fontId="142" fillId="17" borderId="12" xfId="0" applyNumberFormat="1" applyFont="1" applyFill="1" applyBorder="1" applyAlignment="1">
      <alignment horizontal="left" vertical="center" wrapText="1"/>
    </xf>
    <xf numFmtId="49" fontId="142" fillId="17" borderId="11" xfId="0" applyNumberFormat="1" applyFont="1" applyFill="1" applyBorder="1" applyAlignment="1">
      <alignment horizontal="left" vertical="center" wrapText="1"/>
    </xf>
    <xf numFmtId="49" fontId="142" fillId="17" borderId="2" xfId="0" applyNumberFormat="1" applyFont="1" applyFill="1" applyBorder="1" applyAlignment="1">
      <alignment horizontal="left" vertical="center" wrapText="1"/>
    </xf>
    <xf numFmtId="49" fontId="142" fillId="17" borderId="3" xfId="0" applyNumberFormat="1" applyFont="1" applyFill="1" applyBorder="1" applyAlignment="1">
      <alignment horizontal="left" vertical="center" wrapText="1"/>
    </xf>
    <xf numFmtId="49" fontId="142" fillId="0" borderId="51" xfId="0" applyNumberFormat="1" applyFont="1" applyBorder="1" applyAlignment="1">
      <alignment horizontal="center" vertical="center"/>
    </xf>
    <xf numFmtId="49" fontId="142" fillId="0" borderId="17" xfId="0" applyNumberFormat="1" applyFont="1" applyBorder="1" applyAlignment="1">
      <alignment horizontal="center" vertical="center"/>
    </xf>
    <xf numFmtId="49" fontId="142" fillId="0" borderId="50" xfId="0" applyNumberFormat="1" applyFont="1" applyBorder="1" applyAlignment="1">
      <alignment horizontal="center" vertical="center"/>
    </xf>
    <xf numFmtId="49" fontId="145" fillId="10" borderId="51" xfId="0" applyNumberFormat="1" applyFont="1" applyFill="1" applyBorder="1" applyAlignment="1">
      <alignment horizontal="left" vertical="center"/>
    </xf>
    <xf numFmtId="49" fontId="145" fillId="10" borderId="17" xfId="0" applyNumberFormat="1" applyFont="1" applyFill="1" applyBorder="1" applyAlignment="1">
      <alignment horizontal="left" vertical="center"/>
    </xf>
    <xf numFmtId="49" fontId="145" fillId="10" borderId="50" xfId="0" applyNumberFormat="1" applyFont="1" applyFill="1" applyBorder="1" applyAlignment="1">
      <alignment horizontal="left" vertical="center"/>
    </xf>
    <xf numFmtId="49" fontId="142" fillId="0" borderId="51" xfId="0" applyNumberFormat="1" applyFont="1" applyBorder="1" applyAlignment="1">
      <alignment horizontal="left" vertical="center" wrapText="1"/>
    </xf>
    <xf numFmtId="49" fontId="142" fillId="0" borderId="17" xfId="0" applyNumberFormat="1" applyFont="1" applyBorder="1" applyAlignment="1">
      <alignment horizontal="left" vertical="center" wrapText="1"/>
    </xf>
    <xf numFmtId="49" fontId="142" fillId="0" borderId="50" xfId="0" applyNumberFormat="1" applyFont="1" applyBorder="1" applyAlignment="1">
      <alignment horizontal="left" vertical="center" wrapText="1"/>
    </xf>
    <xf numFmtId="49" fontId="142" fillId="0" borderId="0" xfId="0" applyNumberFormat="1" applyFont="1" applyAlignment="1">
      <alignment horizontal="center" vertical="center"/>
    </xf>
    <xf numFmtId="49" fontId="143" fillId="0" borderId="0" xfId="0" applyNumberFormat="1" applyFont="1" applyAlignment="1">
      <alignment horizontal="left" vertical="center"/>
    </xf>
    <xf numFmtId="49" fontId="142" fillId="0" borderId="0" xfId="0" applyNumberFormat="1" applyFont="1" applyAlignment="1">
      <alignment horizontal="left" vertical="center"/>
    </xf>
    <xf numFmtId="49" fontId="143" fillId="0" borderId="0" xfId="0" applyNumberFormat="1" applyFont="1" applyAlignment="1">
      <alignment horizontal="center" vertical="center"/>
    </xf>
    <xf numFmtId="49" fontId="143" fillId="0" borderId="57" xfId="0" applyNumberFormat="1" applyFont="1" applyBorder="1" applyAlignment="1">
      <alignment horizontal="center" vertical="center" shrinkToFit="1"/>
    </xf>
    <xf numFmtId="49" fontId="143" fillId="0" borderId="154" xfId="0" applyNumberFormat="1" applyFont="1" applyBorder="1" applyAlignment="1">
      <alignment horizontal="center" vertical="center" shrinkToFit="1"/>
    </xf>
    <xf numFmtId="0" fontId="142" fillId="0" borderId="0" xfId="0" applyFont="1" applyAlignment="1">
      <alignment horizontal="left" vertical="center"/>
    </xf>
    <xf numFmtId="49" fontId="78" fillId="0" borderId="99" xfId="12" applyNumberFormat="1" applyBorder="1" applyAlignment="1" applyProtection="1">
      <alignment horizontal="left" vertical="center"/>
    </xf>
    <xf numFmtId="49" fontId="143" fillId="0" borderId="99" xfId="0" applyNumberFormat="1" applyFont="1" applyBorder="1" applyAlignment="1">
      <alignment horizontal="left" vertical="center"/>
    </xf>
    <xf numFmtId="49" fontId="143" fillId="0" borderId="112" xfId="0" applyNumberFormat="1" applyFont="1" applyBorder="1" applyAlignment="1">
      <alignment horizontal="left" vertical="center"/>
    </xf>
    <xf numFmtId="49" fontId="142" fillId="0" borderId="0" xfId="0" applyNumberFormat="1" applyFont="1" applyAlignment="1">
      <alignment horizontal="left" vertical="center" wrapText="1"/>
    </xf>
    <xf numFmtId="0" fontId="99" fillId="0" borderId="0" xfId="0" applyFont="1" applyAlignment="1">
      <alignment horizontal="center" vertical="center"/>
    </xf>
    <xf numFmtId="0" fontId="131" fillId="0" borderId="0" xfId="0" applyFont="1" applyAlignment="1">
      <alignment horizontal="center" vertical="center"/>
    </xf>
    <xf numFmtId="0" fontId="142" fillId="6" borderId="0" xfId="0" applyFont="1" applyFill="1" applyAlignment="1">
      <alignment horizontal="center" vertical="center"/>
    </xf>
    <xf numFmtId="0" fontId="142" fillId="3" borderId="0" xfId="0" applyFont="1" applyFill="1">
      <alignment vertical="center"/>
    </xf>
    <xf numFmtId="49" fontId="142" fillId="19" borderId="0" xfId="0" applyNumberFormat="1" applyFont="1" applyFill="1" applyAlignment="1">
      <alignment horizontal="center" vertical="center"/>
    </xf>
    <xf numFmtId="49" fontId="143" fillId="0" borderId="0" xfId="0" applyNumberFormat="1" applyFont="1" applyAlignment="1">
      <alignment horizontal="left" vertical="center" wrapText="1"/>
    </xf>
    <xf numFmtId="0" fontId="103" fillId="0" borderId="0" xfId="0" applyFont="1" applyAlignment="1">
      <alignment horizontal="left" vertical="center"/>
    </xf>
    <xf numFmtId="0" fontId="103" fillId="0" borderId="110" xfId="0" applyFont="1" applyBorder="1" applyAlignment="1">
      <alignment horizontal="left" vertical="center"/>
    </xf>
    <xf numFmtId="191" fontId="98" fillId="19" borderId="117" xfId="0" applyNumberFormat="1" applyFont="1" applyFill="1" applyBorder="1" applyAlignment="1" applyProtection="1">
      <alignment horizontal="center" vertical="center"/>
      <protection locked="0"/>
    </xf>
    <xf numFmtId="191" fontId="98" fillId="19" borderId="114" xfId="0" applyNumberFormat="1" applyFont="1" applyFill="1" applyBorder="1" applyAlignment="1" applyProtection="1">
      <alignment horizontal="center" vertical="center"/>
      <protection locked="0"/>
    </xf>
    <xf numFmtId="191" fontId="98" fillId="19" borderId="126" xfId="0" applyNumberFormat="1" applyFont="1" applyFill="1" applyBorder="1" applyAlignment="1" applyProtection="1">
      <alignment horizontal="center" vertical="center"/>
      <protection locked="0"/>
    </xf>
    <xf numFmtId="191" fontId="98" fillId="19" borderId="116" xfId="0" applyNumberFormat="1" applyFont="1" applyFill="1" applyBorder="1" applyAlignment="1" applyProtection="1">
      <alignment horizontal="center" vertical="center"/>
      <protection locked="0"/>
    </xf>
    <xf numFmtId="191" fontId="98" fillId="19" borderId="6" xfId="0" applyNumberFormat="1" applyFont="1" applyFill="1" applyBorder="1" applyAlignment="1" applyProtection="1">
      <alignment horizontal="center" vertical="center"/>
      <protection locked="0"/>
    </xf>
    <xf numFmtId="191" fontId="98" fillId="19" borderId="7" xfId="0" applyNumberFormat="1" applyFont="1" applyFill="1" applyBorder="1" applyAlignment="1" applyProtection="1">
      <alignment horizontal="center" vertical="center"/>
      <protection locked="0"/>
    </xf>
    <xf numFmtId="49" fontId="102" fillId="0" borderId="0" xfId="0" applyNumberFormat="1" applyFont="1" applyAlignment="1">
      <alignment horizontal="center" vertical="center"/>
    </xf>
    <xf numFmtId="0" fontId="84" fillId="0" borderId="12" xfId="0" applyFont="1" applyBorder="1">
      <alignment vertical="center"/>
    </xf>
    <xf numFmtId="0" fontId="84" fillId="0" borderId="2" xfId="0" applyFont="1" applyBorder="1">
      <alignment vertical="center"/>
    </xf>
    <xf numFmtId="0" fontId="84" fillId="0" borderId="3" xfId="0" applyFont="1" applyBorder="1">
      <alignment vertical="center"/>
    </xf>
    <xf numFmtId="0" fontId="103" fillId="0" borderId="2" xfId="0" applyFont="1" applyBorder="1" applyAlignment="1">
      <alignment horizontal="left" vertical="center"/>
    </xf>
    <xf numFmtId="0" fontId="103" fillId="0" borderId="3" xfId="0" applyFont="1" applyBorder="1" applyAlignment="1">
      <alignment horizontal="left" vertical="center"/>
    </xf>
    <xf numFmtId="0" fontId="103" fillId="0" borderId="12" xfId="0" applyFont="1" applyBorder="1" applyAlignment="1">
      <alignment horizontal="left" vertical="center"/>
    </xf>
    <xf numFmtId="0" fontId="95" fillId="0" borderId="223" xfId="0" applyFont="1" applyBorder="1" applyAlignment="1">
      <alignment horizontal="center" vertical="center" wrapText="1"/>
    </xf>
    <xf numFmtId="0" fontId="95" fillId="0" borderId="0" xfId="0" applyFont="1" applyAlignment="1">
      <alignment horizontal="center" vertical="center" wrapText="1"/>
    </xf>
    <xf numFmtId="0" fontId="95" fillId="0" borderId="110" xfId="0" applyFont="1" applyBorder="1" applyAlignment="1">
      <alignment horizontal="center" vertical="center" wrapText="1"/>
    </xf>
    <xf numFmtId="0" fontId="95" fillId="0" borderId="230" xfId="0" applyFont="1" applyBorder="1" applyAlignment="1">
      <alignment horizontal="center" vertical="center" wrapText="1"/>
    </xf>
    <xf numFmtId="0" fontId="95" fillId="0" borderId="2" xfId="0" applyFont="1" applyBorder="1" applyAlignment="1">
      <alignment horizontal="center" vertical="center" wrapText="1"/>
    </xf>
    <xf numFmtId="0" fontId="95" fillId="0" borderId="1" xfId="0" applyFont="1" applyBorder="1" applyAlignment="1">
      <alignment horizontal="center" vertical="center" wrapText="1"/>
    </xf>
    <xf numFmtId="0" fontId="103" fillId="0" borderId="10" xfId="0" applyFont="1" applyBorder="1" applyAlignment="1" applyProtection="1">
      <alignment horizontal="center" vertical="center" shrinkToFit="1"/>
      <protection locked="0"/>
    </xf>
    <xf numFmtId="0" fontId="103" fillId="0" borderId="113" xfId="0" applyFont="1" applyBorder="1" applyAlignment="1" applyProtection="1">
      <alignment horizontal="center" vertical="center" shrinkToFit="1"/>
      <protection locked="0"/>
    </xf>
    <xf numFmtId="0" fontId="103" fillId="0" borderId="10" xfId="0" applyFont="1" applyBorder="1" applyAlignment="1">
      <alignment horizontal="left" vertical="center"/>
    </xf>
    <xf numFmtId="49" fontId="102" fillId="0" borderId="8" xfId="0" applyNumberFormat="1" applyFont="1" applyBorder="1" applyAlignment="1">
      <alignment horizontal="center" vertical="center"/>
    </xf>
    <xf numFmtId="49" fontId="97" fillId="0" borderId="0" xfId="0" applyNumberFormat="1" applyFont="1" applyAlignment="1">
      <alignment horizontal="center" vertical="center"/>
    </xf>
    <xf numFmtId="49" fontId="97" fillId="0" borderId="6" xfId="0" applyNumberFormat="1" applyFont="1" applyBorder="1" applyAlignment="1">
      <alignment horizontal="center" vertical="center"/>
    </xf>
    <xf numFmtId="0" fontId="103" fillId="0" borderId="129" xfId="0" applyFont="1" applyBorder="1" applyAlignment="1">
      <alignment horizontal="center" vertical="center"/>
    </xf>
    <xf numFmtId="0" fontId="103" fillId="0" borderId="130" xfId="0" applyFont="1" applyBorder="1" applyAlignment="1">
      <alignment horizontal="center" vertical="center"/>
    </xf>
    <xf numFmtId="0" fontId="103" fillId="0" borderId="10" xfId="0" applyFont="1" applyBorder="1" applyAlignment="1">
      <alignment horizontal="center" vertical="center"/>
    </xf>
    <xf numFmtId="0" fontId="103" fillId="0" borderId="14" xfId="0" applyFont="1" applyBorder="1" applyAlignment="1">
      <alignment horizontal="center" vertical="center"/>
    </xf>
    <xf numFmtId="0" fontId="103" fillId="0" borderId="13" xfId="0" applyFont="1" applyBorder="1" applyAlignment="1">
      <alignment horizontal="center" vertical="center"/>
    </xf>
    <xf numFmtId="0" fontId="103" fillId="0" borderId="0" xfId="0" applyFont="1" applyAlignment="1">
      <alignment horizontal="center" vertical="center"/>
    </xf>
    <xf numFmtId="0" fontId="103" fillId="0" borderId="11" xfId="0" applyFont="1" applyBorder="1" applyAlignment="1">
      <alignment horizontal="center" vertical="center"/>
    </xf>
    <xf numFmtId="0" fontId="103" fillId="0" borderId="2" xfId="0" applyFont="1" applyBorder="1" applyAlignment="1">
      <alignment horizontal="center" vertical="center"/>
    </xf>
    <xf numFmtId="49" fontId="95" fillId="0" borderId="1" xfId="0" applyNumberFormat="1" applyFont="1" applyBorder="1" applyAlignment="1">
      <alignment horizontal="center" vertical="center" textRotation="255"/>
    </xf>
    <xf numFmtId="49" fontId="95" fillId="0" borderId="122" xfId="0" applyNumberFormat="1" applyFont="1" applyBorder="1" applyAlignment="1">
      <alignment horizontal="center" vertical="center" textRotation="255"/>
    </xf>
    <xf numFmtId="49" fontId="97" fillId="0" borderId="114" xfId="0" applyNumberFormat="1" applyFont="1" applyBorder="1" applyAlignment="1">
      <alignment horizontal="center" vertical="center"/>
    </xf>
    <xf numFmtId="49" fontId="98" fillId="0" borderId="114" xfId="0" applyNumberFormat="1" applyFont="1" applyBorder="1" applyAlignment="1">
      <alignment horizontal="center" vertical="center"/>
    </xf>
    <xf numFmtId="49" fontId="98" fillId="0" borderId="6" xfId="0" applyNumberFormat="1" applyFont="1" applyBorder="1" applyAlignment="1">
      <alignment horizontal="center" vertical="center"/>
    </xf>
    <xf numFmtId="49" fontId="95" fillId="0" borderId="127" xfId="0" applyNumberFormat="1" applyFont="1" applyBorder="1" applyAlignment="1">
      <alignment horizontal="center" vertical="center" textRotation="255"/>
    </xf>
    <xf numFmtId="49" fontId="95" fillId="0" borderId="119" xfId="0" applyNumberFormat="1" applyFont="1" applyBorder="1" applyAlignment="1">
      <alignment horizontal="center" vertical="center" textRotation="255"/>
    </xf>
    <xf numFmtId="49" fontId="98" fillId="0" borderId="0" xfId="0" applyNumberFormat="1" applyFont="1" applyAlignment="1">
      <alignment horizontal="center" vertical="center"/>
    </xf>
    <xf numFmtId="0" fontId="77" fillId="15" borderId="226" xfId="0" applyFont="1" applyFill="1" applyBorder="1" applyAlignment="1">
      <alignment vertical="center" wrapText="1"/>
    </xf>
    <xf numFmtId="0" fontId="77" fillId="15" borderId="225" xfId="0" applyFont="1" applyFill="1" applyBorder="1" applyAlignment="1">
      <alignment vertical="center" wrapText="1"/>
    </xf>
    <xf numFmtId="0" fontId="104" fillId="0" borderId="15" xfId="0" applyFont="1" applyBorder="1" applyAlignment="1">
      <alignment horizontal="center" vertical="center"/>
    </xf>
    <xf numFmtId="0" fontId="104" fillId="0" borderId="10" xfId="0" applyFont="1" applyBorder="1" applyAlignment="1">
      <alignment horizontal="center" vertical="center"/>
    </xf>
    <xf numFmtId="0" fontId="104" fillId="0" borderId="14" xfId="0" applyFont="1" applyBorder="1" applyAlignment="1">
      <alignment horizontal="center" vertical="center"/>
    </xf>
    <xf numFmtId="0" fontId="104" fillId="0" borderId="11" xfId="0" applyFont="1" applyBorder="1" applyAlignment="1">
      <alignment horizontal="center" vertical="center"/>
    </xf>
    <xf numFmtId="0" fontId="104" fillId="0" borderId="2" xfId="0" applyFont="1" applyBorder="1" applyAlignment="1">
      <alignment horizontal="center" vertical="center"/>
    </xf>
    <xf numFmtId="0" fontId="104" fillId="0" borderId="3" xfId="0" applyFont="1" applyBorder="1" applyAlignment="1">
      <alignment horizontal="center" vertical="center"/>
    </xf>
    <xf numFmtId="0" fontId="95" fillId="0" borderId="0" xfId="0" applyFont="1" applyAlignment="1">
      <alignment horizontal="left" vertical="center" wrapText="1"/>
    </xf>
    <xf numFmtId="0" fontId="94" fillId="0" borderId="115" xfId="0" applyFont="1" applyBorder="1" applyAlignment="1">
      <alignment horizontal="left" vertical="center" wrapText="1"/>
    </xf>
    <xf numFmtId="0" fontId="94" fillId="0" borderId="10" xfId="0" applyFont="1" applyBorder="1" applyAlignment="1">
      <alignment horizontal="left" vertical="center" wrapText="1"/>
    </xf>
    <xf numFmtId="0" fontId="94" fillId="0" borderId="14" xfId="0" applyFont="1" applyBorder="1" applyAlignment="1">
      <alignment horizontal="left" vertical="center" wrapText="1"/>
    </xf>
    <xf numFmtId="0" fontId="94" fillId="0" borderId="223" xfId="0" applyFont="1" applyBorder="1" applyAlignment="1">
      <alignment horizontal="left" vertical="center" wrapText="1"/>
    </xf>
    <xf numFmtId="0" fontId="94" fillId="0" borderId="0" xfId="0" applyFont="1" applyAlignment="1">
      <alignment horizontal="left" vertical="center" wrapText="1"/>
    </xf>
    <xf numFmtId="0" fontId="94" fillId="0" borderId="12" xfId="0" applyFont="1" applyBorder="1" applyAlignment="1">
      <alignment horizontal="left" vertical="center" wrapText="1"/>
    </xf>
    <xf numFmtId="0" fontId="94" fillId="0" borderId="230" xfId="0" applyFont="1" applyBorder="1" applyAlignment="1">
      <alignment horizontal="left" vertical="center" wrapText="1"/>
    </xf>
    <xf numFmtId="0" fontId="94" fillId="0" borderId="2" xfId="0" applyFont="1" applyBorder="1" applyAlignment="1">
      <alignment horizontal="left" vertical="center" wrapText="1"/>
    </xf>
    <xf numFmtId="0" fontId="94" fillId="0" borderId="3" xfId="0" applyFont="1" applyBorder="1" applyAlignment="1">
      <alignment horizontal="left" vertical="center" wrapText="1"/>
    </xf>
    <xf numFmtId="0" fontId="104" fillId="0" borderId="51" xfId="0" applyFont="1" applyBorder="1" applyAlignment="1">
      <alignment horizontal="center" vertical="center" wrapText="1"/>
    </xf>
    <xf numFmtId="0" fontId="104" fillId="0" borderId="17" xfId="0" applyFont="1" applyBorder="1" applyAlignment="1">
      <alignment horizontal="center" vertical="center" wrapText="1"/>
    </xf>
    <xf numFmtId="0" fontId="104" fillId="0" borderId="50" xfId="0" applyFont="1" applyBorder="1" applyAlignment="1">
      <alignment horizontal="center" vertical="center" wrapText="1"/>
    </xf>
    <xf numFmtId="0" fontId="103" fillId="0" borderId="0" xfId="0" applyFont="1" applyAlignment="1">
      <alignment horizontal="center" vertical="center" wrapText="1"/>
    </xf>
    <xf numFmtId="0" fontId="99" fillId="0" borderId="0" xfId="0" applyFont="1" applyAlignment="1">
      <alignment horizontal="center" vertical="center" shrinkToFit="1"/>
    </xf>
    <xf numFmtId="0" fontId="104" fillId="0" borderId="0" xfId="0" applyFont="1" applyAlignment="1">
      <alignment horizontal="center" vertical="center" wrapText="1"/>
    </xf>
    <xf numFmtId="0" fontId="104" fillId="0" borderId="12" xfId="0" applyFont="1" applyBorder="1" applyAlignment="1">
      <alignment horizontal="center" vertical="center" wrapText="1"/>
    </xf>
    <xf numFmtId="0" fontId="99" fillId="0" borderId="0" xfId="0" applyFont="1" applyAlignment="1">
      <alignment horizontal="center" vertical="center" wrapText="1"/>
    </xf>
    <xf numFmtId="49" fontId="98" fillId="0" borderId="118" xfId="0" applyNumberFormat="1" applyFont="1" applyBorder="1" applyAlignment="1">
      <alignment horizontal="center" vertical="center"/>
    </xf>
    <xf numFmtId="49" fontId="98" fillId="0" borderId="8" xfId="0" applyNumberFormat="1" applyFont="1" applyBorder="1" applyAlignment="1">
      <alignment horizontal="center" vertical="center"/>
    </xf>
    <xf numFmtId="49" fontId="98" fillId="0" borderId="121" xfId="0" applyNumberFormat="1" applyFont="1" applyBorder="1" applyAlignment="1">
      <alignment horizontal="center" vertical="center"/>
    </xf>
    <xf numFmtId="0" fontId="84" fillId="0" borderId="121" xfId="0" applyFont="1" applyBorder="1">
      <alignment vertical="center"/>
    </xf>
    <xf numFmtId="0" fontId="84" fillId="0" borderId="122" xfId="0" applyFont="1" applyBorder="1">
      <alignment vertical="center"/>
    </xf>
    <xf numFmtId="49" fontId="98" fillId="0" borderId="128" xfId="0" applyNumberFormat="1" applyFont="1" applyBorder="1" applyAlignment="1">
      <alignment horizontal="center" vertical="center"/>
    </xf>
    <xf numFmtId="49" fontId="98" fillId="0" borderId="4" xfId="0" applyNumberFormat="1" applyFont="1" applyBorder="1" applyAlignment="1">
      <alignment horizontal="center" vertical="center"/>
    </xf>
    <xf numFmtId="49" fontId="98" fillId="0" borderId="126" xfId="0" applyNumberFormat="1" applyFont="1" applyBorder="1" applyAlignment="1">
      <alignment horizontal="center" vertical="center"/>
    </xf>
    <xf numFmtId="49" fontId="98" fillId="0" borderId="7" xfId="0" applyNumberFormat="1" applyFont="1" applyBorder="1" applyAlignment="1">
      <alignment horizontal="center" vertical="center"/>
    </xf>
    <xf numFmtId="49" fontId="95" fillId="3" borderId="117" xfId="0" applyNumberFormat="1" applyFont="1" applyFill="1" applyBorder="1" applyAlignment="1">
      <alignment horizontal="left" vertical="center" wrapText="1" shrinkToFit="1"/>
    </xf>
    <xf numFmtId="49" fontId="95" fillId="3" borderId="114" xfId="0" applyNumberFormat="1" applyFont="1" applyFill="1" applyBorder="1" applyAlignment="1">
      <alignment horizontal="left" vertical="center" shrinkToFit="1"/>
    </xf>
    <xf numFmtId="49" fontId="95" fillId="3" borderId="126" xfId="0" applyNumberFormat="1" applyFont="1" applyFill="1" applyBorder="1" applyAlignment="1">
      <alignment horizontal="left" vertical="center" shrinkToFit="1"/>
    </xf>
    <xf numFmtId="49" fontId="95" fillId="3" borderId="223" xfId="0" applyNumberFormat="1" applyFont="1" applyFill="1" applyBorder="1" applyAlignment="1">
      <alignment horizontal="left" vertical="center" shrinkToFit="1"/>
    </xf>
    <xf numFmtId="49" fontId="95" fillId="3" borderId="0" xfId="0" applyNumberFormat="1" applyFont="1" applyFill="1" applyAlignment="1">
      <alignment horizontal="left" vertical="center" shrinkToFit="1"/>
    </xf>
    <xf numFmtId="49" fontId="95" fillId="3" borderId="110" xfId="0" applyNumberFormat="1" applyFont="1" applyFill="1" applyBorder="1" applyAlignment="1">
      <alignment horizontal="left" vertical="center" shrinkToFit="1"/>
    </xf>
    <xf numFmtId="49" fontId="95" fillId="3" borderId="116" xfId="0" applyNumberFormat="1" applyFont="1" applyFill="1" applyBorder="1" applyAlignment="1">
      <alignment horizontal="left" vertical="center" shrinkToFit="1"/>
    </xf>
    <xf numFmtId="49" fontId="95" fillId="3" borderId="6" xfId="0" applyNumberFormat="1" applyFont="1" applyFill="1" applyBorder="1" applyAlignment="1">
      <alignment horizontal="left" vertical="center" shrinkToFit="1"/>
    </xf>
    <xf numFmtId="49" fontId="95" fillId="3" borderId="7" xfId="0" applyNumberFormat="1" applyFont="1" applyFill="1" applyBorder="1" applyAlignment="1">
      <alignment horizontal="left" vertical="center" shrinkToFit="1"/>
    </xf>
    <xf numFmtId="181" fontId="101" fillId="0" borderId="115" xfId="0" applyNumberFormat="1" applyFont="1" applyBorder="1" applyAlignment="1" applyProtection="1">
      <alignment horizontal="center" vertical="center"/>
      <protection locked="0"/>
    </xf>
    <xf numFmtId="181" fontId="101" fillId="0" borderId="10" xfId="0" applyNumberFormat="1" applyFont="1" applyBorder="1" applyAlignment="1" applyProtection="1">
      <alignment horizontal="center" vertical="center"/>
      <protection locked="0"/>
    </xf>
    <xf numFmtId="181" fontId="101" fillId="0" borderId="116" xfId="0" applyNumberFormat="1" applyFont="1" applyBorder="1" applyAlignment="1" applyProtection="1">
      <alignment horizontal="center" vertical="center"/>
      <protection locked="0"/>
    </xf>
    <xf numFmtId="181" fontId="101" fillId="0" borderId="6" xfId="0" applyNumberFormat="1" applyFont="1" applyBorder="1" applyAlignment="1" applyProtection="1">
      <alignment horizontal="center" vertical="center"/>
      <protection locked="0"/>
    </xf>
    <xf numFmtId="49" fontId="95" fillId="0" borderId="117" xfId="0" applyNumberFormat="1" applyFont="1" applyBorder="1" applyAlignment="1">
      <alignment horizontal="center" vertical="center" wrapText="1"/>
    </xf>
    <xf numFmtId="49" fontId="95" fillId="0" borderId="114" xfId="0" applyNumberFormat="1" applyFont="1" applyBorder="1" applyAlignment="1">
      <alignment horizontal="center" vertical="center" wrapText="1"/>
    </xf>
    <xf numFmtId="49" fontId="95" fillId="0" borderId="126" xfId="0" applyNumberFormat="1" applyFont="1" applyBorder="1" applyAlignment="1">
      <alignment horizontal="center" vertical="center" wrapText="1"/>
    </xf>
    <xf numFmtId="49" fontId="95" fillId="0" borderId="223" xfId="0" applyNumberFormat="1" applyFont="1" applyBorder="1" applyAlignment="1">
      <alignment horizontal="center" vertical="center" wrapText="1"/>
    </xf>
    <xf numFmtId="49" fontId="95" fillId="0" borderId="0" xfId="0" applyNumberFormat="1" applyFont="1" applyAlignment="1">
      <alignment horizontal="center" vertical="center" wrapText="1"/>
    </xf>
    <xf numFmtId="49" fontId="95" fillId="0" borderId="110" xfId="0" applyNumberFormat="1" applyFont="1" applyBorder="1" applyAlignment="1">
      <alignment horizontal="center" vertical="center" wrapText="1"/>
    </xf>
    <xf numFmtId="49" fontId="95" fillId="0" borderId="116" xfId="0" applyNumberFormat="1" applyFont="1" applyBorder="1" applyAlignment="1">
      <alignment horizontal="center" vertical="center" wrapText="1"/>
    </xf>
    <xf numFmtId="49" fontId="95" fillId="0" borderId="6" xfId="0" applyNumberFormat="1" applyFont="1" applyBorder="1" applyAlignment="1">
      <alignment horizontal="center" vertical="center" wrapText="1"/>
    </xf>
    <xf numFmtId="49" fontId="95" fillId="0" borderId="7" xfId="0" applyNumberFormat="1" applyFont="1" applyBorder="1" applyAlignment="1">
      <alignment horizontal="center" vertical="center" wrapText="1"/>
    </xf>
    <xf numFmtId="0" fontId="98" fillId="0" borderId="6" xfId="0" applyFont="1" applyBorder="1" applyAlignment="1">
      <alignment horizontal="center" vertical="center"/>
    </xf>
    <xf numFmtId="49" fontId="98" fillId="0" borderId="110" xfId="0" applyNumberFormat="1" applyFont="1" applyBorder="1" applyAlignment="1">
      <alignment horizontal="center" vertical="center"/>
    </xf>
    <xf numFmtId="176" fontId="93" fillId="0" borderId="0" xfId="0" applyNumberFormat="1" applyFont="1" applyAlignment="1">
      <alignment horizontal="right" vertical="center"/>
    </xf>
    <xf numFmtId="176" fontId="93" fillId="0" borderId="2" xfId="0" applyNumberFormat="1" applyFont="1" applyBorder="1" applyAlignment="1">
      <alignment horizontal="right" vertical="center"/>
    </xf>
    <xf numFmtId="0" fontId="103" fillId="0" borderId="15" xfId="0" applyFont="1" applyBorder="1" applyAlignment="1">
      <alignment horizontal="center" vertical="center"/>
    </xf>
    <xf numFmtId="0" fontId="103" fillId="0" borderId="3" xfId="0" applyFont="1" applyBorder="1" applyAlignment="1">
      <alignment horizontal="center" vertical="center"/>
    </xf>
    <xf numFmtId="0" fontId="95" fillId="0" borderId="119" xfId="0" applyFont="1" applyBorder="1" applyAlignment="1">
      <alignment horizontal="center" vertical="center" wrapText="1"/>
    </xf>
    <xf numFmtId="0" fontId="95" fillId="0" borderId="120" xfId="0" applyFont="1" applyBorder="1" applyAlignment="1">
      <alignment horizontal="center" vertical="center" wrapText="1"/>
    </xf>
    <xf numFmtId="0" fontId="98" fillId="0" borderId="8" xfId="0" applyFont="1" applyBorder="1" applyAlignment="1" applyProtection="1">
      <alignment horizontal="center" vertical="center"/>
      <protection locked="0"/>
    </xf>
    <xf numFmtId="49" fontId="102" fillId="0" borderId="8" xfId="0" applyNumberFormat="1" applyFont="1" applyBorder="1" applyAlignment="1" applyProtection="1">
      <alignment horizontal="center" vertical="center"/>
      <protection locked="0"/>
    </xf>
    <xf numFmtId="181" fontId="98" fillId="0" borderId="118" xfId="0" applyNumberFormat="1" applyFont="1" applyBorder="1" applyAlignment="1" applyProtection="1">
      <alignment horizontal="center" vertical="center"/>
      <protection locked="0"/>
    </xf>
    <xf numFmtId="181" fontId="98" fillId="0" borderId="8" xfId="0" applyNumberFormat="1" applyFont="1" applyBorder="1" applyAlignment="1" applyProtection="1">
      <alignment horizontal="center" vertical="center"/>
      <protection locked="0"/>
    </xf>
    <xf numFmtId="49" fontId="110" fillId="0" borderId="117" xfId="0" applyNumberFormat="1" applyFont="1" applyBorder="1" applyAlignment="1">
      <alignment horizontal="center" vertical="center" wrapText="1"/>
    </xf>
    <xf numFmtId="49" fontId="110" fillId="0" borderId="114" xfId="0" applyNumberFormat="1" applyFont="1" applyBorder="1" applyAlignment="1">
      <alignment horizontal="center" vertical="center" wrapText="1"/>
    </xf>
    <xf numFmtId="49" fontId="110" fillId="0" borderId="131" xfId="0" applyNumberFormat="1" applyFont="1" applyBorder="1" applyAlignment="1">
      <alignment horizontal="center" vertical="center" wrapText="1"/>
    </xf>
    <xf numFmtId="49" fontId="110" fillId="0" borderId="223" xfId="0" applyNumberFormat="1" applyFont="1" applyBorder="1" applyAlignment="1">
      <alignment horizontal="center" vertical="center" wrapText="1"/>
    </xf>
    <xf numFmtId="49" fontId="110" fillId="0" borderId="0" xfId="0" applyNumberFormat="1" applyFont="1" applyAlignment="1">
      <alignment horizontal="center" vertical="center" wrapText="1"/>
    </xf>
    <xf numFmtId="49" fontId="110" fillId="0" borderId="12" xfId="0" applyNumberFormat="1" applyFont="1" applyBorder="1" applyAlignment="1">
      <alignment horizontal="center" vertical="center" wrapText="1"/>
    </xf>
    <xf numFmtId="49" fontId="110" fillId="0" borderId="116" xfId="0" applyNumberFormat="1" applyFont="1" applyBorder="1" applyAlignment="1">
      <alignment horizontal="center" vertical="center" wrapText="1"/>
    </xf>
    <xf numFmtId="49" fontId="110" fillId="0" borderId="6" xfId="0" applyNumberFormat="1" applyFont="1" applyBorder="1" applyAlignment="1">
      <alignment horizontal="center" vertical="center" wrapText="1"/>
    </xf>
    <xf numFmtId="49" fontId="110" fillId="0" borderId="5" xfId="0" applyNumberFormat="1" applyFont="1" applyBorder="1" applyAlignment="1">
      <alignment horizontal="center" vertical="center" wrapText="1"/>
    </xf>
    <xf numFmtId="49" fontId="110" fillId="0" borderId="126" xfId="0" applyNumberFormat="1" applyFont="1" applyBorder="1" applyAlignment="1">
      <alignment horizontal="center" vertical="center" wrapText="1"/>
    </xf>
    <xf numFmtId="49" fontId="110" fillId="0" borderId="110" xfId="0" applyNumberFormat="1" applyFont="1" applyBorder="1" applyAlignment="1">
      <alignment horizontal="center" vertical="center" wrapText="1"/>
    </xf>
    <xf numFmtId="49" fontId="110" fillId="0" borderId="7" xfId="0" applyNumberFormat="1" applyFont="1" applyBorder="1" applyAlignment="1">
      <alignment horizontal="center" vertical="center" wrapText="1"/>
    </xf>
    <xf numFmtId="49" fontId="110" fillId="0" borderId="117" xfId="0" applyNumberFormat="1" applyFont="1" applyBorder="1" applyAlignment="1">
      <alignment horizontal="left" vertical="center" wrapText="1" shrinkToFit="1"/>
    </xf>
    <xf numFmtId="49" fontId="110" fillId="0" borderId="114" xfId="0" applyNumberFormat="1" applyFont="1" applyBorder="1" applyAlignment="1">
      <alignment horizontal="left" vertical="center" shrinkToFit="1"/>
    </xf>
    <xf numFmtId="49" fontId="110" fillId="0" borderId="126" xfId="0" applyNumberFormat="1" applyFont="1" applyBorder="1" applyAlignment="1">
      <alignment horizontal="left" vertical="center" shrinkToFit="1"/>
    </xf>
    <xf numFmtId="49" fontId="110" fillId="0" borderId="223" xfId="0" applyNumberFormat="1" applyFont="1" applyBorder="1" applyAlignment="1">
      <alignment horizontal="left" vertical="center" shrinkToFit="1"/>
    </xf>
    <xf numFmtId="49" fontId="110" fillId="0" borderId="0" xfId="0" applyNumberFormat="1" applyFont="1" applyAlignment="1">
      <alignment horizontal="left" vertical="center" shrinkToFit="1"/>
    </xf>
    <xf numFmtId="49" fontId="110" fillId="0" borderId="110" xfId="0" applyNumberFormat="1" applyFont="1" applyBorder="1" applyAlignment="1">
      <alignment horizontal="left" vertical="center" shrinkToFit="1"/>
    </xf>
    <xf numFmtId="49" fontId="110" fillId="0" borderId="116" xfId="0" applyNumberFormat="1" applyFont="1" applyBorder="1" applyAlignment="1">
      <alignment horizontal="left" vertical="center" shrinkToFit="1"/>
    </xf>
    <xf numFmtId="49" fontId="110" fillId="0" borderId="6" xfId="0" applyNumberFormat="1" applyFont="1" applyBorder="1" applyAlignment="1">
      <alignment horizontal="left" vertical="center" shrinkToFit="1"/>
    </xf>
    <xf numFmtId="49" fontId="110" fillId="0" borderId="7" xfId="0" applyNumberFormat="1" applyFont="1" applyBorder="1" applyAlignment="1">
      <alignment horizontal="left" vertical="center" shrinkToFit="1"/>
    </xf>
    <xf numFmtId="49" fontId="102" fillId="0" borderId="118" xfId="0" applyNumberFormat="1" applyFont="1" applyBorder="1" applyAlignment="1">
      <alignment horizontal="center" vertical="center"/>
    </xf>
    <xf numFmtId="49" fontId="98" fillId="0" borderId="129" xfId="0" applyNumberFormat="1" applyFont="1" applyBorder="1" applyAlignment="1">
      <alignment horizontal="center" vertical="center"/>
    </xf>
    <xf numFmtId="49" fontId="98" fillId="0" borderId="130" xfId="0" applyNumberFormat="1" applyFont="1" applyBorder="1" applyAlignment="1">
      <alignment horizontal="center" vertical="center"/>
    </xf>
    <xf numFmtId="0" fontId="95" fillId="0" borderId="2" xfId="0" applyFont="1" applyBorder="1" applyAlignment="1">
      <alignment horizontal="center" vertical="center"/>
    </xf>
    <xf numFmtId="0" fontId="99" fillId="0" borderId="118" xfId="0" applyFont="1" applyBorder="1" applyAlignment="1">
      <alignment horizontal="center" vertical="center"/>
    </xf>
    <xf numFmtId="0" fontId="99" fillId="0" borderId="8" xfId="0" applyFont="1" applyBorder="1" applyAlignment="1">
      <alignment horizontal="center" vertical="center"/>
    </xf>
    <xf numFmtId="49" fontId="95" fillId="0" borderId="124" xfId="0" applyNumberFormat="1" applyFont="1" applyBorder="1" applyAlignment="1">
      <alignment horizontal="center" vertical="center" textRotation="255"/>
    </xf>
    <xf numFmtId="49" fontId="95" fillId="0" borderId="125" xfId="0" applyNumberFormat="1" applyFont="1" applyBorder="1" applyAlignment="1">
      <alignment horizontal="center" vertical="center" textRotation="255"/>
    </xf>
    <xf numFmtId="49" fontId="98" fillId="0" borderId="10" xfId="0" applyNumberFormat="1" applyFont="1" applyBorder="1" applyAlignment="1">
      <alignment horizontal="center" vertical="center"/>
    </xf>
    <xf numFmtId="49" fontId="98" fillId="0" borderId="113" xfId="0" applyNumberFormat="1" applyFont="1" applyBorder="1" applyAlignment="1">
      <alignment horizontal="center" vertical="center"/>
    </xf>
    <xf numFmtId="49" fontId="95" fillId="3" borderId="117" xfId="0" applyNumberFormat="1" applyFont="1" applyFill="1" applyBorder="1" applyAlignment="1">
      <alignment horizontal="center" vertical="center" wrapText="1"/>
    </xf>
    <xf numFmtId="49" fontId="95" fillId="3" borderId="114" xfId="0" applyNumberFormat="1" applyFont="1" applyFill="1" applyBorder="1" applyAlignment="1">
      <alignment horizontal="center" vertical="center" wrapText="1"/>
    </xf>
    <xf numFmtId="49" fontId="95" fillId="3" borderId="131" xfId="0" applyNumberFormat="1" applyFont="1" applyFill="1" applyBorder="1" applyAlignment="1">
      <alignment horizontal="center" vertical="center" wrapText="1"/>
    </xf>
    <xf numFmtId="49" fontId="95" fillId="3" borderId="223" xfId="0" applyNumberFormat="1" applyFont="1" applyFill="1" applyBorder="1" applyAlignment="1">
      <alignment horizontal="center" vertical="center" wrapText="1"/>
    </xf>
    <xf numFmtId="49" fontId="95" fillId="3" borderId="0" xfId="0" applyNumberFormat="1" applyFont="1" applyFill="1" applyAlignment="1">
      <alignment horizontal="center" vertical="center" wrapText="1"/>
    </xf>
    <xf numFmtId="49" fontId="95" fillId="3" borderId="12" xfId="0" applyNumberFormat="1" applyFont="1" applyFill="1" applyBorder="1" applyAlignment="1">
      <alignment horizontal="center" vertical="center" wrapText="1"/>
    </xf>
    <xf numFmtId="49" fontId="95" fillId="3" borderId="116" xfId="0" applyNumberFormat="1" applyFont="1" applyFill="1" applyBorder="1" applyAlignment="1">
      <alignment horizontal="center" vertical="center" wrapText="1"/>
    </xf>
    <xf numFmtId="49" fontId="95" fillId="3" borderId="6" xfId="0" applyNumberFormat="1" applyFont="1" applyFill="1" applyBorder="1" applyAlignment="1">
      <alignment horizontal="center" vertical="center" wrapText="1"/>
    </xf>
    <xf numFmtId="49" fontId="95" fillId="3" borderId="5" xfId="0" applyNumberFormat="1" applyFont="1" applyFill="1" applyBorder="1" applyAlignment="1">
      <alignment horizontal="center" vertical="center" wrapText="1"/>
    </xf>
    <xf numFmtId="0" fontId="99" fillId="0" borderId="8" xfId="0" applyFont="1" applyBorder="1" applyAlignment="1">
      <alignment horizontal="left" vertical="center"/>
    </xf>
    <xf numFmtId="0" fontId="99" fillId="0" borderId="123" xfId="0" applyFont="1" applyBorder="1" applyAlignment="1">
      <alignment horizontal="left" vertical="center"/>
    </xf>
    <xf numFmtId="0" fontId="96" fillId="0" borderId="0" xfId="0" applyFont="1" applyAlignment="1">
      <alignment horizontal="center" vertical="center"/>
    </xf>
    <xf numFmtId="49" fontId="95" fillId="0" borderId="8" xfId="0" applyNumberFormat="1" applyFont="1" applyBorder="1" applyAlignment="1">
      <alignment horizontal="left" vertical="center"/>
    </xf>
    <xf numFmtId="49" fontId="95" fillId="0" borderId="123" xfId="0" applyNumberFormat="1" applyFont="1" applyBorder="1" applyAlignment="1">
      <alignment horizontal="left" vertical="center"/>
    </xf>
    <xf numFmtId="0" fontId="95" fillId="0" borderId="8" xfId="0" applyFont="1" applyBorder="1" applyAlignment="1">
      <alignment horizontal="center" vertical="center"/>
    </xf>
    <xf numFmtId="0" fontId="96" fillId="0" borderId="12" xfId="0" applyFont="1" applyBorder="1" applyAlignment="1">
      <alignment horizontal="center" vertical="center"/>
    </xf>
    <xf numFmtId="0" fontId="95" fillId="0" borderId="6" xfId="0" applyFont="1" applyBorder="1" applyAlignment="1">
      <alignment horizontal="center" vertical="center"/>
    </xf>
    <xf numFmtId="0" fontId="98" fillId="0" borderId="5" xfId="0" applyFont="1" applyBorder="1" applyAlignment="1">
      <alignment horizontal="center" vertical="center"/>
    </xf>
    <xf numFmtId="49" fontId="95" fillId="0" borderId="8" xfId="0" applyNumberFormat="1" applyFont="1" applyBorder="1" applyAlignment="1">
      <alignment horizontal="right" vertical="center"/>
    </xf>
    <xf numFmtId="0" fontId="95" fillId="0" borderId="0" xfId="0" applyFont="1" applyAlignment="1">
      <alignment horizontal="center" vertical="center"/>
    </xf>
    <xf numFmtId="49" fontId="100" fillId="0" borderId="8" xfId="0" applyNumberFormat="1" applyFont="1" applyBorder="1" applyAlignment="1">
      <alignment horizontal="left" vertical="center"/>
    </xf>
    <xf numFmtId="49" fontId="100" fillId="0" borderId="123" xfId="0" applyNumberFormat="1" applyFont="1" applyBorder="1" applyAlignment="1">
      <alignment horizontal="left" vertical="center"/>
    </xf>
    <xf numFmtId="185" fontId="98" fillId="0" borderId="114" xfId="0" applyNumberFormat="1" applyFont="1" applyBorder="1" applyAlignment="1">
      <alignment horizontal="center" vertical="center"/>
    </xf>
    <xf numFmtId="49" fontId="98" fillId="0" borderId="0" xfId="0" applyNumberFormat="1" applyFont="1" applyAlignment="1">
      <alignment horizontal="left" vertical="center" shrinkToFit="1"/>
    </xf>
    <xf numFmtId="49" fontId="98" fillId="0" borderId="12" xfId="0" applyNumberFormat="1" applyFont="1" applyBorder="1" applyAlignment="1">
      <alignment horizontal="left" vertical="center" shrinkToFit="1"/>
    </xf>
    <xf numFmtId="0" fontId="96" fillId="0" borderId="6" xfId="0" applyFont="1" applyBorder="1" applyAlignment="1">
      <alignment horizontal="center" vertical="center" wrapText="1"/>
    </xf>
    <xf numFmtId="0" fontId="96" fillId="0" borderId="6" xfId="0" applyFont="1" applyBorder="1" applyAlignment="1">
      <alignment horizontal="center" vertical="center"/>
    </xf>
    <xf numFmtId="0" fontId="98" fillId="0" borderId="8" xfId="0" applyFont="1" applyBorder="1" applyAlignment="1">
      <alignment horizontal="center" vertical="center"/>
    </xf>
    <xf numFmtId="0" fontId="98" fillId="0" borderId="2" xfId="0" applyFont="1" applyBorder="1" applyAlignment="1">
      <alignment horizontal="center" vertical="center"/>
    </xf>
    <xf numFmtId="0" fontId="98" fillId="0" borderId="3" xfId="0" applyFont="1" applyBorder="1" applyAlignment="1">
      <alignment horizontal="center" vertical="center"/>
    </xf>
    <xf numFmtId="0" fontId="95" fillId="0" borderId="38" xfId="0" applyFont="1" applyBorder="1" applyAlignment="1">
      <alignment horizontal="center" vertical="center" wrapText="1"/>
    </xf>
    <xf numFmtId="0" fontId="95" fillId="0" borderId="38" xfId="0" applyFont="1" applyBorder="1" applyAlignment="1">
      <alignment horizontal="center" vertical="center"/>
    </xf>
    <xf numFmtId="0" fontId="95" fillId="0" borderId="120" xfId="0" applyFont="1" applyBorder="1" applyAlignment="1">
      <alignment horizontal="center" vertical="center"/>
    </xf>
    <xf numFmtId="0" fontId="95" fillId="0" borderId="20" xfId="0" applyFont="1" applyBorder="1" applyAlignment="1">
      <alignment horizontal="center" vertical="center"/>
    </xf>
    <xf numFmtId="0" fontId="95" fillId="0" borderId="21" xfId="0" applyFont="1" applyBorder="1" applyAlignment="1">
      <alignment horizontal="center" vertical="center"/>
    </xf>
    <xf numFmtId="0" fontId="93" fillId="0" borderId="0" xfId="0" applyFont="1" applyAlignment="1">
      <alignment horizontal="center" vertical="center"/>
    </xf>
    <xf numFmtId="49" fontId="95" fillId="0" borderId="120" xfId="0" applyNumberFormat="1" applyFont="1" applyBorder="1" applyAlignment="1">
      <alignment horizontal="center" vertical="center" textRotation="255"/>
    </xf>
    <xf numFmtId="49" fontId="96" fillId="0" borderId="10" xfId="0" applyNumberFormat="1" applyFont="1" applyBorder="1" applyAlignment="1">
      <alignment horizontal="center" vertical="center"/>
    </xf>
    <xf numFmtId="0" fontId="96" fillId="0" borderId="0" xfId="0" applyFont="1" applyAlignment="1" applyProtection="1">
      <alignment horizontal="center" vertical="center"/>
      <protection locked="0"/>
    </xf>
    <xf numFmtId="0" fontId="96" fillId="0" borderId="12" xfId="0" applyFont="1" applyBorder="1" applyAlignment="1" applyProtection="1">
      <alignment horizontal="center" vertical="center"/>
      <protection locked="0"/>
    </xf>
    <xf numFmtId="49" fontId="96" fillId="0" borderId="14" xfId="0" applyNumberFormat="1" applyFont="1" applyBorder="1" applyAlignment="1">
      <alignment horizontal="center" vertical="center"/>
    </xf>
    <xf numFmtId="49" fontId="95" fillId="0" borderId="2" xfId="0" applyNumberFormat="1" applyFont="1" applyBorder="1" applyAlignment="1">
      <alignment horizontal="center" vertical="center"/>
    </xf>
    <xf numFmtId="49" fontId="97" fillId="0" borderId="2" xfId="0" applyNumberFormat="1" applyFont="1" applyBorder="1" applyAlignment="1">
      <alignment horizontal="center" vertical="center" shrinkToFit="1"/>
    </xf>
    <xf numFmtId="49" fontId="97" fillId="0" borderId="3" xfId="0" applyNumberFormat="1" applyFont="1" applyBorder="1" applyAlignment="1">
      <alignment horizontal="center" vertical="center" shrinkToFit="1"/>
    </xf>
    <xf numFmtId="0" fontId="95" fillId="0" borderId="127" xfId="0" applyFont="1" applyBorder="1" applyAlignment="1">
      <alignment horizontal="center" vertical="center" wrapText="1"/>
    </xf>
    <xf numFmtId="185" fontId="98" fillId="0" borderId="114" xfId="0" applyNumberFormat="1" applyFont="1" applyBorder="1" applyAlignment="1" applyProtection="1">
      <alignment horizontal="center" vertical="center"/>
      <protection locked="0"/>
    </xf>
    <xf numFmtId="0" fontId="96" fillId="0" borderId="10" xfId="0" applyFont="1" applyBorder="1" applyAlignment="1" applyProtection="1">
      <alignment horizontal="center" vertical="center"/>
      <protection locked="0"/>
    </xf>
    <xf numFmtId="0" fontId="96" fillId="0" borderId="14" xfId="0" applyFont="1" applyBorder="1" applyAlignment="1" applyProtection="1">
      <alignment horizontal="center" vertical="center"/>
      <protection locked="0"/>
    </xf>
    <xf numFmtId="49" fontId="97" fillId="0" borderId="2" xfId="0" applyNumberFormat="1" applyFont="1" applyBorder="1" applyAlignment="1" applyProtection="1">
      <alignment horizontal="center" vertical="center" shrinkToFit="1"/>
      <protection locked="0"/>
    </xf>
    <xf numFmtId="49" fontId="97" fillId="0" borderId="3" xfId="0" applyNumberFormat="1" applyFont="1" applyBorder="1" applyAlignment="1" applyProtection="1">
      <alignment horizontal="center" vertical="center" shrinkToFit="1"/>
      <protection locked="0"/>
    </xf>
    <xf numFmtId="0" fontId="98" fillId="0" borderId="6" xfId="0" applyFont="1" applyBorder="1" applyAlignment="1" applyProtection="1">
      <alignment horizontal="center" vertical="center"/>
      <protection locked="0"/>
    </xf>
    <xf numFmtId="0" fontId="98" fillId="0" borderId="5" xfId="0" applyFont="1" applyBorder="1" applyAlignment="1" applyProtection="1">
      <alignment horizontal="center" vertical="center"/>
      <protection locked="0"/>
    </xf>
    <xf numFmtId="49" fontId="79" fillId="0" borderId="0" xfId="0" applyNumberFormat="1" applyFont="1" applyAlignment="1" applyProtection="1">
      <alignment horizontal="left" vertical="center"/>
      <protection locked="0"/>
    </xf>
    <xf numFmtId="0" fontId="103" fillId="0" borderId="10" xfId="0" applyFont="1" applyBorder="1" applyAlignment="1">
      <alignment horizontal="center" vertical="center" shrinkToFit="1"/>
    </xf>
    <xf numFmtId="0" fontId="103" fillId="0" borderId="113" xfId="0" applyFont="1" applyBorder="1" applyAlignment="1">
      <alignment horizontal="center" vertical="center" shrinkToFit="1"/>
    </xf>
    <xf numFmtId="0" fontId="103" fillId="0" borderId="0" xfId="0" applyFont="1" applyAlignment="1" applyProtection="1">
      <alignment horizontal="center" vertical="center"/>
      <protection locked="0"/>
    </xf>
    <xf numFmtId="49" fontId="98" fillId="0" borderId="129" xfId="0" applyNumberFormat="1" applyFont="1" applyBorder="1" applyAlignment="1" applyProtection="1">
      <alignment horizontal="center" vertical="center"/>
      <protection locked="0"/>
    </xf>
    <xf numFmtId="49" fontId="98" fillId="0" borderId="130" xfId="0" applyNumberFormat="1" applyFont="1" applyBorder="1" applyAlignment="1" applyProtection="1">
      <alignment horizontal="center" vertical="center"/>
      <protection locked="0"/>
    </xf>
    <xf numFmtId="0" fontId="98" fillId="0" borderId="2" xfId="0" applyFont="1" applyBorder="1" applyAlignment="1" applyProtection="1">
      <alignment horizontal="center" vertical="center"/>
      <protection locked="0"/>
    </xf>
    <xf numFmtId="0" fontId="98" fillId="0" borderId="3" xfId="0" applyFont="1" applyBorder="1" applyAlignment="1" applyProtection="1">
      <alignment horizontal="center" vertical="center"/>
      <protection locked="0"/>
    </xf>
    <xf numFmtId="178" fontId="98" fillId="0" borderId="6" xfId="0" applyNumberFormat="1" applyFont="1" applyBorder="1" applyAlignment="1" applyProtection="1">
      <alignment horizontal="center" vertical="center"/>
      <protection locked="0"/>
    </xf>
    <xf numFmtId="0" fontId="99" fillId="0" borderId="0" xfId="0" applyFont="1" applyAlignment="1" applyProtection="1">
      <alignment horizontal="center" vertical="center" wrapText="1"/>
      <protection locked="0"/>
    </xf>
    <xf numFmtId="0" fontId="103" fillId="0" borderId="0" xfId="0" applyFont="1" applyAlignment="1" applyProtection="1">
      <alignment horizontal="center" vertical="center" wrapText="1"/>
      <protection locked="0"/>
    </xf>
    <xf numFmtId="0" fontId="104" fillId="0" borderId="119" xfId="0" applyFont="1" applyBorder="1" applyAlignment="1">
      <alignment horizontal="center" vertical="center" textRotation="255"/>
    </xf>
    <xf numFmtId="0" fontId="104" fillId="0" borderId="120" xfId="0" applyFont="1" applyBorder="1" applyAlignment="1">
      <alignment horizontal="center" vertical="center" textRotation="255"/>
    </xf>
    <xf numFmtId="176" fontId="93" fillId="0" borderId="0" xfId="0" applyNumberFormat="1" applyFont="1" applyAlignment="1" applyProtection="1">
      <alignment horizontal="right" vertical="center"/>
      <protection locked="0"/>
    </xf>
    <xf numFmtId="176" fontId="93" fillId="0" borderId="2" xfId="0" applyNumberFormat="1" applyFont="1" applyBorder="1" applyAlignment="1" applyProtection="1">
      <alignment horizontal="right" vertical="center"/>
      <protection locked="0"/>
    </xf>
    <xf numFmtId="0" fontId="99" fillId="0" borderId="118" xfId="0" applyFont="1" applyBorder="1" applyAlignment="1" applyProtection="1">
      <alignment horizontal="center" vertical="center"/>
      <protection locked="0"/>
    </xf>
    <xf numFmtId="0" fontId="99" fillId="0" borderId="8" xfId="0" applyFont="1" applyBorder="1" applyAlignment="1" applyProtection="1">
      <alignment horizontal="center" vertical="center"/>
      <protection locked="0"/>
    </xf>
    <xf numFmtId="0" fontId="194" fillId="0" borderId="338" xfId="16" applyFont="1" applyBorder="1" applyAlignment="1">
      <alignment horizontal="center" vertical="center"/>
    </xf>
    <xf numFmtId="0" fontId="194" fillId="0" borderId="339" xfId="16" applyFont="1" applyBorder="1" applyAlignment="1">
      <alignment horizontal="center" vertical="center"/>
    </xf>
    <xf numFmtId="0" fontId="194" fillId="0" borderId="340" xfId="16" applyFont="1" applyBorder="1" applyAlignment="1">
      <alignment horizontal="center" vertical="center"/>
    </xf>
    <xf numFmtId="0" fontId="194" fillId="0" borderId="342" xfId="16" applyFont="1" applyBorder="1" applyAlignment="1">
      <alignment horizontal="center" vertical="center"/>
    </xf>
    <xf numFmtId="0" fontId="194" fillId="0" borderId="343" xfId="16" applyFont="1" applyBorder="1" applyAlignment="1">
      <alignment horizontal="center" vertical="center"/>
    </xf>
    <xf numFmtId="0" fontId="194" fillId="0" borderId="344" xfId="16" applyFont="1" applyBorder="1" applyAlignment="1">
      <alignment horizontal="center" vertical="center"/>
    </xf>
    <xf numFmtId="0" fontId="214" fillId="0" borderId="388" xfId="16" applyFont="1" applyBorder="1" applyAlignment="1">
      <alignment horizontal="center" vertical="center"/>
    </xf>
    <xf numFmtId="191" fontId="194" fillId="0" borderId="338" xfId="16" applyNumberFormat="1" applyFont="1" applyBorder="1" applyAlignment="1">
      <alignment horizontal="center" vertical="center"/>
    </xf>
    <xf numFmtId="191" fontId="194" fillId="0" borderId="339" xfId="16" applyNumberFormat="1" applyFont="1" applyBorder="1" applyAlignment="1">
      <alignment horizontal="center" vertical="center"/>
    </xf>
    <xf numFmtId="191" fontId="194" fillId="0" borderId="340" xfId="16" applyNumberFormat="1" applyFont="1" applyBorder="1" applyAlignment="1">
      <alignment horizontal="center" vertical="center"/>
    </xf>
    <xf numFmtId="191" fontId="194" fillId="0" borderId="342" xfId="16" applyNumberFormat="1" applyFont="1" applyBorder="1" applyAlignment="1">
      <alignment horizontal="center" vertical="center"/>
    </xf>
    <xf numFmtId="191" fontId="194" fillId="0" borderId="343" xfId="16" applyNumberFormat="1" applyFont="1" applyBorder="1" applyAlignment="1">
      <alignment horizontal="center" vertical="center"/>
    </xf>
    <xf numFmtId="191" fontId="194" fillId="0" borderId="344" xfId="16" applyNumberFormat="1" applyFont="1" applyBorder="1" applyAlignment="1">
      <alignment horizontal="center" vertical="center"/>
    </xf>
    <xf numFmtId="0" fontId="186" fillId="0" borderId="0" xfId="16" applyFont="1" applyAlignment="1">
      <alignment horizontal="center" vertical="center"/>
    </xf>
    <xf numFmtId="0" fontId="183" fillId="0" borderId="0" xfId="16" applyFont="1"/>
    <xf numFmtId="0" fontId="200" fillId="0" borderId="375" xfId="16" applyFont="1" applyBorder="1" applyAlignment="1">
      <alignment horizontal="center" vertical="center"/>
    </xf>
    <xf numFmtId="0" fontId="200" fillId="0" borderId="376" xfId="16" applyFont="1" applyBorder="1" applyAlignment="1">
      <alignment horizontal="center" vertical="center"/>
    </xf>
    <xf numFmtId="0" fontId="200" fillId="0" borderId="377" xfId="16" applyFont="1" applyBorder="1" applyAlignment="1">
      <alignment horizontal="center" vertical="center"/>
    </xf>
    <xf numFmtId="0" fontId="200" fillId="0" borderId="360" xfId="16" applyFont="1" applyBorder="1" applyAlignment="1">
      <alignment horizontal="center" vertical="center"/>
    </xf>
    <xf numFmtId="0" fontId="200" fillId="0" borderId="361" xfId="16" applyFont="1" applyBorder="1" applyAlignment="1">
      <alignment horizontal="center" vertical="center"/>
    </xf>
    <xf numFmtId="0" fontId="200" fillId="0" borderId="362" xfId="16" applyFont="1" applyBorder="1" applyAlignment="1">
      <alignment horizontal="center" vertical="center"/>
    </xf>
    <xf numFmtId="0" fontId="200" fillId="0" borderId="364" xfId="16" applyFont="1" applyBorder="1" applyAlignment="1">
      <alignment horizontal="center" vertical="center"/>
    </xf>
    <xf numFmtId="0" fontId="200" fillId="0" borderId="365" xfId="16" applyFont="1" applyBorder="1" applyAlignment="1">
      <alignment horizontal="center" vertical="center"/>
    </xf>
    <xf numFmtId="0" fontId="200" fillId="0" borderId="378" xfId="16" applyFont="1" applyBorder="1" applyAlignment="1">
      <alignment horizontal="center" vertical="center"/>
    </xf>
    <xf numFmtId="0" fontId="200" fillId="0" borderId="363" xfId="16" applyFont="1" applyBorder="1" applyAlignment="1">
      <alignment horizontal="center" vertical="center"/>
    </xf>
    <xf numFmtId="0" fontId="200" fillId="0" borderId="0" xfId="16" applyFont="1" applyAlignment="1">
      <alignment horizontal="center" vertical="center"/>
    </xf>
    <xf numFmtId="0" fontId="200" fillId="0" borderId="379" xfId="16" applyFont="1" applyBorder="1" applyAlignment="1">
      <alignment horizontal="center" vertical="center"/>
    </xf>
    <xf numFmtId="0" fontId="200" fillId="0" borderId="342" xfId="16" applyFont="1" applyBorder="1" applyAlignment="1">
      <alignment horizontal="center" vertical="center"/>
    </xf>
    <xf numFmtId="0" fontId="200" fillId="0" borderId="343" xfId="16" applyFont="1" applyBorder="1" applyAlignment="1">
      <alignment horizontal="center" vertical="center"/>
    </xf>
    <xf numFmtId="0" fontId="200" fillId="0" borderId="344" xfId="16" applyFont="1" applyBorder="1" applyAlignment="1">
      <alignment horizontal="center" vertical="center"/>
    </xf>
    <xf numFmtId="0" fontId="200" fillId="0" borderId="338" xfId="16" applyFont="1" applyBorder="1" applyAlignment="1">
      <alignment horizontal="center" vertical="center"/>
    </xf>
    <xf numFmtId="0" fontId="200" fillId="0" borderId="339" xfId="16" applyFont="1" applyBorder="1" applyAlignment="1">
      <alignment horizontal="center" vertical="center"/>
    </xf>
    <xf numFmtId="0" fontId="200" fillId="0" borderId="340" xfId="16" applyFont="1" applyBorder="1" applyAlignment="1">
      <alignment horizontal="center" vertical="center"/>
    </xf>
    <xf numFmtId="0" fontId="200" fillId="22" borderId="338" xfId="16" applyFont="1" applyFill="1" applyBorder="1" applyAlignment="1">
      <alignment horizontal="center" vertical="center"/>
    </xf>
    <xf numFmtId="0" fontId="200" fillId="22" borderId="339" xfId="16" applyFont="1" applyFill="1" applyBorder="1" applyAlignment="1">
      <alignment horizontal="center" vertical="center"/>
    </xf>
    <xf numFmtId="0" fontId="200" fillId="22" borderId="340" xfId="16" applyFont="1" applyFill="1" applyBorder="1" applyAlignment="1">
      <alignment horizontal="center" vertical="center"/>
    </xf>
    <xf numFmtId="0" fontId="200" fillId="22" borderId="363" xfId="16" applyFont="1" applyFill="1" applyBorder="1" applyAlignment="1">
      <alignment horizontal="center" vertical="center"/>
    </xf>
    <xf numFmtId="0" fontId="200" fillId="22" borderId="0" xfId="16" applyFont="1" applyFill="1" applyAlignment="1">
      <alignment horizontal="center" vertical="center"/>
    </xf>
    <xf numFmtId="0" fontId="200" fillId="22" borderId="379" xfId="16" applyFont="1" applyFill="1" applyBorder="1" applyAlignment="1">
      <alignment horizontal="center" vertical="center"/>
    </xf>
    <xf numFmtId="0" fontId="200" fillId="22" borderId="342" xfId="16" applyFont="1" applyFill="1" applyBorder="1" applyAlignment="1">
      <alignment horizontal="center" vertical="center"/>
    </xf>
    <xf numFmtId="0" fontId="200" fillId="22" borderId="343" xfId="16" applyFont="1" applyFill="1" applyBorder="1" applyAlignment="1">
      <alignment horizontal="center" vertical="center"/>
    </xf>
    <xf numFmtId="0" fontId="200" fillId="22" borderId="344" xfId="16" applyFont="1" applyFill="1" applyBorder="1" applyAlignment="1">
      <alignment horizontal="center" vertical="center"/>
    </xf>
    <xf numFmtId="0" fontId="200" fillId="22" borderId="338" xfId="16" applyFont="1" applyFill="1" applyBorder="1" applyAlignment="1">
      <alignment horizontal="left" vertical="center"/>
    </xf>
    <xf numFmtId="0" fontId="200" fillId="22" borderId="339" xfId="16" applyFont="1" applyFill="1" applyBorder="1" applyAlignment="1">
      <alignment horizontal="left" vertical="center"/>
    </xf>
    <xf numFmtId="0" fontId="200" fillId="22" borderId="340" xfId="16" applyFont="1" applyFill="1" applyBorder="1" applyAlignment="1">
      <alignment horizontal="left" vertical="center"/>
    </xf>
    <xf numFmtId="0" fontId="200" fillId="22" borderId="363" xfId="16" applyFont="1" applyFill="1" applyBorder="1" applyAlignment="1">
      <alignment horizontal="left" vertical="center"/>
    </xf>
    <xf numFmtId="0" fontId="200" fillId="22" borderId="0" xfId="16" applyFont="1" applyFill="1" applyAlignment="1">
      <alignment horizontal="left" vertical="center"/>
    </xf>
    <xf numFmtId="0" fontId="200" fillId="22" borderId="379" xfId="16" applyFont="1" applyFill="1" applyBorder="1" applyAlignment="1">
      <alignment horizontal="left" vertical="center"/>
    </xf>
    <xf numFmtId="0" fontId="200" fillId="22" borderId="342" xfId="16" applyFont="1" applyFill="1" applyBorder="1" applyAlignment="1">
      <alignment horizontal="left" vertical="center"/>
    </xf>
    <xf numFmtId="0" fontId="200" fillId="22" borderId="343" xfId="16" applyFont="1" applyFill="1" applyBorder="1" applyAlignment="1">
      <alignment horizontal="left" vertical="center"/>
    </xf>
    <xf numFmtId="0" fontId="200" fillId="22" borderId="344" xfId="16" applyFont="1" applyFill="1" applyBorder="1" applyAlignment="1">
      <alignment horizontal="left" vertical="center"/>
    </xf>
    <xf numFmtId="0" fontId="207" fillId="0" borderId="20" xfId="16" applyFont="1" applyBorder="1" applyAlignment="1">
      <alignment horizontal="center" vertical="center"/>
    </xf>
    <xf numFmtId="0" fontId="200" fillId="0" borderId="386" xfId="16" applyFont="1" applyBorder="1" applyAlignment="1">
      <alignment horizontal="center" vertical="center"/>
    </xf>
    <xf numFmtId="0" fontId="200" fillId="0" borderId="10" xfId="16" applyFont="1" applyBorder="1" applyAlignment="1">
      <alignment horizontal="center" vertical="center"/>
    </xf>
    <xf numFmtId="0" fontId="200" fillId="0" borderId="387" xfId="16" applyFont="1" applyBorder="1" applyAlignment="1">
      <alignment horizontal="center" vertical="center"/>
    </xf>
    <xf numFmtId="0" fontId="192" fillId="0" borderId="341" xfId="16" applyFont="1" applyBorder="1" applyAlignment="1">
      <alignment horizontal="center" vertical="center" textRotation="255"/>
    </xf>
    <xf numFmtId="0" fontId="192" fillId="0" borderId="346" xfId="16" applyFont="1" applyBorder="1" applyAlignment="1">
      <alignment horizontal="center" vertical="center" textRotation="255"/>
    </xf>
    <xf numFmtId="0" fontId="192" fillId="0" borderId="345" xfId="16" applyFont="1" applyBorder="1" applyAlignment="1">
      <alignment horizontal="center" vertical="center" textRotation="255"/>
    </xf>
    <xf numFmtId="190" fontId="190" fillId="0" borderId="341" xfId="16" applyNumberFormat="1" applyFont="1" applyBorder="1" applyAlignment="1">
      <alignment horizontal="center" vertical="center" textRotation="255" wrapText="1"/>
    </xf>
    <xf numFmtId="190" fontId="191" fillId="0" borderId="341" xfId="16" applyNumberFormat="1" applyFont="1" applyBorder="1" applyAlignment="1">
      <alignment horizontal="center" vertical="center" textRotation="255"/>
    </xf>
    <xf numFmtId="190" fontId="191" fillId="0" borderId="346" xfId="16" applyNumberFormat="1" applyFont="1" applyBorder="1" applyAlignment="1">
      <alignment horizontal="center" vertical="center" textRotation="255"/>
    </xf>
    <xf numFmtId="190" fontId="191" fillId="0" borderId="345" xfId="16" applyNumberFormat="1" applyFont="1" applyBorder="1" applyAlignment="1">
      <alignment horizontal="center" vertical="center" textRotation="255"/>
    </xf>
    <xf numFmtId="0" fontId="187" fillId="0" borderId="341" xfId="16" applyFont="1" applyBorder="1" applyAlignment="1">
      <alignment horizontal="center" vertical="center"/>
    </xf>
    <xf numFmtId="0" fontId="189" fillId="0" borderId="345" xfId="16" applyFont="1" applyBorder="1"/>
    <xf numFmtId="0" fontId="187" fillId="0" borderId="0" xfId="16" applyFont="1" applyAlignment="1">
      <alignment horizontal="center" vertical="center"/>
    </xf>
    <xf numFmtId="0" fontId="188" fillId="0" borderId="338" xfId="16" applyFont="1" applyBorder="1" applyAlignment="1">
      <alignment horizontal="center" vertical="center"/>
    </xf>
    <xf numFmtId="0" fontId="189" fillId="0" borderId="339" xfId="16" applyFont="1" applyBorder="1"/>
    <xf numFmtId="0" fontId="189" fillId="0" borderId="340" xfId="16" applyFont="1" applyBorder="1"/>
    <xf numFmtId="0" fontId="189" fillId="0" borderId="342" xfId="16" applyFont="1" applyBorder="1"/>
    <xf numFmtId="0" fontId="189" fillId="0" borderId="343" xfId="16" applyFont="1" applyBorder="1"/>
    <xf numFmtId="0" fontId="189" fillId="0" borderId="344" xfId="16" applyFont="1" applyBorder="1"/>
    <xf numFmtId="0" fontId="187" fillId="0" borderId="0" xfId="16" applyFont="1" applyAlignment="1">
      <alignment horizontal="right" vertical="center"/>
    </xf>
    <xf numFmtId="0" fontId="205" fillId="0" borderId="338" xfId="16" applyFont="1" applyBorder="1" applyAlignment="1">
      <alignment horizontal="center" vertical="center"/>
    </xf>
    <xf numFmtId="0" fontId="206" fillId="0" borderId="339" xfId="16" applyFont="1" applyBorder="1"/>
    <xf numFmtId="0" fontId="206" fillId="0" borderId="340" xfId="16" applyFont="1" applyBorder="1"/>
    <xf numFmtId="0" fontId="206" fillId="0" borderId="342" xfId="16" applyFont="1" applyBorder="1"/>
    <xf numFmtId="0" fontId="206" fillId="0" borderId="343" xfId="16" applyFont="1" applyBorder="1"/>
    <xf numFmtId="0" fontId="206" fillId="0" borderId="344" xfId="16" applyFont="1" applyBorder="1"/>
    <xf numFmtId="0" fontId="193" fillId="0" borderId="338" xfId="16" applyFont="1" applyBorder="1" applyAlignment="1">
      <alignment horizontal="center" vertical="center"/>
    </xf>
    <xf numFmtId="0" fontId="184" fillId="0" borderId="338" xfId="16" applyFont="1" applyBorder="1" applyAlignment="1">
      <alignment horizontal="center" vertical="center"/>
    </xf>
    <xf numFmtId="0" fontId="195" fillId="20" borderId="339" xfId="16" applyFont="1" applyFill="1" applyBorder="1" applyAlignment="1">
      <alignment horizontal="center"/>
    </xf>
    <xf numFmtId="0" fontId="195" fillId="20" borderId="338" xfId="16" applyFont="1" applyFill="1" applyBorder="1" applyAlignment="1">
      <alignment horizontal="center"/>
    </xf>
    <xf numFmtId="0" fontId="201" fillId="23" borderId="341" xfId="16" applyFont="1" applyFill="1" applyBorder="1" applyAlignment="1">
      <alignment horizontal="center" vertical="center" textRotation="255"/>
    </xf>
    <xf numFmtId="0" fontId="189" fillId="0" borderId="346" xfId="16" applyFont="1" applyBorder="1"/>
    <xf numFmtId="0" fontId="198" fillId="21" borderId="341" xfId="16" applyFont="1" applyFill="1" applyBorder="1" applyAlignment="1">
      <alignment horizontal="center" vertical="center" textRotation="255"/>
    </xf>
    <xf numFmtId="0" fontId="201" fillId="25" borderId="341" xfId="16" applyFont="1" applyFill="1" applyBorder="1" applyAlignment="1">
      <alignment horizontal="center" vertical="center" textRotation="255"/>
    </xf>
    <xf numFmtId="0" fontId="210" fillId="0" borderId="341" xfId="16" applyFont="1" applyBorder="1" applyAlignment="1">
      <alignment horizontal="center" vertical="center"/>
    </xf>
    <xf numFmtId="0" fontId="210" fillId="0" borderId="346" xfId="16" applyFont="1" applyBorder="1" applyAlignment="1">
      <alignment horizontal="center" vertical="center"/>
    </xf>
    <xf numFmtId="0" fontId="210" fillId="0" borderId="345" xfId="16" applyFont="1" applyBorder="1" applyAlignment="1">
      <alignment horizontal="center" vertical="center"/>
    </xf>
    <xf numFmtId="191" fontId="184" fillId="0" borderId="338" xfId="16" applyNumberFormat="1" applyFont="1" applyBorder="1" applyAlignment="1">
      <alignment horizontal="center" vertical="center"/>
    </xf>
    <xf numFmtId="191" fontId="189" fillId="0" borderId="342" xfId="16" applyNumberFormat="1" applyFont="1" applyBorder="1"/>
    <xf numFmtId="0" fontId="200" fillId="0" borderId="380" xfId="16" applyFont="1" applyBorder="1" applyAlignment="1">
      <alignment horizontal="center" vertical="center" wrapText="1"/>
    </xf>
    <xf numFmtId="0" fontId="200" fillId="0" borderId="381" xfId="16" applyFont="1" applyBorder="1" applyAlignment="1">
      <alignment horizontal="center" vertical="center" wrapText="1"/>
    </xf>
    <xf numFmtId="0" fontId="200" fillId="0" borderId="382" xfId="16" applyFont="1" applyBorder="1" applyAlignment="1">
      <alignment horizontal="center" vertical="center" wrapText="1"/>
    </xf>
    <xf numFmtId="0" fontId="200" fillId="0" borderId="363" xfId="16" applyFont="1" applyBorder="1" applyAlignment="1">
      <alignment horizontal="center" vertical="center" wrapText="1"/>
    </xf>
    <xf numFmtId="0" fontId="200" fillId="0" borderId="0" xfId="16" applyFont="1" applyAlignment="1">
      <alignment horizontal="center" vertical="center" wrapText="1"/>
    </xf>
    <xf numFmtId="0" fontId="200" fillId="0" borderId="379" xfId="16" applyFont="1" applyBorder="1" applyAlignment="1">
      <alignment horizontal="center" vertical="center" wrapText="1"/>
    </xf>
    <xf numFmtId="0" fontId="200" fillId="0" borderId="383" xfId="16" applyFont="1" applyBorder="1" applyAlignment="1">
      <alignment horizontal="center" vertical="center" wrapText="1"/>
    </xf>
    <xf numFmtId="0" fontId="200" fillId="0" borderId="384" xfId="16" applyFont="1" applyBorder="1" applyAlignment="1">
      <alignment horizontal="center" vertical="center" wrapText="1"/>
    </xf>
    <xf numFmtId="0" fontId="200" fillId="0" borderId="385" xfId="16" applyFont="1" applyBorder="1" applyAlignment="1">
      <alignment horizontal="center" vertical="center" wrapText="1"/>
    </xf>
    <xf numFmtId="0" fontId="200" fillId="0" borderId="338" xfId="16" applyFont="1" applyBorder="1" applyAlignment="1">
      <alignment horizontal="left" vertical="center"/>
    </xf>
    <xf numFmtId="0" fontId="200" fillId="0" borderId="339" xfId="16" applyFont="1" applyBorder="1" applyAlignment="1">
      <alignment horizontal="left" vertical="center"/>
    </xf>
    <xf numFmtId="0" fontId="200" fillId="0" borderId="340" xfId="16" applyFont="1" applyBorder="1" applyAlignment="1">
      <alignment horizontal="left" vertical="center"/>
    </xf>
    <xf numFmtId="0" fontId="200" fillId="0" borderId="363" xfId="16" applyFont="1" applyBorder="1" applyAlignment="1">
      <alignment horizontal="left" vertical="center"/>
    </xf>
    <xf numFmtId="0" fontId="200" fillId="0" borderId="0" xfId="16" applyFont="1" applyAlignment="1">
      <alignment horizontal="left" vertical="center"/>
    </xf>
    <xf numFmtId="0" fontId="200" fillId="0" borderId="379" xfId="16" applyFont="1" applyBorder="1" applyAlignment="1">
      <alignment horizontal="left" vertical="center"/>
    </xf>
    <xf numFmtId="0" fontId="200" fillId="0" borderId="342" xfId="16" applyFont="1" applyBorder="1" applyAlignment="1">
      <alignment horizontal="left" vertical="center"/>
    </xf>
    <xf numFmtId="0" fontId="200" fillId="0" borderId="343" xfId="16" applyFont="1" applyBorder="1" applyAlignment="1">
      <alignment horizontal="left" vertical="center"/>
    </xf>
    <xf numFmtId="0" fontId="200" fillId="0" borderId="344" xfId="16" applyFont="1" applyBorder="1" applyAlignment="1">
      <alignment horizontal="left" vertical="center"/>
    </xf>
    <xf numFmtId="0" fontId="200" fillId="0" borderId="364" xfId="16" applyFont="1" applyBorder="1" applyAlignment="1">
      <alignment horizontal="left" vertical="center"/>
    </xf>
    <xf numFmtId="0" fontId="200" fillId="0" borderId="365" xfId="16" applyFont="1" applyBorder="1" applyAlignment="1">
      <alignment horizontal="left" vertical="center"/>
    </xf>
    <xf numFmtId="0" fontId="200" fillId="0" borderId="378" xfId="16" applyFont="1" applyBorder="1" applyAlignment="1">
      <alignment horizontal="left" vertical="center"/>
    </xf>
    <xf numFmtId="0" fontId="92" fillId="0" borderId="0" xfId="0" applyFont="1" applyAlignment="1">
      <alignment horizontal="left" vertical="center" shrinkToFit="1"/>
    </xf>
    <xf numFmtId="0" fontId="82" fillId="0" borderId="0" xfId="0" applyFont="1" applyAlignment="1">
      <alignment horizontal="left" vertical="center" shrinkToFit="1"/>
    </xf>
    <xf numFmtId="0" fontId="92" fillId="0" borderId="33" xfId="0" applyFont="1" applyBorder="1" applyAlignment="1">
      <alignment horizontal="center" vertical="center"/>
    </xf>
    <xf numFmtId="0" fontId="84" fillId="0" borderId="227" xfId="0" applyFont="1" applyBorder="1" applyAlignment="1">
      <alignment horizontal="left" vertical="center" wrapText="1"/>
    </xf>
    <xf numFmtId="0" fontId="84" fillId="0" borderId="0" xfId="0" applyFont="1" applyAlignment="1">
      <alignment horizontal="left" vertical="center" wrapText="1"/>
    </xf>
    <xf numFmtId="0" fontId="84" fillId="0" borderId="9" xfId="0" applyFont="1" applyBorder="1" applyAlignment="1">
      <alignment horizontal="left" vertical="center" wrapText="1"/>
    </xf>
    <xf numFmtId="0" fontId="0" fillId="0" borderId="15" xfId="0" applyBorder="1" applyAlignment="1" applyProtection="1">
      <alignment horizontal="center" vertical="center" shrinkToFit="1"/>
      <protection locked="0"/>
    </xf>
    <xf numFmtId="0" fontId="0" fillId="0" borderId="11" xfId="0" applyBorder="1" applyAlignment="1" applyProtection="1">
      <alignment horizontal="center" vertical="center" shrinkToFit="1"/>
      <protection locked="0"/>
    </xf>
    <xf numFmtId="0" fontId="42" fillId="0" borderId="10" xfId="0" applyFont="1" applyBorder="1" applyAlignment="1" applyProtection="1">
      <alignment horizontal="center" vertical="center" shrinkToFit="1"/>
      <protection locked="0"/>
    </xf>
    <xf numFmtId="0" fontId="42" fillId="0" borderId="2" xfId="0" applyFont="1" applyBorder="1" applyAlignment="1" applyProtection="1">
      <alignment horizontal="center" vertical="center" shrinkToFit="1"/>
      <protection locked="0"/>
    </xf>
    <xf numFmtId="0" fontId="92" fillId="0" borderId="10" xfId="0" applyFont="1" applyBorder="1" applyAlignment="1">
      <alignment horizontal="center" vertical="center"/>
    </xf>
    <xf numFmtId="0" fontId="92" fillId="0" borderId="58" xfId="0" applyFont="1" applyBorder="1" applyAlignment="1">
      <alignment horizontal="center" vertical="center"/>
    </xf>
    <xf numFmtId="0" fontId="92" fillId="0" borderId="229" xfId="0" applyFont="1" applyBorder="1" applyAlignment="1" applyProtection="1">
      <alignment horizontal="center" vertical="center"/>
      <protection locked="0"/>
    </xf>
    <xf numFmtId="0" fontId="92" fillId="0" borderId="62" xfId="0" applyFont="1" applyBorder="1" applyAlignment="1" applyProtection="1">
      <alignment horizontal="center" vertical="center"/>
      <protection locked="0"/>
    </xf>
    <xf numFmtId="0" fontId="92" fillId="0" borderId="10" xfId="0" applyFont="1" applyBorder="1">
      <alignment vertical="center"/>
    </xf>
    <xf numFmtId="0" fontId="92" fillId="0" borderId="2" xfId="0" applyFont="1" applyBorder="1">
      <alignment vertical="center"/>
    </xf>
    <xf numFmtId="0" fontId="154" fillId="0" borderId="10" xfId="0" applyFont="1" applyBorder="1">
      <alignment vertical="center"/>
    </xf>
    <xf numFmtId="0" fontId="154" fillId="0" borderId="2" xfId="0" applyFont="1" applyBorder="1">
      <alignment vertical="center"/>
    </xf>
    <xf numFmtId="0" fontId="92" fillId="0" borderId="229" xfId="0" applyFont="1" applyBorder="1">
      <alignment vertical="center"/>
    </xf>
    <xf numFmtId="0" fontId="92" fillId="0" borderId="194" xfId="0" applyFont="1" applyBorder="1">
      <alignment vertical="center"/>
    </xf>
    <xf numFmtId="0" fontId="92" fillId="0" borderId="138" xfId="0" applyFont="1" applyBorder="1" applyAlignment="1" applyProtection="1">
      <alignment horizontal="center" vertical="center"/>
      <protection locked="0"/>
    </xf>
    <xf numFmtId="0" fontId="92" fillId="0" borderId="3" xfId="0" applyFont="1" applyBorder="1" applyAlignment="1" applyProtection="1">
      <alignment horizontal="center" vertical="center"/>
      <protection locked="0"/>
    </xf>
    <xf numFmtId="0" fontId="92" fillId="0" borderId="139" xfId="0" applyFont="1" applyBorder="1" applyAlignment="1" applyProtection="1">
      <alignment horizontal="center" vertical="center"/>
      <protection locked="0"/>
    </xf>
    <xf numFmtId="0" fontId="92" fillId="0" borderId="11" xfId="0" applyFont="1" applyBorder="1" applyAlignment="1" applyProtection="1">
      <alignment horizontal="center" vertical="center"/>
      <protection locked="0"/>
    </xf>
    <xf numFmtId="0" fontId="92" fillId="0" borderId="60" xfId="0" applyFont="1" applyBorder="1" applyAlignment="1">
      <alignment horizontal="center" vertical="center"/>
    </xf>
    <xf numFmtId="0" fontId="92" fillId="0" borderId="2" xfId="0" applyFont="1" applyBorder="1" applyAlignment="1">
      <alignment horizontal="center" vertical="center"/>
    </xf>
    <xf numFmtId="0" fontId="92" fillId="0" borderId="61" xfId="0" applyFont="1" applyBorder="1" applyAlignment="1" applyProtection="1">
      <alignment horizontal="center" vertical="center"/>
      <protection locked="0"/>
    </xf>
    <xf numFmtId="0" fontId="92" fillId="0" borderId="194" xfId="0" applyFont="1" applyBorder="1" applyAlignment="1" applyProtection="1">
      <alignment horizontal="center" vertical="center"/>
      <protection locked="0"/>
    </xf>
    <xf numFmtId="0" fontId="180" fillId="0" borderId="10" xfId="0" applyFont="1" applyBorder="1">
      <alignment vertical="center"/>
    </xf>
    <xf numFmtId="0" fontId="180" fillId="0" borderId="0" xfId="0" applyFont="1">
      <alignment vertical="center"/>
    </xf>
    <xf numFmtId="0" fontId="92" fillId="0" borderId="0" xfId="0" applyFont="1">
      <alignment vertical="center"/>
    </xf>
    <xf numFmtId="0" fontId="154" fillId="0" borderId="0" xfId="0" applyFont="1">
      <alignment vertical="center"/>
    </xf>
    <xf numFmtId="0" fontId="92" fillId="0" borderId="9" xfId="0" applyFont="1" applyBorder="1">
      <alignment vertical="center"/>
    </xf>
    <xf numFmtId="0" fontId="92" fillId="0" borderId="14" xfId="0" applyFont="1" applyBorder="1" applyAlignment="1" applyProtection="1">
      <alignment horizontal="center" vertical="center"/>
      <protection locked="0"/>
    </xf>
    <xf numFmtId="0" fontId="92" fillId="0" borderId="133" xfId="0" applyFont="1" applyBorder="1" applyAlignment="1" applyProtection="1">
      <alignment horizontal="center" vertical="center"/>
      <protection locked="0"/>
    </xf>
    <xf numFmtId="0" fontId="92" fillId="0" borderId="15" xfId="0" applyFont="1" applyBorder="1" applyAlignment="1" applyProtection="1">
      <alignment horizontal="center" vertical="center"/>
      <protection locked="0"/>
    </xf>
    <xf numFmtId="0" fontId="92" fillId="0" borderId="132" xfId="0" applyFont="1" applyBorder="1" applyAlignment="1" applyProtection="1">
      <alignment horizontal="center" vertical="center"/>
      <protection locked="0"/>
    </xf>
    <xf numFmtId="181" fontId="111" fillId="4" borderId="227" xfId="0" applyNumberFormat="1" applyFont="1" applyFill="1" applyBorder="1" applyAlignment="1" applyProtection="1">
      <alignment vertical="center" shrinkToFit="1"/>
      <protection locked="0"/>
    </xf>
    <xf numFmtId="181" fontId="111" fillId="4" borderId="74" xfId="0" applyNumberFormat="1" applyFont="1" applyFill="1" applyBorder="1" applyAlignment="1" applyProtection="1">
      <alignment vertical="center" shrinkToFit="1"/>
      <protection locked="0"/>
    </xf>
    <xf numFmtId="0" fontId="92" fillId="0" borderId="12" xfId="0" applyFont="1" applyBorder="1" applyAlignment="1">
      <alignment horizontal="center" vertical="center"/>
    </xf>
    <xf numFmtId="0" fontId="92" fillId="0" borderId="133" xfId="0" applyFont="1" applyBorder="1" applyAlignment="1">
      <alignment horizontal="center" vertical="center"/>
    </xf>
    <xf numFmtId="0" fontId="92" fillId="0" borderId="10" xfId="0" applyFont="1" applyBorder="1" applyAlignment="1" applyProtection="1">
      <alignment horizontal="center" vertical="center"/>
      <protection locked="0"/>
    </xf>
    <xf numFmtId="0" fontId="92" fillId="0" borderId="58" xfId="0" applyFont="1" applyBorder="1" applyAlignment="1" applyProtection="1">
      <alignment horizontal="center" vertical="center"/>
      <protection locked="0"/>
    </xf>
    <xf numFmtId="181" fontId="111" fillId="4" borderId="220" xfId="0" applyNumberFormat="1" applyFont="1" applyFill="1" applyBorder="1" applyAlignment="1" applyProtection="1">
      <alignment vertical="center" shrinkToFit="1"/>
      <protection locked="0"/>
    </xf>
    <xf numFmtId="181" fontId="111" fillId="4" borderId="67" xfId="0" applyNumberFormat="1" applyFont="1" applyFill="1" applyBorder="1" applyAlignment="1" applyProtection="1">
      <alignment vertical="center" shrinkToFit="1"/>
      <protection locked="0"/>
    </xf>
    <xf numFmtId="0" fontId="92" fillId="0" borderId="138" xfId="0" applyFont="1" applyBorder="1" applyAlignment="1">
      <alignment horizontal="center" vertical="center"/>
    </xf>
    <xf numFmtId="0" fontId="92" fillId="0" borderId="3" xfId="0" applyFont="1" applyBorder="1" applyAlignment="1">
      <alignment horizontal="center" vertical="center"/>
    </xf>
    <xf numFmtId="0" fontId="92" fillId="0" borderId="60" xfId="0" applyFont="1" applyBorder="1" applyAlignment="1" applyProtection="1">
      <alignment horizontal="center" vertical="center"/>
      <protection locked="0"/>
    </xf>
    <xf numFmtId="0" fontId="92" fillId="0" borderId="13" xfId="0" applyFont="1" applyBorder="1" applyAlignment="1" applyProtection="1">
      <alignment horizontal="center" vertical="center"/>
      <protection locked="0"/>
    </xf>
    <xf numFmtId="0" fontId="92" fillId="0" borderId="0" xfId="0" applyFont="1" applyAlignment="1" applyProtection="1">
      <alignment horizontal="center" vertical="center"/>
      <protection locked="0"/>
    </xf>
    <xf numFmtId="0" fontId="92" fillId="0" borderId="12" xfId="0" applyFont="1" applyBorder="1" applyAlignment="1" applyProtection="1">
      <alignment horizontal="center" vertical="center"/>
      <protection locked="0"/>
    </xf>
    <xf numFmtId="0" fontId="92" fillId="0" borderId="20" xfId="0" applyFont="1" applyBorder="1" applyAlignment="1" applyProtection="1">
      <alignment horizontal="center" vertical="center"/>
      <protection locked="0"/>
    </xf>
    <xf numFmtId="0" fontId="92" fillId="0" borderId="75" xfId="0" applyFont="1" applyBorder="1" applyAlignment="1" applyProtection="1">
      <alignment horizontal="center" vertical="center"/>
      <protection locked="0"/>
    </xf>
    <xf numFmtId="0" fontId="87" fillId="0" borderId="10" xfId="0" applyFont="1" applyBorder="1" applyAlignment="1">
      <alignment vertical="center" shrinkToFit="1"/>
    </xf>
    <xf numFmtId="0" fontId="87" fillId="0" borderId="0" xfId="0" applyFont="1" applyAlignment="1">
      <alignment vertical="center" shrinkToFit="1"/>
    </xf>
    <xf numFmtId="0" fontId="87" fillId="0" borderId="66" xfId="0" applyFont="1" applyBorder="1" applyAlignment="1">
      <alignment vertical="center" shrinkToFit="1"/>
    </xf>
    <xf numFmtId="0" fontId="87" fillId="0" borderId="67" xfId="0" applyFont="1" applyBorder="1" applyAlignment="1">
      <alignment vertical="center" shrinkToFit="1"/>
    </xf>
    <xf numFmtId="0" fontId="19" fillId="2" borderId="0" xfId="0" applyFont="1" applyFill="1" applyAlignment="1">
      <alignment horizontal="center" vertical="center"/>
    </xf>
    <xf numFmtId="0" fontId="84" fillId="0" borderId="15" xfId="0" applyFont="1" applyBorder="1" applyAlignment="1">
      <alignment horizontal="center" vertical="center" shrinkToFit="1"/>
    </xf>
    <xf numFmtId="0" fontId="84" fillId="0" borderId="14" xfId="0" applyFont="1" applyBorder="1" applyAlignment="1">
      <alignment horizontal="center" vertical="center" shrinkToFit="1"/>
    </xf>
    <xf numFmtId="0" fontId="84" fillId="0" borderId="13" xfId="0" applyFont="1" applyBorder="1" applyAlignment="1">
      <alignment horizontal="center" vertical="center" shrinkToFit="1"/>
    </xf>
    <xf numFmtId="0" fontId="84" fillId="0" borderId="12" xfId="0" applyFont="1" applyBorder="1" applyAlignment="1">
      <alignment horizontal="center" vertical="center" shrinkToFit="1"/>
    </xf>
    <xf numFmtId="0" fontId="84" fillId="0" borderId="132" xfId="0" applyFont="1" applyBorder="1" applyAlignment="1">
      <alignment horizontal="center" vertical="center" shrinkToFit="1"/>
    </xf>
    <xf numFmtId="0" fontId="84" fillId="0" borderId="133" xfId="0" applyFont="1" applyBorder="1" applyAlignment="1">
      <alignment horizontal="center" vertical="center" shrinkToFit="1"/>
    </xf>
    <xf numFmtId="0" fontId="111" fillId="4" borderId="135" xfId="0" applyFont="1" applyFill="1" applyBorder="1" applyAlignment="1" applyProtection="1">
      <alignment horizontal="left" vertical="center" shrinkToFit="1"/>
      <protection locked="0"/>
    </xf>
    <xf numFmtId="0" fontId="111" fillId="4" borderId="71" xfId="0" applyFont="1" applyFill="1" applyBorder="1" applyAlignment="1" applyProtection="1">
      <alignment horizontal="left" vertical="center" shrinkToFit="1"/>
      <protection locked="0"/>
    </xf>
    <xf numFmtId="0" fontId="111" fillId="4" borderId="18" xfId="0" applyFont="1" applyFill="1" applyBorder="1" applyAlignment="1" applyProtection="1">
      <alignment horizontal="left" vertical="center" shrinkToFit="1"/>
      <protection locked="0"/>
    </xf>
    <xf numFmtId="0" fontId="111" fillId="0" borderId="0" xfId="0" applyFont="1" applyAlignment="1">
      <alignment horizontal="center" vertical="center" wrapText="1" shrinkToFit="1"/>
    </xf>
    <xf numFmtId="0" fontId="111" fillId="4" borderId="0" xfId="0" applyFont="1" applyFill="1" applyAlignment="1">
      <alignment horizontal="center" vertical="center" shrinkToFit="1"/>
    </xf>
    <xf numFmtId="0" fontId="6" fillId="0" borderId="0" xfId="0" applyFont="1" applyAlignment="1" applyProtection="1">
      <alignment horizontal="center" vertical="center" shrinkToFit="1"/>
      <protection hidden="1"/>
    </xf>
    <xf numFmtId="0" fontId="111" fillId="4" borderId="51" xfId="0" applyFont="1" applyFill="1" applyBorder="1" applyAlignment="1" applyProtection="1">
      <alignment horizontal="center" vertical="center" shrinkToFit="1"/>
      <protection locked="0"/>
    </xf>
    <xf numFmtId="0" fontId="111" fillId="4" borderId="50" xfId="0" applyFont="1" applyFill="1" applyBorder="1" applyAlignment="1" applyProtection="1">
      <alignment horizontal="center" vertical="center" shrinkToFit="1"/>
      <protection locked="0"/>
    </xf>
    <xf numFmtId="0" fontId="111" fillId="4" borderId="73" xfId="0" applyFont="1" applyFill="1" applyBorder="1" applyAlignment="1" applyProtection="1">
      <alignment horizontal="center" vertical="center" shrinkToFit="1"/>
      <protection locked="0"/>
    </xf>
    <xf numFmtId="0" fontId="111" fillId="0" borderId="69" xfId="0" applyFont="1" applyBorder="1" applyAlignment="1">
      <alignment horizontal="center" vertical="center" shrinkToFit="1"/>
    </xf>
    <xf numFmtId="0" fontId="111" fillId="0" borderId="73" xfId="0" applyFont="1" applyBorder="1" applyAlignment="1">
      <alignment horizontal="center" vertical="center" shrinkToFit="1"/>
    </xf>
    <xf numFmtId="0" fontId="111" fillId="4" borderId="20" xfId="0" applyFont="1" applyFill="1" applyBorder="1" applyAlignment="1" applyProtection="1">
      <alignment horizontal="center" vertical="center" shrinkToFit="1"/>
      <protection locked="0"/>
    </xf>
    <xf numFmtId="0" fontId="111" fillId="4" borderId="136" xfId="0" applyFont="1" applyFill="1" applyBorder="1" applyAlignment="1" applyProtection="1">
      <alignment horizontal="center" vertical="center" shrinkToFit="1"/>
      <protection locked="0"/>
    </xf>
    <xf numFmtId="0" fontId="111" fillId="4" borderId="51" xfId="0" applyFont="1" applyFill="1" applyBorder="1" applyAlignment="1" applyProtection="1">
      <alignment horizontal="left" vertical="center" shrinkToFit="1"/>
      <protection locked="0"/>
    </xf>
    <xf numFmtId="0" fontId="111" fillId="4" borderId="17" xfId="0" applyFont="1" applyFill="1" applyBorder="1" applyAlignment="1" applyProtection="1">
      <alignment horizontal="left" vertical="center" shrinkToFit="1"/>
      <protection locked="0"/>
    </xf>
    <xf numFmtId="0" fontId="111" fillId="4" borderId="73" xfId="0" applyFont="1" applyFill="1" applyBorder="1" applyAlignment="1" applyProtection="1">
      <alignment horizontal="left" vertical="center" shrinkToFit="1"/>
      <protection locked="0"/>
    </xf>
    <xf numFmtId="0" fontId="111" fillId="4" borderId="17" xfId="0" applyFont="1" applyFill="1" applyBorder="1" applyAlignment="1" applyProtection="1">
      <alignment horizontal="center" vertical="center" shrinkToFit="1"/>
      <protection locked="0"/>
    </xf>
    <xf numFmtId="0" fontId="111" fillId="0" borderId="0" xfId="0" applyFont="1" applyAlignment="1">
      <alignment horizontal="center" vertical="center" shrinkToFit="1"/>
    </xf>
    <xf numFmtId="0" fontId="111" fillId="4" borderId="51" xfId="0" applyFont="1" applyFill="1" applyBorder="1" applyAlignment="1" applyProtection="1">
      <alignment horizontal="center" vertical="center" wrapText="1" shrinkToFit="1"/>
      <protection locked="0"/>
    </xf>
    <xf numFmtId="0" fontId="111" fillId="4" borderId="17" xfId="0" applyFont="1" applyFill="1" applyBorder="1" applyAlignment="1" applyProtection="1">
      <alignment horizontal="center" vertical="center" wrapText="1" shrinkToFit="1"/>
      <protection locked="0"/>
    </xf>
    <xf numFmtId="0" fontId="111" fillId="4" borderId="50" xfId="0" applyFont="1" applyFill="1" applyBorder="1" applyAlignment="1" applyProtection="1">
      <alignment horizontal="center" vertical="center" wrapText="1" shrinkToFit="1"/>
      <protection locked="0"/>
    </xf>
    <xf numFmtId="0" fontId="111" fillId="0" borderId="20" xfId="0" applyFont="1" applyBorder="1" applyAlignment="1" applyProtection="1">
      <alignment horizontal="center" vertical="center" shrinkToFit="1"/>
      <protection locked="0"/>
    </xf>
    <xf numFmtId="0" fontId="111" fillId="0" borderId="136" xfId="0" applyFont="1" applyBorder="1" applyAlignment="1" applyProtection="1">
      <alignment horizontal="center" vertical="center" shrinkToFit="1"/>
      <protection locked="0"/>
    </xf>
    <xf numFmtId="0" fontId="111" fillId="4" borderId="135" xfId="0" applyFont="1" applyFill="1" applyBorder="1" applyAlignment="1" applyProtection="1">
      <alignment horizontal="center" vertical="center" shrinkToFit="1"/>
      <protection locked="0"/>
    </xf>
    <xf numFmtId="0" fontId="111" fillId="4" borderId="70" xfId="0" applyFont="1" applyFill="1" applyBorder="1" applyAlignment="1" applyProtection="1">
      <alignment horizontal="center" vertical="center" shrinkToFit="1"/>
      <protection locked="0"/>
    </xf>
    <xf numFmtId="0" fontId="111" fillId="4" borderId="18" xfId="0" applyFont="1" applyFill="1" applyBorder="1" applyAlignment="1" applyProtection="1">
      <alignment horizontal="center" vertical="center" shrinkToFit="1"/>
      <protection locked="0"/>
    </xf>
    <xf numFmtId="0" fontId="111" fillId="0" borderId="65" xfId="0" applyFont="1" applyBorder="1" applyAlignment="1">
      <alignment horizontal="center" vertical="center" shrinkToFit="1"/>
    </xf>
    <xf numFmtId="0" fontId="111" fillId="0" borderId="18" xfId="0" applyFont="1" applyBorder="1" applyAlignment="1">
      <alignment horizontal="center" vertical="center" shrinkToFit="1"/>
    </xf>
    <xf numFmtId="0" fontId="111" fillId="4" borderId="132" xfId="0" applyFont="1" applyFill="1" applyBorder="1" applyAlignment="1" applyProtection="1">
      <alignment horizontal="center" vertical="center" shrinkToFit="1"/>
      <protection locked="0"/>
    </xf>
    <xf numFmtId="0" fontId="111" fillId="4" borderId="133" xfId="0" applyFont="1" applyFill="1" applyBorder="1" applyAlignment="1" applyProtection="1">
      <alignment horizontal="center" vertical="center" shrinkToFit="1"/>
      <protection locked="0"/>
    </xf>
    <xf numFmtId="0" fontId="111" fillId="4" borderId="62" xfId="0" applyFont="1" applyFill="1" applyBorder="1" applyAlignment="1" applyProtection="1">
      <alignment horizontal="center" vertical="center" shrinkToFit="1"/>
      <protection locked="0"/>
    </xf>
    <xf numFmtId="0" fontId="111" fillId="4" borderId="71" xfId="0" applyFont="1" applyFill="1" applyBorder="1" applyAlignment="1" applyProtection="1">
      <alignment horizontal="center" vertical="center" shrinkToFit="1"/>
      <protection locked="0"/>
    </xf>
    <xf numFmtId="0" fontId="111" fillId="4" borderId="135" xfId="0" applyFont="1" applyFill="1" applyBorder="1" applyAlignment="1" applyProtection="1">
      <alignment horizontal="center" vertical="center" wrapText="1" shrinkToFit="1"/>
      <protection locked="0"/>
    </xf>
    <xf numFmtId="0" fontId="111" fillId="4" borderId="71" xfId="0" applyFont="1" applyFill="1" applyBorder="1" applyAlignment="1" applyProtection="1">
      <alignment horizontal="center" vertical="center" wrapText="1" shrinkToFit="1"/>
      <protection locked="0"/>
    </xf>
    <xf numFmtId="0" fontId="111" fillId="4" borderId="70" xfId="0" applyFont="1" applyFill="1" applyBorder="1" applyAlignment="1" applyProtection="1">
      <alignment horizontal="center" vertical="center" wrapText="1" shrinkToFit="1"/>
      <protection locked="0"/>
    </xf>
    <xf numFmtId="0" fontId="165" fillId="4" borderId="51" xfId="0" applyFont="1" applyFill="1" applyBorder="1" applyAlignment="1" applyProtection="1">
      <alignment horizontal="center" vertical="center" wrapText="1" shrinkToFit="1"/>
      <protection locked="0"/>
    </xf>
    <xf numFmtId="0" fontId="165" fillId="4" borderId="17" xfId="0" applyFont="1" applyFill="1" applyBorder="1" applyAlignment="1" applyProtection="1">
      <alignment horizontal="center" vertical="center" wrapText="1" shrinkToFit="1"/>
      <protection locked="0"/>
    </xf>
    <xf numFmtId="0" fontId="165" fillId="4" borderId="50" xfId="0" applyFont="1" applyFill="1" applyBorder="1" applyAlignment="1" applyProtection="1">
      <alignment horizontal="center" vertical="center" wrapText="1" shrinkToFit="1"/>
      <protection locked="0"/>
    </xf>
    <xf numFmtId="0" fontId="106" fillId="0" borderId="0" xfId="0" applyFont="1" applyAlignment="1">
      <alignment horizontal="left" vertical="center"/>
    </xf>
    <xf numFmtId="178" fontId="117" fillId="0" borderId="0" xfId="0" applyNumberFormat="1" applyFont="1" applyAlignment="1">
      <alignment horizontal="center" vertical="center"/>
    </xf>
    <xf numFmtId="178" fontId="117" fillId="0" borderId="58" xfId="0" applyNumberFormat="1" applyFont="1" applyBorder="1" applyAlignment="1">
      <alignment horizontal="center" vertical="center"/>
    </xf>
    <xf numFmtId="0" fontId="110" fillId="0" borderId="0" xfId="0" applyFont="1" applyAlignment="1">
      <alignment horizontal="center" vertical="center"/>
    </xf>
    <xf numFmtId="0" fontId="110" fillId="0" borderId="58" xfId="0" applyFont="1" applyBorder="1" applyAlignment="1">
      <alignment horizontal="center" vertical="center"/>
    </xf>
    <xf numFmtId="0" fontId="84" fillId="0" borderId="65" xfId="0" applyFont="1" applyBorder="1" applyAlignment="1">
      <alignment horizontal="center" vertical="center" shrinkToFit="1"/>
    </xf>
    <xf numFmtId="0" fontId="84" fillId="0" borderId="18" xfId="0" applyFont="1" applyBorder="1" applyAlignment="1">
      <alignment horizontal="center" vertical="center" shrinkToFit="1"/>
    </xf>
    <xf numFmtId="0" fontId="92" fillId="0" borderId="15" xfId="0" applyFont="1" applyBorder="1" applyAlignment="1">
      <alignment horizontal="center" vertical="center" wrapText="1"/>
    </xf>
    <xf numFmtId="0" fontId="92" fillId="0" borderId="10" xfId="0" applyFont="1" applyBorder="1" applyAlignment="1">
      <alignment horizontal="center" vertical="center" wrapText="1"/>
    </xf>
    <xf numFmtId="0" fontId="92" fillId="0" borderId="14" xfId="0" applyFont="1" applyBorder="1" applyAlignment="1">
      <alignment horizontal="center" vertical="center" wrapText="1"/>
    </xf>
    <xf numFmtId="0" fontId="92" fillId="0" borderId="11" xfId="0" applyFont="1" applyBorder="1" applyAlignment="1">
      <alignment horizontal="center" vertical="center" wrapText="1"/>
    </xf>
    <xf numFmtId="0" fontId="92" fillId="0" borderId="2" xfId="0" applyFont="1" applyBorder="1" applyAlignment="1">
      <alignment horizontal="center" vertical="center" wrapText="1"/>
    </xf>
    <xf numFmtId="0" fontId="92" fillId="0" borderId="3" xfId="0" applyFont="1" applyBorder="1" applyAlignment="1">
      <alignment horizontal="center" vertical="center" wrapText="1"/>
    </xf>
    <xf numFmtId="0" fontId="111" fillId="4" borderId="139" xfId="0" applyFont="1" applyFill="1" applyBorder="1" applyAlignment="1" applyProtection="1">
      <alignment horizontal="center" vertical="center" shrinkToFit="1"/>
      <protection locked="0"/>
    </xf>
    <xf numFmtId="0" fontId="111" fillId="4" borderId="138" xfId="0" applyFont="1" applyFill="1" applyBorder="1" applyAlignment="1" applyProtection="1">
      <alignment horizontal="center" vertical="center" shrinkToFit="1"/>
      <protection locked="0"/>
    </xf>
    <xf numFmtId="0" fontId="111" fillId="4" borderId="61" xfId="0" applyFont="1" applyFill="1" applyBorder="1" applyAlignment="1" applyProtection="1">
      <alignment horizontal="center" vertical="center" shrinkToFit="1"/>
      <protection locked="0"/>
    </xf>
    <xf numFmtId="0" fontId="111" fillId="4" borderId="111" xfId="0" applyFont="1" applyFill="1" applyBorder="1" applyAlignment="1" applyProtection="1">
      <alignment horizontal="left" vertical="center" shrinkToFit="1"/>
      <protection locked="0"/>
    </xf>
    <xf numFmtId="0" fontId="111" fillId="4" borderId="72" xfId="0" applyFont="1" applyFill="1" applyBorder="1" applyAlignment="1" applyProtection="1">
      <alignment horizontal="left" vertical="center" shrinkToFit="1"/>
      <protection locked="0"/>
    </xf>
    <xf numFmtId="0" fontId="111" fillId="4" borderId="16" xfId="0" applyFont="1" applyFill="1" applyBorder="1" applyAlignment="1" applyProtection="1">
      <alignment horizontal="left" vertical="center" shrinkToFit="1"/>
      <protection locked="0"/>
    </xf>
    <xf numFmtId="0" fontId="111" fillId="4" borderId="111" xfId="0" applyFont="1" applyFill="1" applyBorder="1" applyAlignment="1" applyProtection="1">
      <alignment horizontal="center" vertical="center" shrinkToFit="1"/>
      <protection locked="0"/>
    </xf>
    <xf numFmtId="0" fontId="111" fillId="4" borderId="72" xfId="0" applyFont="1" applyFill="1" applyBorder="1" applyAlignment="1" applyProtection="1">
      <alignment horizontal="center" vertical="center" shrinkToFit="1"/>
      <protection locked="0"/>
    </xf>
    <xf numFmtId="0" fontId="111" fillId="4" borderId="68" xfId="0" applyFont="1" applyFill="1" applyBorder="1" applyAlignment="1" applyProtection="1">
      <alignment horizontal="center" vertical="center" shrinkToFit="1"/>
      <protection locked="0"/>
    </xf>
    <xf numFmtId="0" fontId="111" fillId="4" borderId="91" xfId="0" applyFont="1" applyFill="1" applyBorder="1" applyAlignment="1" applyProtection="1">
      <alignment horizontal="center" vertical="center" shrinkToFit="1"/>
      <protection locked="0"/>
    </xf>
    <xf numFmtId="0" fontId="110" fillId="0" borderId="60" xfId="0" applyFont="1" applyBorder="1" applyAlignment="1">
      <alignment horizontal="center" vertical="center"/>
    </xf>
    <xf numFmtId="0" fontId="86" fillId="0" borderId="0" xfId="0" applyFont="1" applyAlignment="1">
      <alignment horizontal="center" vertical="center"/>
    </xf>
    <xf numFmtId="0" fontId="86" fillId="0" borderId="58" xfId="0" applyFont="1" applyBorder="1" applyAlignment="1">
      <alignment horizontal="center" vertical="center"/>
    </xf>
    <xf numFmtId="0" fontId="88" fillId="0" borderId="0" xfId="0" applyFont="1" applyAlignment="1">
      <alignment horizontal="center" vertical="center"/>
    </xf>
    <xf numFmtId="0" fontId="87" fillId="0" borderId="0" xfId="0" applyFont="1" applyAlignment="1">
      <alignment horizontal="left" vertical="center"/>
    </xf>
    <xf numFmtId="0" fontId="84" fillId="0" borderId="33" xfId="0" applyFont="1" applyBorder="1" applyAlignment="1">
      <alignment horizontal="center" vertical="center" textRotation="255" shrinkToFit="1"/>
    </xf>
    <xf numFmtId="0" fontId="84" fillId="0" borderId="38" xfId="0" applyFont="1" applyBorder="1" applyAlignment="1">
      <alignment horizontal="center" vertical="center" textRotation="255" shrinkToFit="1"/>
    </xf>
    <xf numFmtId="0" fontId="42" fillId="0" borderId="10" xfId="0" applyFont="1" applyBorder="1" applyAlignment="1">
      <alignment horizontal="center" vertical="center" shrinkToFit="1"/>
    </xf>
    <xf numFmtId="0" fontId="42" fillId="0" borderId="2" xfId="0" applyFont="1" applyBorder="1" applyAlignment="1">
      <alignment horizontal="center" vertical="center" shrinkToFit="1"/>
    </xf>
    <xf numFmtId="0" fontId="0" fillId="0" borderId="14" xfId="0" applyBorder="1" applyAlignment="1">
      <alignment horizontal="center" vertical="center" shrinkToFit="1"/>
    </xf>
    <xf numFmtId="0" fontId="0" fillId="0" borderId="3" xfId="0" applyBorder="1" applyAlignment="1">
      <alignment horizontal="center" vertical="center" shrinkToFit="1"/>
    </xf>
    <xf numFmtId="0" fontId="0" fillId="0" borderId="15" xfId="0" applyBorder="1" applyAlignment="1">
      <alignment horizontal="center" vertical="center" shrinkToFit="1"/>
    </xf>
    <xf numFmtId="0" fontId="0" fillId="0" borderId="10" xfId="0" applyBorder="1" applyAlignment="1">
      <alignment horizontal="center" vertical="center" shrinkToFit="1"/>
    </xf>
    <xf numFmtId="0" fontId="0" fillId="0" borderId="11" xfId="0" applyBorder="1" applyAlignment="1">
      <alignment horizontal="center" vertical="center" shrinkToFit="1"/>
    </xf>
    <xf numFmtId="0" fontId="0" fillId="0" borderId="2" xfId="0" applyBorder="1" applyAlignment="1">
      <alignment horizontal="center" vertical="center" shrinkToFit="1"/>
    </xf>
    <xf numFmtId="0" fontId="0" fillId="0" borderId="14" xfId="0" applyBorder="1" applyAlignment="1" applyProtection="1">
      <alignment horizontal="center" vertical="center" shrinkToFit="1"/>
      <protection locked="0"/>
    </xf>
    <xf numFmtId="0" fontId="0" fillId="0" borderId="3" xfId="0" applyBorder="1" applyAlignment="1" applyProtection="1">
      <alignment horizontal="center" vertical="center" shrinkToFit="1"/>
      <protection locked="0"/>
    </xf>
    <xf numFmtId="178" fontId="107" fillId="0" borderId="58" xfId="0" applyNumberFormat="1" applyFont="1" applyBorder="1" applyAlignment="1">
      <alignment horizontal="center" vertical="center"/>
    </xf>
    <xf numFmtId="0" fontId="84" fillId="0" borderId="58" xfId="0" applyFont="1" applyBorder="1" applyAlignment="1">
      <alignment horizontal="center" vertical="center"/>
    </xf>
    <xf numFmtId="0" fontId="85" fillId="7" borderId="10" xfId="0" applyFont="1" applyFill="1" applyBorder="1" applyAlignment="1">
      <alignment horizontal="center" vertical="center"/>
    </xf>
    <xf numFmtId="0" fontId="85" fillId="7" borderId="14" xfId="0" applyFont="1" applyFill="1" applyBorder="1" applyAlignment="1">
      <alignment horizontal="center" vertical="center"/>
    </xf>
    <xf numFmtId="0" fontId="85" fillId="7" borderId="2" xfId="0" applyFont="1" applyFill="1" applyBorder="1" applyAlignment="1">
      <alignment horizontal="center" vertical="center"/>
    </xf>
    <xf numFmtId="0" fontId="85" fillId="7" borderId="3" xfId="0" applyFont="1" applyFill="1" applyBorder="1" applyAlignment="1">
      <alignment horizontal="center" vertical="center"/>
    </xf>
    <xf numFmtId="0" fontId="84" fillId="0" borderId="64" xfId="0" applyFont="1" applyBorder="1" applyAlignment="1">
      <alignment horizontal="center" vertical="center" shrinkToFit="1"/>
    </xf>
    <xf numFmtId="0" fontId="84" fillId="0" borderId="16" xfId="0" applyFont="1" applyBorder="1" applyAlignment="1">
      <alignment horizontal="center" vertical="center" shrinkToFit="1"/>
    </xf>
    <xf numFmtId="0" fontId="82" fillId="0" borderId="0" xfId="0" applyFont="1" applyAlignment="1">
      <alignment horizontal="left" vertical="center"/>
    </xf>
    <xf numFmtId="0" fontId="12" fillId="0" borderId="0" xfId="0" applyFont="1" applyAlignment="1">
      <alignment horizontal="center" vertical="center"/>
    </xf>
    <xf numFmtId="0" fontId="9" fillId="0" borderId="66" xfId="0" applyFont="1" applyBorder="1" applyAlignment="1">
      <alignment horizontal="center" vertical="center"/>
    </xf>
    <xf numFmtId="0" fontId="9" fillId="0" borderId="67" xfId="0" applyFont="1" applyBorder="1" applyAlignment="1">
      <alignment horizontal="center" vertical="center"/>
    </xf>
    <xf numFmtId="0" fontId="84" fillId="3" borderId="65" xfId="0" applyFont="1" applyFill="1" applyBorder="1" applyAlignment="1">
      <alignment horizontal="center" vertical="center" shrinkToFit="1"/>
    </xf>
    <xf numFmtId="0" fontId="84" fillId="3" borderId="18" xfId="0" applyFont="1" applyFill="1" applyBorder="1" applyAlignment="1">
      <alignment horizontal="center" vertical="center" shrinkToFit="1"/>
    </xf>
    <xf numFmtId="191" fontId="117" fillId="0" borderId="60" xfId="0" applyNumberFormat="1" applyFont="1" applyBorder="1" applyAlignment="1">
      <alignment horizontal="center" vertical="center" shrinkToFit="1"/>
    </xf>
    <xf numFmtId="191" fontId="117" fillId="0" borderId="58" xfId="0" applyNumberFormat="1" applyFont="1" applyBorder="1" applyAlignment="1">
      <alignment horizontal="center" vertical="center" shrinkToFit="1"/>
    </xf>
    <xf numFmtId="191" fontId="117" fillId="0" borderId="60" xfId="0" applyNumberFormat="1" applyFont="1" applyBorder="1" applyAlignment="1">
      <alignment horizontal="center" vertical="center"/>
    </xf>
    <xf numFmtId="191" fontId="117" fillId="0" borderId="58" xfId="0" applyNumberFormat="1" applyFont="1" applyBorder="1" applyAlignment="1">
      <alignment horizontal="center" vertical="center"/>
    </xf>
    <xf numFmtId="178" fontId="117" fillId="0" borderId="0" xfId="0" applyNumberFormat="1" applyFont="1" applyAlignment="1">
      <alignment horizontal="center" vertical="center" shrinkToFit="1"/>
    </xf>
    <xf numFmtId="178" fontId="117" fillId="0" borderId="58" xfId="0" applyNumberFormat="1" applyFont="1" applyBorder="1" applyAlignment="1">
      <alignment horizontal="center" vertical="center" shrinkToFit="1"/>
    </xf>
    <xf numFmtId="178" fontId="117" fillId="0" borderId="60" xfId="0" applyNumberFormat="1" applyFont="1" applyBorder="1" applyAlignment="1">
      <alignment horizontal="center" vertical="center"/>
    </xf>
    <xf numFmtId="0" fontId="1" fillId="0" borderId="13" xfId="0" applyFont="1" applyBorder="1" applyAlignment="1">
      <alignment horizontal="center" vertical="center"/>
    </xf>
    <xf numFmtId="0" fontId="208" fillId="4" borderId="51" xfId="0" applyFont="1" applyFill="1" applyBorder="1" applyAlignment="1" applyProtection="1">
      <alignment horizontal="center" vertical="center" wrapText="1" shrinkToFit="1"/>
      <protection locked="0"/>
    </xf>
    <xf numFmtId="0" fontId="208" fillId="4" borderId="17" xfId="0" applyFont="1" applyFill="1" applyBorder="1" applyAlignment="1" applyProtection="1">
      <alignment horizontal="center" vertical="center" wrapText="1" shrinkToFit="1"/>
      <protection locked="0"/>
    </xf>
    <xf numFmtId="0" fontId="208" fillId="4" borderId="50" xfId="0" applyFont="1" applyFill="1" applyBorder="1" applyAlignment="1" applyProtection="1">
      <alignment horizontal="center" vertical="center" wrapText="1" shrinkToFit="1"/>
      <protection locked="0"/>
    </xf>
    <xf numFmtId="0" fontId="25" fillId="0" borderId="0" xfId="0" applyFont="1" applyAlignment="1">
      <alignment horizontal="left" vertical="center" wrapText="1"/>
    </xf>
    <xf numFmtId="0" fontId="84" fillId="0" borderId="12" xfId="0" applyFont="1" applyBorder="1" applyAlignment="1">
      <alignment horizontal="center" vertical="center" textRotation="255" shrinkToFit="1"/>
    </xf>
    <xf numFmtId="0" fontId="84" fillId="0" borderId="133" xfId="0" applyFont="1" applyBorder="1" applyAlignment="1">
      <alignment horizontal="center" vertical="center" textRotation="255" shrinkToFit="1"/>
    </xf>
    <xf numFmtId="0" fontId="84" fillId="0" borderId="10" xfId="0" applyFont="1" applyBorder="1" applyAlignment="1">
      <alignment horizontal="center" vertical="center" shrinkToFit="1"/>
    </xf>
    <xf numFmtId="0" fontId="84" fillId="0" borderId="0" xfId="0" applyFont="1" applyAlignment="1">
      <alignment horizontal="center" vertical="center" shrinkToFit="1"/>
    </xf>
    <xf numFmtId="0" fontId="94" fillId="0" borderId="33" xfId="0" applyFont="1" applyBorder="1" applyAlignment="1">
      <alignment horizontal="center" vertical="center" wrapText="1" shrinkToFit="1"/>
    </xf>
    <xf numFmtId="0" fontId="94" fillId="0" borderId="134" xfId="0" applyFont="1" applyBorder="1" applyAlignment="1">
      <alignment horizontal="center" vertical="center" wrapText="1" shrinkToFit="1"/>
    </xf>
    <xf numFmtId="0" fontId="84" fillId="0" borderId="13" xfId="0" applyFont="1" applyBorder="1" applyAlignment="1">
      <alignment horizontal="center" vertical="center" wrapText="1" shrinkToFit="1"/>
    </xf>
    <xf numFmtId="0" fontId="84" fillId="0" borderId="12" xfId="0" applyFont="1" applyBorder="1" applyAlignment="1">
      <alignment horizontal="center" vertical="center" wrapText="1" shrinkToFit="1"/>
    </xf>
    <xf numFmtId="0" fontId="84" fillId="0" borderId="132" xfId="0" applyFont="1" applyBorder="1" applyAlignment="1">
      <alignment horizontal="center" vertical="center" wrapText="1" shrinkToFit="1"/>
    </xf>
    <xf numFmtId="0" fontId="84" fillId="0" borderId="133" xfId="0" applyFont="1" applyBorder="1" applyAlignment="1">
      <alignment horizontal="center" vertical="center" wrapText="1" shrinkToFit="1"/>
    </xf>
    <xf numFmtId="0" fontId="84" fillId="0" borderId="0" xfId="0" applyFont="1" applyAlignment="1">
      <alignment horizontal="center" vertical="center" wrapText="1" shrinkToFit="1"/>
    </xf>
    <xf numFmtId="0" fontId="84" fillId="0" borderId="58" xfId="0" applyFont="1" applyBorder="1" applyAlignment="1">
      <alignment horizontal="center" vertical="center" wrapText="1" shrinkToFit="1"/>
    </xf>
    <xf numFmtId="0" fontId="84" fillId="0" borderId="220" xfId="0" applyFont="1" applyBorder="1" applyAlignment="1">
      <alignment horizontal="center" vertical="center" wrapText="1" shrinkToFit="1"/>
    </xf>
    <xf numFmtId="0" fontId="84" fillId="0" borderId="61" xfId="0" applyFont="1" applyBorder="1" applyAlignment="1">
      <alignment horizontal="center" vertical="center" wrapText="1" shrinkToFit="1"/>
    </xf>
    <xf numFmtId="0" fontId="84" fillId="0" borderId="74" xfId="0" applyFont="1" applyBorder="1" applyAlignment="1">
      <alignment horizontal="center" vertical="center" wrapText="1" shrinkToFit="1"/>
    </xf>
    <xf numFmtId="0" fontId="84" fillId="0" borderId="62" xfId="0" applyFont="1" applyBorder="1" applyAlignment="1">
      <alignment horizontal="center" vertical="center" wrapText="1" shrinkToFit="1"/>
    </xf>
    <xf numFmtId="0" fontId="111" fillId="4" borderId="139" xfId="0" applyFont="1" applyFill="1" applyBorder="1" applyAlignment="1" applyProtection="1">
      <alignment horizontal="center" vertical="center" wrapText="1" shrinkToFit="1"/>
      <protection locked="0"/>
    </xf>
    <xf numFmtId="0" fontId="111" fillId="4" borderId="60" xfId="0" applyFont="1" applyFill="1" applyBorder="1" applyAlignment="1" applyProtection="1">
      <alignment horizontal="center" vertical="center" wrapText="1" shrinkToFit="1"/>
      <protection locked="0"/>
    </xf>
    <xf numFmtId="0" fontId="111" fillId="4" borderId="138" xfId="0" applyFont="1" applyFill="1" applyBorder="1" applyAlignment="1" applyProtection="1">
      <alignment horizontal="center" vertical="center" wrapText="1" shrinkToFit="1"/>
      <protection locked="0"/>
    </xf>
    <xf numFmtId="0" fontId="111" fillId="0" borderId="139" xfId="0" applyFont="1" applyBorder="1" applyAlignment="1" applyProtection="1">
      <alignment horizontal="center" vertical="center" shrinkToFit="1"/>
      <protection locked="0"/>
    </xf>
    <xf numFmtId="0" fontId="111" fillId="0" borderId="61" xfId="0" applyFont="1" applyBorder="1" applyAlignment="1" applyProtection="1">
      <alignment horizontal="center" vertical="center" shrinkToFit="1"/>
      <protection locked="0"/>
    </xf>
    <xf numFmtId="0" fontId="111" fillId="0" borderId="64" xfId="0" applyFont="1" applyBorder="1" applyAlignment="1">
      <alignment horizontal="center" vertical="center" shrinkToFit="1"/>
    </xf>
    <xf numFmtId="0" fontId="111" fillId="0" borderId="16" xfId="0" applyFont="1" applyBorder="1" applyAlignment="1">
      <alignment horizontal="center" vertical="center" shrinkToFit="1"/>
    </xf>
    <xf numFmtId="0" fontId="84" fillId="0" borderId="58" xfId="0" applyFont="1" applyBorder="1" applyAlignment="1">
      <alignment horizontal="center" vertical="center" shrinkToFit="1"/>
    </xf>
    <xf numFmtId="0" fontId="208" fillId="4" borderId="111" xfId="0" applyFont="1" applyFill="1" applyBorder="1" applyAlignment="1" applyProtection="1">
      <alignment horizontal="center" vertical="center" wrapText="1" shrinkToFit="1"/>
      <protection locked="0"/>
    </xf>
    <xf numFmtId="0" fontId="208" fillId="4" borderId="72" xfId="0" applyFont="1" applyFill="1" applyBorder="1" applyAlignment="1" applyProtection="1">
      <alignment horizontal="center" vertical="center" wrapText="1" shrinkToFit="1"/>
      <protection locked="0"/>
    </xf>
    <xf numFmtId="0" fontId="208" fillId="4" borderId="68" xfId="0" applyFont="1" applyFill="1" applyBorder="1" applyAlignment="1" applyProtection="1">
      <alignment horizontal="center" vertical="center" wrapText="1" shrinkToFit="1"/>
      <protection locked="0"/>
    </xf>
    <xf numFmtId="0" fontId="152" fillId="0" borderId="33" xfId="0" applyFont="1" applyBorder="1" applyAlignment="1">
      <alignment horizontal="center" vertical="center" wrapText="1" shrinkToFit="1"/>
    </xf>
    <xf numFmtId="0" fontId="152" fillId="0" borderId="134" xfId="0" applyFont="1" applyBorder="1" applyAlignment="1">
      <alignment horizontal="center" vertical="center" wrapText="1" shrinkToFit="1"/>
    </xf>
    <xf numFmtId="0" fontId="208" fillId="4" borderId="135" xfId="0" applyFont="1" applyFill="1" applyBorder="1" applyAlignment="1" applyProtection="1">
      <alignment horizontal="center" vertical="center" wrapText="1" shrinkToFit="1"/>
      <protection locked="0"/>
    </xf>
    <xf numFmtId="0" fontId="208" fillId="4" borderId="71" xfId="0" applyFont="1" applyFill="1" applyBorder="1" applyAlignment="1" applyProtection="1">
      <alignment horizontal="center" vertical="center" wrapText="1" shrinkToFit="1"/>
      <protection locked="0"/>
    </xf>
    <xf numFmtId="0" fontId="208" fillId="4" borderId="70" xfId="0" applyFont="1" applyFill="1" applyBorder="1" applyAlignment="1" applyProtection="1">
      <alignment horizontal="center" vertical="center" wrapText="1" shrinkToFit="1"/>
      <protection locked="0"/>
    </xf>
    <xf numFmtId="0" fontId="92" fillId="0" borderId="13" xfId="0" applyFont="1" applyBorder="1" applyAlignment="1">
      <alignment horizontal="center" vertical="center"/>
    </xf>
    <xf numFmtId="0" fontId="92" fillId="0" borderId="66" xfId="0" applyFont="1" applyBorder="1" applyAlignment="1">
      <alignment horizontal="center" vertical="center"/>
    </xf>
    <xf numFmtId="0" fontId="92" fillId="0" borderId="67" xfId="0" applyFont="1" applyBorder="1" applyAlignment="1">
      <alignment horizontal="center" vertical="center"/>
    </xf>
    <xf numFmtId="0" fontId="90" fillId="7" borderId="10" xfId="0" applyFont="1" applyFill="1" applyBorder="1" applyAlignment="1">
      <alignment horizontal="center" vertical="center"/>
    </xf>
    <xf numFmtId="0" fontId="90" fillId="7" borderId="14" xfId="0" applyFont="1" applyFill="1" applyBorder="1" applyAlignment="1">
      <alignment horizontal="center" vertical="center"/>
    </xf>
    <xf numFmtId="0" fontId="90" fillId="7" borderId="2" xfId="0" applyFont="1" applyFill="1" applyBorder="1" applyAlignment="1">
      <alignment horizontal="center" vertical="center"/>
    </xf>
    <xf numFmtId="0" fontId="90" fillId="7" borderId="3" xfId="0" applyFont="1" applyFill="1" applyBorder="1" applyAlignment="1">
      <alignment horizontal="center" vertical="center"/>
    </xf>
    <xf numFmtId="0" fontId="80" fillId="0" borderId="0" xfId="0" applyFont="1" applyAlignment="1">
      <alignment horizontal="left" vertical="center"/>
    </xf>
    <xf numFmtId="0" fontId="84" fillId="0" borderId="20" xfId="0" applyFont="1" applyBorder="1" applyAlignment="1">
      <alignment horizontal="center" vertical="center" shrinkToFit="1"/>
    </xf>
    <xf numFmtId="0" fontId="84" fillId="0" borderId="75" xfId="0" applyFont="1" applyBorder="1" applyAlignment="1">
      <alignment horizontal="center" vertical="center" shrinkToFit="1"/>
    </xf>
    <xf numFmtId="0" fontId="84" fillId="0" borderId="51" xfId="0" applyFont="1" applyBorder="1" applyAlignment="1">
      <alignment horizontal="center" vertical="center" shrinkToFit="1"/>
    </xf>
    <xf numFmtId="0" fontId="84" fillId="0" borderId="17" xfId="0" applyFont="1" applyBorder="1" applyAlignment="1">
      <alignment horizontal="center" vertical="center" shrinkToFit="1"/>
    </xf>
    <xf numFmtId="0" fontId="25" fillId="0" borderId="0" xfId="0" applyFont="1">
      <alignment vertical="center"/>
    </xf>
    <xf numFmtId="0" fontId="25" fillId="0" borderId="0" xfId="0" applyFont="1" applyAlignment="1">
      <alignment vertical="center" wrapText="1"/>
    </xf>
    <xf numFmtId="0" fontId="17" fillId="0" borderId="220" xfId="0" applyFont="1" applyBorder="1" applyAlignment="1">
      <alignment horizontal="center" vertical="center" wrapText="1"/>
    </xf>
    <xf numFmtId="0" fontId="17" fillId="0" borderId="60" xfId="0" applyFont="1" applyBorder="1" applyAlignment="1">
      <alignment horizontal="center" vertical="center" wrapText="1"/>
    </xf>
    <xf numFmtId="0" fontId="17" fillId="0" borderId="61" xfId="0" applyFont="1" applyBorder="1" applyAlignment="1">
      <alignment horizontal="center" vertical="center" wrapText="1"/>
    </xf>
    <xf numFmtId="0" fontId="17" fillId="0" borderId="74" xfId="0" applyFont="1" applyBorder="1" applyAlignment="1">
      <alignment horizontal="center" vertical="center" wrapText="1"/>
    </xf>
    <xf numFmtId="0" fontId="17" fillId="0" borderId="58" xfId="0" applyFont="1" applyBorder="1" applyAlignment="1">
      <alignment horizontal="center" vertical="center" wrapText="1"/>
    </xf>
    <xf numFmtId="0" fontId="17" fillId="0" borderId="62" xfId="0" applyFont="1" applyBorder="1" applyAlignment="1">
      <alignment horizontal="center" vertical="center" wrapText="1"/>
    </xf>
    <xf numFmtId="0" fontId="13" fillId="0" borderId="2" xfId="0" applyFont="1" applyBorder="1">
      <alignment vertical="center"/>
    </xf>
    <xf numFmtId="191" fontId="211" fillId="0" borderId="220" xfId="0" applyNumberFormat="1" applyFont="1" applyBorder="1" applyAlignment="1">
      <alignment horizontal="center" vertical="center"/>
    </xf>
    <xf numFmtId="0" fontId="211" fillId="0" borderId="60" xfId="0" applyFont="1" applyBorder="1" applyAlignment="1">
      <alignment horizontal="center" vertical="center"/>
    </xf>
    <xf numFmtId="0" fontId="211" fillId="0" borderId="61" xfId="0" applyFont="1" applyBorder="1" applyAlignment="1">
      <alignment horizontal="center" vertical="center"/>
    </xf>
    <xf numFmtId="0" fontId="211" fillId="0" borderId="74" xfId="0" applyFont="1" applyBorder="1" applyAlignment="1">
      <alignment horizontal="center" vertical="center"/>
    </xf>
    <xf numFmtId="0" fontId="211" fillId="0" borderId="58" xfId="0" applyFont="1" applyBorder="1" applyAlignment="1">
      <alignment horizontal="center" vertical="center"/>
    </xf>
    <xf numFmtId="0" fontId="211" fillId="0" borderId="62" xfId="0" applyFont="1" applyBorder="1" applyAlignment="1">
      <alignment horizontal="center" vertical="center"/>
    </xf>
    <xf numFmtId="191" fontId="212" fillId="0" borderId="220" xfId="0" applyNumberFormat="1" applyFont="1" applyBorder="1" applyAlignment="1">
      <alignment horizontal="center" vertical="center"/>
    </xf>
    <xf numFmtId="191" fontId="212" fillId="0" borderId="60" xfId="0" applyNumberFormat="1" applyFont="1" applyBorder="1" applyAlignment="1">
      <alignment horizontal="center" vertical="center"/>
    </xf>
    <xf numFmtId="191" fontId="212" fillId="0" borderId="61" xfId="0" applyNumberFormat="1" applyFont="1" applyBorder="1" applyAlignment="1">
      <alignment horizontal="center" vertical="center"/>
    </xf>
    <xf numFmtId="191" fontId="212" fillId="0" borderId="74" xfId="0" applyNumberFormat="1" applyFont="1" applyBorder="1" applyAlignment="1">
      <alignment horizontal="center" vertical="center"/>
    </xf>
    <xf numFmtId="191" fontId="212" fillId="0" borderId="58" xfId="0" applyNumberFormat="1" applyFont="1" applyBorder="1" applyAlignment="1">
      <alignment horizontal="center" vertical="center"/>
    </xf>
    <xf numFmtId="191" fontId="212" fillId="0" borderId="62" xfId="0" applyNumberFormat="1" applyFont="1" applyBorder="1" applyAlignment="1">
      <alignment horizontal="center" vertical="center"/>
    </xf>
    <xf numFmtId="0" fontId="25" fillId="0" borderId="220" xfId="0" applyFont="1" applyBorder="1" applyAlignment="1">
      <alignment horizontal="center" vertical="center"/>
    </xf>
    <xf numFmtId="0" fontId="25" fillId="0" borderId="60" xfId="0" applyFont="1" applyBorder="1" applyAlignment="1">
      <alignment horizontal="center" vertical="center"/>
    </xf>
    <xf numFmtId="0" fontId="25" fillId="0" borderId="61" xfId="0" applyFont="1" applyBorder="1" applyAlignment="1">
      <alignment horizontal="center" vertical="center"/>
    </xf>
    <xf numFmtId="0" fontId="25" fillId="0" borderId="74" xfId="0" applyFont="1" applyBorder="1" applyAlignment="1">
      <alignment horizontal="center" vertical="center"/>
    </xf>
    <xf numFmtId="0" fontId="25" fillId="0" borderId="58" xfId="0" applyFont="1" applyBorder="1" applyAlignment="1">
      <alignment horizontal="center" vertical="center"/>
    </xf>
    <xf numFmtId="0" fontId="25" fillId="0" borderId="62" xfId="0" applyFont="1" applyBorder="1" applyAlignment="1">
      <alignment horizontal="center" vertical="center"/>
    </xf>
    <xf numFmtId="0" fontId="84" fillId="0" borderId="0" xfId="0" applyFont="1" applyAlignment="1">
      <alignment horizontal="center" vertical="center"/>
    </xf>
    <xf numFmtId="177" fontId="84" fillId="0" borderId="15" xfId="0" applyNumberFormat="1" applyFont="1" applyBorder="1" applyAlignment="1">
      <alignment horizontal="center" vertical="center"/>
    </xf>
    <xf numFmtId="177" fontId="84" fillId="0" borderId="10" xfId="0" applyNumberFormat="1" applyFont="1" applyBorder="1" applyAlignment="1">
      <alignment horizontal="center" vertical="center"/>
    </xf>
    <xf numFmtId="177" fontId="84" fillId="0" borderId="14" xfId="0" applyNumberFormat="1" applyFont="1" applyBorder="1" applyAlignment="1">
      <alignment horizontal="center" vertical="center"/>
    </xf>
    <xf numFmtId="177" fontId="84" fillId="0" borderId="11" xfId="0" applyNumberFormat="1" applyFont="1" applyBorder="1" applyAlignment="1">
      <alignment horizontal="center" vertical="center"/>
    </xf>
    <xf numFmtId="177" fontId="84" fillId="0" borderId="2" xfId="0" applyNumberFormat="1" applyFont="1" applyBorder="1" applyAlignment="1">
      <alignment horizontal="center" vertical="center"/>
    </xf>
    <xf numFmtId="177" fontId="84" fillId="0" borderId="3" xfId="0" applyNumberFormat="1" applyFont="1" applyBorder="1" applyAlignment="1">
      <alignment horizontal="center" vertical="center"/>
    </xf>
    <xf numFmtId="177" fontId="84" fillId="0" borderId="13" xfId="0" applyNumberFormat="1" applyFont="1" applyBorder="1" applyAlignment="1">
      <alignment horizontal="center" vertical="center" textRotation="255"/>
    </xf>
    <xf numFmtId="177" fontId="84" fillId="0" borderId="0" xfId="0" applyNumberFormat="1" applyFont="1" applyAlignment="1">
      <alignment horizontal="center" vertical="center" textRotation="255"/>
    </xf>
    <xf numFmtId="177" fontId="84" fillId="0" borderId="12" xfId="0" applyNumberFormat="1" applyFont="1" applyBorder="1" applyAlignment="1">
      <alignment horizontal="center" vertical="center" textRotation="255"/>
    </xf>
    <xf numFmtId="177" fontId="84" fillId="0" borderId="11" xfId="0" applyNumberFormat="1" applyFont="1" applyBorder="1" applyAlignment="1">
      <alignment horizontal="center" vertical="center" textRotation="255"/>
    </xf>
    <xf numFmtId="177" fontId="84" fillId="0" borderId="2" xfId="0" applyNumberFormat="1" applyFont="1" applyBorder="1" applyAlignment="1">
      <alignment horizontal="center" vertical="center" textRotation="255"/>
    </xf>
    <xf numFmtId="177" fontId="84" fillId="0" borderId="3" xfId="0" applyNumberFormat="1" applyFont="1" applyBorder="1" applyAlignment="1">
      <alignment horizontal="center" vertical="center" textRotation="255"/>
    </xf>
    <xf numFmtId="0" fontId="116" fillId="0" borderId="51" xfId="0" applyFont="1" applyBorder="1" applyAlignment="1" applyProtection="1">
      <alignment horizontal="center" vertical="center"/>
      <protection locked="0"/>
    </xf>
    <xf numFmtId="0" fontId="116" fillId="0" borderId="17" xfId="0" applyFont="1" applyBorder="1" applyAlignment="1" applyProtection="1">
      <alignment horizontal="center" vertical="center"/>
      <protection locked="0"/>
    </xf>
    <xf numFmtId="0" fontId="116" fillId="0" borderId="150" xfId="0" applyFont="1" applyBorder="1" applyAlignment="1" applyProtection="1">
      <alignment horizontal="center" vertical="center"/>
      <protection locked="0"/>
    </xf>
    <xf numFmtId="0" fontId="0" fillId="0" borderId="221" xfId="0" applyBorder="1" applyAlignment="1">
      <alignment horizontal="center" vertical="center"/>
    </xf>
    <xf numFmtId="177" fontId="84" fillId="0" borderId="149" xfId="0" applyNumberFormat="1" applyFont="1" applyBorder="1" applyAlignment="1">
      <alignment horizontal="center" vertical="center"/>
    </xf>
    <xf numFmtId="177" fontId="84" fillId="0" borderId="148" xfId="0" applyNumberFormat="1" applyFont="1" applyBorder="1" applyAlignment="1">
      <alignment horizontal="center" vertical="center"/>
    </xf>
    <xf numFmtId="177" fontId="84" fillId="0" borderId="147" xfId="0" applyNumberFormat="1" applyFont="1" applyBorder="1" applyAlignment="1">
      <alignment horizontal="center" vertical="center" textRotation="255"/>
    </xf>
    <xf numFmtId="177" fontId="84" fillId="0" borderId="148" xfId="0" applyNumberFormat="1" applyFont="1" applyBorder="1" applyAlignment="1">
      <alignment horizontal="center" vertical="center" textRotation="255"/>
    </xf>
    <xf numFmtId="177" fontId="84" fillId="0" borderId="38" xfId="0" applyNumberFormat="1" applyFont="1" applyBorder="1" applyAlignment="1">
      <alignment horizontal="center" vertical="center" textRotation="255"/>
    </xf>
    <xf numFmtId="177" fontId="84" fillId="0" borderId="20" xfId="0" applyNumberFormat="1" applyFont="1" applyBorder="1" applyAlignment="1">
      <alignment horizontal="center" vertical="center" textRotation="255"/>
    </xf>
    <xf numFmtId="0" fontId="103" fillId="0" borderId="0" xfId="0" applyFont="1" applyAlignment="1">
      <alignment horizontal="left" vertical="center" wrapText="1"/>
    </xf>
    <xf numFmtId="0" fontId="119" fillId="0" borderId="0" xfId="0" applyFont="1" applyAlignment="1">
      <alignment horizontal="left" vertical="center" wrapText="1"/>
    </xf>
    <xf numFmtId="0" fontId="84" fillId="8" borderId="0" xfId="0" applyFont="1" applyFill="1" applyAlignment="1">
      <alignment horizontal="left" vertical="top" wrapText="1"/>
    </xf>
    <xf numFmtId="177" fontId="84" fillId="0" borderId="21" xfId="0" applyNumberFormat="1" applyFont="1" applyBorder="1" applyAlignment="1">
      <alignment horizontal="center" vertical="center" textRotation="255"/>
    </xf>
    <xf numFmtId="177" fontId="84" fillId="0" borderId="22" xfId="0" applyNumberFormat="1" applyFont="1" applyBorder="1" applyAlignment="1">
      <alignment horizontal="center" vertical="center" textRotation="255"/>
    </xf>
    <xf numFmtId="49" fontId="116" fillId="0" borderId="51" xfId="0" applyNumberFormat="1" applyFont="1" applyBorder="1" applyAlignment="1" applyProtection="1">
      <alignment horizontal="center" vertical="center" wrapText="1"/>
      <protection locked="0"/>
    </xf>
    <xf numFmtId="49" fontId="116" fillId="0" borderId="17" xfId="0" applyNumberFormat="1" applyFont="1" applyBorder="1" applyAlignment="1" applyProtection="1">
      <alignment horizontal="center" vertical="center"/>
      <protection locked="0"/>
    </xf>
    <xf numFmtId="49" fontId="116" fillId="0" borderId="50" xfId="0" applyNumberFormat="1" applyFont="1" applyBorder="1" applyAlignment="1" applyProtection="1">
      <alignment horizontal="center" vertical="center"/>
      <protection locked="0"/>
    </xf>
    <xf numFmtId="177" fontId="84" fillId="0" borderId="15" xfId="0" applyNumberFormat="1" applyFont="1" applyBorder="1" applyAlignment="1">
      <alignment horizontal="center" vertical="center" wrapText="1"/>
    </xf>
    <xf numFmtId="0" fontId="0" fillId="0" borderId="20" xfId="0" applyBorder="1" applyAlignment="1">
      <alignment horizontal="center" vertical="center"/>
    </xf>
    <xf numFmtId="0" fontId="93" fillId="0" borderId="58" xfId="0" applyFont="1" applyBorder="1" applyAlignment="1">
      <alignment horizontal="center" vertical="center"/>
    </xf>
    <xf numFmtId="0" fontId="39" fillId="0" borderId="20" xfId="0" applyFont="1" applyBorder="1" applyAlignment="1">
      <alignment horizontal="center" vertical="center"/>
    </xf>
    <xf numFmtId="49" fontId="116" fillId="0" borderId="51" xfId="0" applyNumberFormat="1" applyFont="1" applyBorder="1" applyAlignment="1" applyProtection="1">
      <alignment horizontal="center" vertical="center"/>
      <protection locked="0"/>
    </xf>
    <xf numFmtId="178" fontId="112" fillId="0" borderId="0" xfId="0" applyNumberFormat="1" applyFont="1" applyAlignment="1">
      <alignment horizontal="center" vertical="center"/>
    </xf>
    <xf numFmtId="178" fontId="112" fillId="0" borderId="2" xfId="0" applyNumberFormat="1" applyFont="1" applyBorder="1" applyAlignment="1">
      <alignment horizontal="center" vertical="center"/>
    </xf>
    <xf numFmtId="0" fontId="84" fillId="0" borderId="2" xfId="0" applyFont="1" applyBorder="1" applyAlignment="1">
      <alignment horizontal="center" vertical="center"/>
    </xf>
    <xf numFmtId="49" fontId="116" fillId="0" borderId="20" xfId="0" applyNumberFormat="1" applyFont="1" applyBorder="1" applyAlignment="1" applyProtection="1">
      <alignment horizontal="center" vertical="center"/>
      <protection locked="0"/>
    </xf>
    <xf numFmtId="177" fontId="84" fillId="0" borderId="13" xfId="0" applyNumberFormat="1" applyFont="1" applyBorder="1" applyAlignment="1">
      <alignment horizontal="center" vertical="center"/>
    </xf>
    <xf numFmtId="177" fontId="84" fillId="0" borderId="0" xfId="0" applyNumberFormat="1" applyFont="1" applyAlignment="1">
      <alignment horizontal="center" vertical="center"/>
    </xf>
    <xf numFmtId="177" fontId="84" fillId="0" borderId="12" xfId="0" applyNumberFormat="1" applyFont="1" applyBorder="1" applyAlignment="1">
      <alignment horizontal="center" vertical="center"/>
    </xf>
    <xf numFmtId="0" fontId="84" fillId="0" borderId="151" xfId="0" applyFont="1" applyBorder="1" applyAlignment="1">
      <alignment horizontal="center" vertical="center"/>
    </xf>
    <xf numFmtId="0" fontId="84" fillId="0" borderId="152" xfId="0" applyFont="1" applyBorder="1" applyAlignment="1">
      <alignment horizontal="center" vertical="center"/>
    </xf>
    <xf numFmtId="0" fontId="84" fillId="0" borderId="153" xfId="0" applyFont="1" applyBorder="1" applyAlignment="1">
      <alignment horizontal="center" vertical="center"/>
    </xf>
    <xf numFmtId="178" fontId="112" fillId="0" borderId="0" xfId="0" applyNumberFormat="1" applyFont="1" applyAlignment="1">
      <alignment horizontal="center" vertical="center" shrinkToFit="1"/>
    </xf>
    <xf numFmtId="178" fontId="112" fillId="0" borderId="2" xfId="0" applyNumberFormat="1" applyFont="1" applyBorder="1" applyAlignment="1">
      <alignment horizontal="center" vertical="center" shrinkToFit="1"/>
    </xf>
    <xf numFmtId="178" fontId="112" fillId="0" borderId="10" xfId="0" applyNumberFormat="1" applyFont="1" applyBorder="1" applyAlignment="1">
      <alignment horizontal="center" vertical="center" shrinkToFit="1"/>
    </xf>
    <xf numFmtId="49" fontId="116" fillId="0" borderId="15" xfId="0" applyNumberFormat="1" applyFont="1" applyBorder="1" applyAlignment="1" applyProtection="1">
      <alignment horizontal="center" vertical="center"/>
      <protection locked="0"/>
    </xf>
    <xf numFmtId="49" fontId="116" fillId="0" borderId="10" xfId="0" applyNumberFormat="1" applyFont="1" applyBorder="1" applyAlignment="1" applyProtection="1">
      <alignment horizontal="center" vertical="center"/>
      <protection locked="0"/>
    </xf>
    <xf numFmtId="49" fontId="116" fillId="0" borderId="14" xfId="0" applyNumberFormat="1" applyFont="1" applyBorder="1" applyAlignment="1" applyProtection="1">
      <alignment horizontal="center" vertical="center"/>
      <protection locked="0"/>
    </xf>
    <xf numFmtId="0" fontId="84" fillId="0" borderId="20" xfId="0" applyFont="1" applyBorder="1" applyAlignment="1">
      <alignment horizontal="center" vertical="center"/>
    </xf>
    <xf numFmtId="0" fontId="99" fillId="0" borderId="10" xfId="0" applyFont="1" applyBorder="1" applyAlignment="1">
      <alignment horizontal="center" vertical="center"/>
    </xf>
    <xf numFmtId="178" fontId="112" fillId="0" borderId="10" xfId="0" applyNumberFormat="1" applyFont="1" applyBorder="1" applyAlignment="1">
      <alignment horizontal="center" vertical="center"/>
    </xf>
    <xf numFmtId="0" fontId="106" fillId="8" borderId="0" xfId="0" applyFont="1" applyFill="1" applyAlignment="1">
      <alignment horizontal="center" vertical="center"/>
    </xf>
    <xf numFmtId="0" fontId="104" fillId="0" borderId="100" xfId="0" applyFont="1" applyBorder="1" applyAlignment="1">
      <alignment vertical="center" wrapText="1"/>
    </xf>
    <xf numFmtId="0" fontId="104" fillId="0" borderId="86" xfId="0" applyFont="1" applyBorder="1" applyAlignment="1">
      <alignment vertical="center" wrapText="1"/>
    </xf>
    <xf numFmtId="0" fontId="104" fillId="0" borderId="154" xfId="0" applyFont="1" applyBorder="1" applyAlignment="1">
      <alignment vertical="center" wrapText="1"/>
    </xf>
    <xf numFmtId="0" fontId="84" fillId="0" borderId="51" xfId="0" applyFont="1" applyBorder="1" applyAlignment="1">
      <alignment horizontal="center" vertical="center" textRotation="255"/>
    </xf>
    <xf numFmtId="49" fontId="106" fillId="3" borderId="100" xfId="0" applyNumberFormat="1" applyFont="1" applyFill="1" applyBorder="1" applyAlignment="1">
      <alignment horizontal="center" vertical="center"/>
    </xf>
    <xf numFmtId="49" fontId="106" fillId="3" borderId="86" xfId="0" applyNumberFormat="1" applyFont="1" applyFill="1" applyBorder="1" applyAlignment="1">
      <alignment horizontal="center" vertical="center"/>
    </xf>
    <xf numFmtId="49" fontId="106" fillId="3" borderId="155" xfId="0" applyNumberFormat="1" applyFont="1" applyFill="1" applyBorder="1" applyAlignment="1">
      <alignment horizontal="center" vertical="center"/>
    </xf>
    <xf numFmtId="0" fontId="104" fillId="0" borderId="155" xfId="0" applyFont="1" applyBorder="1" applyAlignment="1">
      <alignment vertical="center" wrapText="1"/>
    </xf>
    <xf numFmtId="49" fontId="106" fillId="3" borderId="100" xfId="0" applyNumberFormat="1" applyFont="1" applyFill="1" applyBorder="1" applyAlignment="1">
      <alignment horizontal="center" vertical="center" wrapText="1"/>
    </xf>
    <xf numFmtId="49" fontId="106" fillId="3" borderId="154" xfId="0" applyNumberFormat="1" applyFont="1" applyFill="1" applyBorder="1" applyAlignment="1">
      <alignment horizontal="center" vertical="center"/>
    </xf>
    <xf numFmtId="49" fontId="106" fillId="3" borderId="99" xfId="0" applyNumberFormat="1" applyFont="1" applyFill="1" applyBorder="1" applyAlignment="1">
      <alignment horizontal="center" vertical="center"/>
    </xf>
    <xf numFmtId="0" fontId="104" fillId="0" borderId="57" xfId="0" applyFont="1" applyBorder="1" applyAlignment="1">
      <alignment vertical="center" wrapText="1"/>
    </xf>
    <xf numFmtId="0" fontId="84" fillId="0" borderId="15" xfId="0" applyFont="1" applyBorder="1" applyAlignment="1">
      <alignment horizontal="center" vertical="center" textRotation="255"/>
    </xf>
    <xf numFmtId="0" fontId="84" fillId="0" borderId="11" xfId="0" applyFont="1" applyBorder="1" applyAlignment="1">
      <alignment horizontal="center" vertical="center" textRotation="255"/>
    </xf>
    <xf numFmtId="49" fontId="106" fillId="17" borderId="57" xfId="0" applyNumberFormat="1" applyFont="1" applyFill="1" applyBorder="1" applyAlignment="1">
      <alignment horizontal="center" vertical="center"/>
    </xf>
    <xf numFmtId="49" fontId="106" fillId="17" borderId="155" xfId="0" applyNumberFormat="1" applyFont="1" applyFill="1" applyBorder="1" applyAlignment="1">
      <alignment horizontal="center" vertical="center"/>
    </xf>
    <xf numFmtId="49" fontId="94" fillId="0" borderId="111" xfId="0" applyNumberFormat="1" applyFont="1" applyBorder="1" applyAlignment="1">
      <alignment horizontal="center" vertical="center"/>
    </xf>
    <xf numFmtId="49" fontId="94" fillId="0" borderId="68" xfId="0" applyNumberFormat="1" applyFont="1" applyBorder="1" applyAlignment="1">
      <alignment horizontal="center" vertical="center"/>
    </xf>
    <xf numFmtId="0" fontId="94" fillId="0" borderId="111" xfId="0" applyFont="1" applyBorder="1" applyAlignment="1">
      <alignment horizontal="center" vertical="center"/>
    </xf>
    <xf numFmtId="0" fontId="94" fillId="0" borderId="68" xfId="0" applyFont="1" applyBorder="1" applyAlignment="1">
      <alignment horizontal="center" vertical="center"/>
    </xf>
    <xf numFmtId="49" fontId="94" fillId="0" borderId="111" xfId="0" applyNumberFormat="1" applyFont="1" applyBorder="1" applyAlignment="1">
      <alignment horizontal="center" vertical="center" wrapText="1"/>
    </xf>
    <xf numFmtId="49" fontId="94" fillId="0" borderId="68" xfId="0" applyNumberFormat="1" applyFont="1" applyBorder="1" applyAlignment="1">
      <alignment horizontal="center" vertical="center" wrapText="1"/>
    </xf>
    <xf numFmtId="49" fontId="116" fillId="0" borderId="15" xfId="0" applyNumberFormat="1" applyFont="1" applyBorder="1" applyAlignment="1" applyProtection="1">
      <alignment horizontal="center" vertical="center" wrapText="1"/>
      <protection locked="0"/>
    </xf>
    <xf numFmtId="0" fontId="84" fillId="5" borderId="57" xfId="0" applyFont="1" applyFill="1" applyBorder="1" applyAlignment="1">
      <alignment horizontal="center" vertical="center"/>
    </xf>
    <xf numFmtId="0" fontId="84" fillId="5" borderId="155" xfId="0" applyFont="1" applyFill="1" applyBorder="1" applyAlignment="1">
      <alignment horizontal="center" vertical="center"/>
    </xf>
    <xf numFmtId="0" fontId="99" fillId="0" borderId="0" xfId="0" applyFont="1" applyAlignment="1">
      <alignment horizontal="center"/>
    </xf>
    <xf numFmtId="0" fontId="106" fillId="3" borderId="57" xfId="0" applyFont="1" applyFill="1" applyBorder="1" applyAlignment="1">
      <alignment horizontal="center" vertical="center"/>
    </xf>
    <xf numFmtId="0" fontId="106" fillId="3" borderId="155" xfId="0" applyFont="1" applyFill="1" applyBorder="1" applyAlignment="1">
      <alignment horizontal="center" vertical="center"/>
    </xf>
    <xf numFmtId="0" fontId="106" fillId="17" borderId="57" xfId="0" applyFont="1" applyFill="1" applyBorder="1" applyAlignment="1">
      <alignment horizontal="center" vertical="center" wrapText="1"/>
    </xf>
    <xf numFmtId="0" fontId="106" fillId="17" borderId="155" xfId="0" applyFont="1" applyFill="1" applyBorder="1" applyAlignment="1">
      <alignment horizontal="center" vertical="center" wrapText="1"/>
    </xf>
    <xf numFmtId="49" fontId="106" fillId="18" borderId="57" xfId="0" applyNumberFormat="1" applyFont="1" applyFill="1" applyBorder="1" applyAlignment="1">
      <alignment horizontal="center" vertical="center"/>
    </xf>
    <xf numFmtId="49" fontId="106" fillId="18" borderId="155" xfId="0" applyNumberFormat="1" applyFont="1" applyFill="1" applyBorder="1" applyAlignment="1">
      <alignment horizontal="center" vertical="center"/>
    </xf>
    <xf numFmtId="0" fontId="94" fillId="0" borderId="111" xfId="0" applyFont="1" applyBorder="1" applyAlignment="1">
      <alignment horizontal="center" vertical="center" wrapText="1"/>
    </xf>
    <xf numFmtId="0" fontId="94" fillId="0" borderId="68" xfId="0" applyFont="1" applyBorder="1" applyAlignment="1">
      <alignment horizontal="center" vertical="center" wrapText="1"/>
    </xf>
    <xf numFmtId="49" fontId="106" fillId="3" borderId="98" xfId="0" applyNumberFormat="1" applyFont="1" applyFill="1" applyBorder="1" applyAlignment="1">
      <alignment horizontal="center" vertical="center"/>
    </xf>
    <xf numFmtId="49" fontId="106" fillId="3" borderId="99" xfId="0" applyNumberFormat="1" applyFont="1" applyFill="1" applyBorder="1" applyAlignment="1">
      <alignment horizontal="center" vertical="center" wrapText="1"/>
    </xf>
    <xf numFmtId="0" fontId="84" fillId="0" borderId="14" xfId="0" applyFont="1" applyBorder="1" applyAlignment="1">
      <alignment horizontal="center" vertical="center"/>
    </xf>
    <xf numFmtId="0" fontId="84" fillId="0" borderId="12" xfId="0" applyFont="1" applyBorder="1" applyAlignment="1">
      <alignment horizontal="center" vertical="center"/>
    </xf>
    <xf numFmtId="0" fontId="84" fillId="0" borderId="50" xfId="0" applyFont="1" applyBorder="1" applyAlignment="1">
      <alignment horizontal="center" vertical="center"/>
    </xf>
    <xf numFmtId="191" fontId="112" fillId="0" borderId="10" xfId="0" applyNumberFormat="1" applyFont="1" applyBorder="1" applyAlignment="1">
      <alignment horizontal="center" vertical="center" shrinkToFit="1"/>
    </xf>
    <xf numFmtId="191" fontId="112" fillId="0" borderId="2" xfId="0" applyNumberFormat="1" applyFont="1" applyBorder="1" applyAlignment="1">
      <alignment horizontal="center" vertical="center" shrinkToFit="1"/>
    </xf>
    <xf numFmtId="0" fontId="84" fillId="0" borderId="2" xfId="0" applyFont="1" applyBorder="1" applyAlignment="1">
      <alignment horizontal="center" vertical="center" shrinkToFit="1"/>
    </xf>
    <xf numFmtId="191" fontId="84" fillId="0" borderId="0" xfId="0" applyNumberFormat="1" applyFont="1" applyAlignment="1">
      <alignment horizontal="center" vertical="center" shrinkToFit="1"/>
    </xf>
    <xf numFmtId="191" fontId="84" fillId="0" borderId="2" xfId="0" applyNumberFormat="1" applyFont="1" applyBorder="1" applyAlignment="1">
      <alignment horizontal="center" vertical="center" shrinkToFit="1"/>
    </xf>
    <xf numFmtId="0" fontId="0" fillId="0" borderId="0" xfId="0" applyAlignment="1">
      <alignment horizontal="center" vertical="center"/>
    </xf>
    <xf numFmtId="0" fontId="124" fillId="0" borderId="0" xfId="0" applyFont="1" applyAlignment="1">
      <alignment horizontal="left" vertical="top" wrapText="1"/>
    </xf>
    <xf numFmtId="0" fontId="124" fillId="17" borderId="10" xfId="0" applyFont="1" applyFill="1" applyBorder="1" applyAlignment="1">
      <alignment horizontal="left" vertical="center" wrapText="1"/>
    </xf>
    <xf numFmtId="0" fontId="124" fillId="17" borderId="0" xfId="0" applyFont="1" applyFill="1" applyAlignment="1">
      <alignment horizontal="left" vertical="center" wrapText="1"/>
    </xf>
    <xf numFmtId="0" fontId="124" fillId="12" borderId="20" xfId="0" applyFont="1" applyFill="1" applyBorder="1" applyAlignment="1">
      <alignment horizontal="center" vertical="center" wrapText="1"/>
    </xf>
    <xf numFmtId="0" fontId="167" fillId="0" borderId="57" xfId="0" applyFont="1" applyBorder="1" applyAlignment="1">
      <alignment horizontal="center" vertical="center" shrinkToFit="1"/>
    </xf>
    <xf numFmtId="0" fontId="167" fillId="0" borderId="86" xfId="0" applyFont="1" applyBorder="1" applyAlignment="1">
      <alignment horizontal="center" vertical="center" shrinkToFit="1"/>
    </xf>
    <xf numFmtId="0" fontId="167" fillId="0" borderId="155" xfId="0" applyFont="1" applyBorder="1" applyAlignment="1">
      <alignment horizontal="center" vertical="center" shrinkToFit="1"/>
    </xf>
    <xf numFmtId="0" fontId="102" fillId="0" borderId="57" xfId="0" applyFont="1" applyBorder="1" applyAlignment="1">
      <alignment horizontal="center" vertical="center" shrinkToFit="1"/>
    </xf>
    <xf numFmtId="0" fontId="102" fillId="0" borderId="86" xfId="0" applyFont="1" applyBorder="1" applyAlignment="1">
      <alignment horizontal="center" vertical="center" shrinkToFit="1"/>
    </xf>
    <xf numFmtId="0" fontId="102" fillId="0" borderId="154" xfId="0" applyFont="1" applyBorder="1" applyAlignment="1">
      <alignment horizontal="center" vertical="center" shrinkToFit="1"/>
    </xf>
    <xf numFmtId="0" fontId="102" fillId="0" borderId="315" xfId="0" applyFont="1" applyBorder="1" applyAlignment="1">
      <alignment horizontal="center" vertical="center" textRotation="255" wrapText="1" shrinkToFit="1"/>
    </xf>
    <xf numFmtId="0" fontId="102" fillId="0" borderId="316" xfId="0" applyFont="1" applyBorder="1" applyAlignment="1">
      <alignment horizontal="center" vertical="center" textRotation="255" wrapText="1" shrinkToFit="1"/>
    </xf>
    <xf numFmtId="0" fontId="102" fillId="0" borderId="317" xfId="0" applyFont="1" applyBorder="1" applyAlignment="1">
      <alignment horizontal="center" vertical="center" textRotation="255" wrapText="1" shrinkToFit="1"/>
    </xf>
    <xf numFmtId="0" fontId="102" fillId="0" borderId="111" xfId="0" applyFont="1" applyBorder="1" applyAlignment="1">
      <alignment horizontal="center" vertical="center" justifyLastLine="1"/>
    </xf>
    <xf numFmtId="0" fontId="102" fillId="0" borderId="72" xfId="0" applyFont="1" applyBorder="1" applyAlignment="1">
      <alignment horizontal="center" vertical="center" justifyLastLine="1"/>
    </xf>
    <xf numFmtId="0" fontId="102" fillId="0" borderId="68" xfId="0" applyFont="1" applyBorder="1" applyAlignment="1">
      <alignment horizontal="center" vertical="center" justifyLastLine="1"/>
    </xf>
    <xf numFmtId="0" fontId="124" fillId="0" borderId="111" xfId="0" applyFont="1" applyBorder="1" applyAlignment="1" applyProtection="1">
      <alignment horizontal="left" vertical="center" shrinkToFit="1"/>
      <protection locked="0"/>
    </xf>
    <xf numFmtId="0" fontId="124" fillId="0" borderId="72" xfId="0" applyFont="1" applyBorder="1" applyAlignment="1" applyProtection="1">
      <alignment horizontal="left" vertical="center" shrinkToFit="1"/>
      <protection locked="0"/>
    </xf>
    <xf numFmtId="0" fontId="124" fillId="0" borderId="16" xfId="0" applyFont="1" applyBorder="1" applyAlignment="1" applyProtection="1">
      <alignment horizontal="left" vertical="center" shrinkToFit="1"/>
      <protection locked="0"/>
    </xf>
    <xf numFmtId="0" fontId="90" fillId="7" borderId="64" xfId="0" applyFont="1" applyFill="1" applyBorder="1" applyAlignment="1">
      <alignment horizontal="center" vertical="center" wrapText="1"/>
    </xf>
    <xf numFmtId="0" fontId="90" fillId="7" borderId="72" xfId="0" applyFont="1" applyFill="1" applyBorder="1" applyAlignment="1">
      <alignment horizontal="center" vertical="center" wrapText="1"/>
    </xf>
    <xf numFmtId="0" fontId="90" fillId="7" borderId="16" xfId="0" applyFont="1" applyFill="1" applyBorder="1" applyAlignment="1">
      <alignment horizontal="center" vertical="center" wrapText="1"/>
    </xf>
    <xf numFmtId="0" fontId="102" fillId="0" borderId="51" xfId="0" applyFont="1" applyBorder="1" applyAlignment="1">
      <alignment horizontal="center" vertical="center" justifyLastLine="1"/>
    </xf>
    <xf numFmtId="0" fontId="102" fillId="0" borderId="17" xfId="0" applyFont="1" applyBorder="1" applyAlignment="1">
      <alignment horizontal="center" vertical="center" justifyLastLine="1"/>
    </xf>
    <xf numFmtId="0" fontId="102" fillId="0" borderId="50" xfId="0" applyFont="1" applyBorder="1" applyAlignment="1">
      <alignment horizontal="center" vertical="center" justifyLastLine="1"/>
    </xf>
    <xf numFmtId="0" fontId="124" fillId="0" borderId="51" xfId="0" applyFont="1" applyBorder="1" applyAlignment="1" applyProtection="1">
      <alignment horizontal="left" vertical="center" shrinkToFit="1"/>
      <protection locked="0"/>
    </xf>
    <xf numFmtId="0" fontId="124" fillId="0" borderId="17" xfId="0" applyFont="1" applyBorder="1" applyAlignment="1" applyProtection="1">
      <alignment horizontal="left" vertical="center" shrinkToFit="1"/>
      <protection locked="0"/>
    </xf>
    <xf numFmtId="0" fontId="124" fillId="0" borderId="73" xfId="0" applyFont="1" applyBorder="1" applyAlignment="1" applyProtection="1">
      <alignment horizontal="left" vertical="center" shrinkToFit="1"/>
      <protection locked="0"/>
    </xf>
    <xf numFmtId="0" fontId="90" fillId="7" borderId="69" xfId="0" applyFont="1" applyFill="1" applyBorder="1" applyAlignment="1">
      <alignment horizontal="center" vertical="center" wrapText="1"/>
    </xf>
    <xf numFmtId="0" fontId="90" fillId="7" borderId="17" xfId="0" applyFont="1" applyFill="1" applyBorder="1" applyAlignment="1">
      <alignment horizontal="center" vertical="center" wrapText="1"/>
    </xf>
    <xf numFmtId="0" fontId="90" fillId="7" borderId="73" xfId="0" applyFont="1" applyFill="1" applyBorder="1" applyAlignment="1">
      <alignment horizontal="center" vertical="center" wrapText="1"/>
    </xf>
    <xf numFmtId="0" fontId="102" fillId="0" borderId="135" xfId="0" applyFont="1" applyBorder="1" applyAlignment="1">
      <alignment horizontal="center" vertical="center" justifyLastLine="1"/>
    </xf>
    <xf numFmtId="0" fontId="102" fillId="0" borderId="71" xfId="0" applyFont="1" applyBorder="1" applyAlignment="1">
      <alignment horizontal="center" vertical="center" justifyLastLine="1"/>
    </xf>
    <xf numFmtId="0" fontId="102" fillId="0" borderId="70" xfId="0" applyFont="1" applyBorder="1" applyAlignment="1">
      <alignment horizontal="center" vertical="center" justifyLastLine="1"/>
    </xf>
    <xf numFmtId="0" fontId="124" fillId="0" borderId="135" xfId="0" applyFont="1" applyBorder="1" applyAlignment="1" applyProtection="1">
      <alignment horizontal="left" vertical="center" shrinkToFit="1"/>
      <protection locked="0"/>
    </xf>
    <xf numFmtId="0" fontId="124" fillId="0" borderId="71" xfId="0" applyFont="1" applyBorder="1" applyAlignment="1" applyProtection="1">
      <alignment horizontal="left" vertical="center" shrinkToFit="1"/>
      <protection locked="0"/>
    </xf>
    <xf numFmtId="0" fontId="124" fillId="0" borderId="18" xfId="0" applyFont="1" applyBorder="1" applyAlignment="1" applyProtection="1">
      <alignment horizontal="left" vertical="center" shrinkToFit="1"/>
      <protection locked="0"/>
    </xf>
    <xf numFmtId="176" fontId="93" fillId="0" borderId="182" xfId="0" applyNumberFormat="1" applyFont="1" applyBorder="1" applyAlignment="1" applyProtection="1">
      <alignment horizontal="center" vertical="center" shrinkToFit="1"/>
      <protection locked="0"/>
    </xf>
    <xf numFmtId="176" fontId="93" fillId="0" borderId="41" xfId="0" applyNumberFormat="1" applyFont="1" applyBorder="1" applyAlignment="1" applyProtection="1">
      <alignment horizontal="center" vertical="center" shrinkToFit="1"/>
      <protection locked="0"/>
    </xf>
    <xf numFmtId="176" fontId="93" fillId="0" borderId="26" xfId="0" applyNumberFormat="1" applyFont="1" applyBorder="1" applyAlignment="1" applyProtection="1">
      <alignment horizontal="center" vertical="center" shrinkToFit="1"/>
      <protection locked="0"/>
    </xf>
    <xf numFmtId="176" fontId="93" fillId="0" borderId="44" xfId="0" applyNumberFormat="1" applyFont="1" applyBorder="1" applyAlignment="1" applyProtection="1">
      <alignment horizontal="center" vertical="center" shrinkToFit="1"/>
      <protection locked="0"/>
    </xf>
    <xf numFmtId="0" fontId="90" fillId="7" borderId="302" xfId="0" applyFont="1" applyFill="1" applyBorder="1" applyAlignment="1">
      <alignment horizontal="center" vertical="center" wrapText="1"/>
    </xf>
    <xf numFmtId="0" fontId="90" fillId="7" borderId="53" xfId="0" applyFont="1" applyFill="1" applyBorder="1" applyAlignment="1">
      <alignment horizontal="center" vertical="center" wrapText="1"/>
    </xf>
    <xf numFmtId="0" fontId="90" fillId="7" borderId="303" xfId="0" applyFont="1" applyFill="1" applyBorder="1" applyAlignment="1">
      <alignment horizontal="center" vertical="center" wrapText="1"/>
    </xf>
    <xf numFmtId="0" fontId="90" fillId="13" borderId="69" xfId="0" applyFont="1" applyFill="1" applyBorder="1" applyAlignment="1">
      <alignment horizontal="center" vertical="center" wrapText="1"/>
    </xf>
    <xf numFmtId="0" fontId="90" fillId="13" borderId="17" xfId="0" applyFont="1" applyFill="1" applyBorder="1" applyAlignment="1">
      <alignment horizontal="center" vertical="center" wrapText="1"/>
    </xf>
    <xf numFmtId="0" fontId="90" fillId="13" borderId="73" xfId="0" applyFont="1" applyFill="1" applyBorder="1" applyAlignment="1">
      <alignment horizontal="center" vertical="center" wrapText="1"/>
    </xf>
    <xf numFmtId="0" fontId="110" fillId="0" borderId="50" xfId="0" applyFont="1" applyBorder="1" applyAlignment="1">
      <alignment horizontal="center" vertical="center" wrapText="1" shrinkToFit="1"/>
    </xf>
    <xf numFmtId="0" fontId="110" fillId="0" borderId="20" xfId="0" applyFont="1" applyBorder="1" applyAlignment="1">
      <alignment horizontal="center" vertical="center" shrinkToFit="1"/>
    </xf>
    <xf numFmtId="176" fontId="93" fillId="0" borderId="31" xfId="0" applyNumberFormat="1" applyFont="1" applyBorder="1" applyAlignment="1" applyProtection="1">
      <alignment horizontal="center" vertical="center" shrinkToFit="1"/>
      <protection locked="0"/>
    </xf>
    <xf numFmtId="176" fontId="93" fillId="0" borderId="27" xfId="0" applyNumberFormat="1" applyFont="1" applyBorder="1" applyAlignment="1" applyProtection="1">
      <alignment horizontal="center" vertical="center" shrinkToFit="1"/>
      <protection locked="0"/>
    </xf>
    <xf numFmtId="178" fontId="84" fillId="0" borderId="63" xfId="0" applyNumberFormat="1" applyFont="1" applyBorder="1" applyAlignment="1">
      <alignment horizontal="center" vertical="center" wrapText="1" shrinkToFit="1"/>
    </xf>
    <xf numFmtId="178" fontId="110" fillId="0" borderId="63" xfId="0" applyNumberFormat="1" applyFont="1" applyBorder="1" applyAlignment="1">
      <alignment horizontal="center" vertical="center" wrapText="1" shrinkToFit="1"/>
    </xf>
    <xf numFmtId="176" fontId="93" fillId="0" borderId="160" xfId="0" applyNumberFormat="1" applyFont="1" applyBorder="1" applyAlignment="1" applyProtection="1">
      <alignment horizontal="center" vertical="center" shrinkToFit="1"/>
      <protection locked="0"/>
    </xf>
    <xf numFmtId="176" fontId="93" fillId="0" borderId="188" xfId="0" applyNumberFormat="1" applyFont="1" applyBorder="1" applyAlignment="1" applyProtection="1">
      <alignment horizontal="center" vertical="center" shrinkToFit="1"/>
      <protection locked="0"/>
    </xf>
    <xf numFmtId="176" fontId="93" fillId="0" borderId="163" xfId="0" applyNumberFormat="1" applyFont="1" applyBorder="1" applyAlignment="1" applyProtection="1">
      <alignment horizontal="center" vertical="center" shrinkToFit="1"/>
      <protection locked="0"/>
    </xf>
    <xf numFmtId="176" fontId="93" fillId="0" borderId="164" xfId="0" applyNumberFormat="1" applyFont="1" applyBorder="1" applyAlignment="1" applyProtection="1">
      <alignment horizontal="center" vertical="center" shrinkToFit="1"/>
      <protection locked="0"/>
    </xf>
    <xf numFmtId="38" fontId="130" fillId="0" borderId="35" xfId="2" applyFont="1" applyFill="1" applyBorder="1" applyAlignment="1" applyProtection="1">
      <alignment horizontal="right" vertical="center" shrinkToFit="1"/>
    </xf>
    <xf numFmtId="38" fontId="130" fillId="0" borderId="34" xfId="2" applyFont="1" applyFill="1" applyBorder="1" applyAlignment="1" applyProtection="1">
      <alignment horizontal="right" vertical="center" shrinkToFit="1"/>
    </xf>
    <xf numFmtId="38" fontId="130" fillId="0" borderId="186" xfId="2" applyFont="1" applyFill="1" applyBorder="1" applyAlignment="1" applyProtection="1">
      <alignment horizontal="right" vertical="center" shrinkToFit="1"/>
    </xf>
    <xf numFmtId="176" fontId="93" fillId="0" borderId="260" xfId="0" applyNumberFormat="1" applyFont="1" applyBorder="1" applyAlignment="1" applyProtection="1">
      <alignment horizontal="center" vertical="center" shrinkToFit="1"/>
      <protection locked="0"/>
    </xf>
    <xf numFmtId="176" fontId="93" fillId="0" borderId="206" xfId="0" applyNumberFormat="1" applyFont="1" applyBorder="1" applyAlignment="1" applyProtection="1">
      <alignment horizontal="center" vertical="center" shrinkToFit="1"/>
      <protection locked="0"/>
    </xf>
    <xf numFmtId="176" fontId="93" fillId="0" borderId="207" xfId="0" applyNumberFormat="1" applyFont="1" applyBorder="1" applyAlignment="1" applyProtection="1">
      <alignment horizontal="center" vertical="center" shrinkToFit="1"/>
      <protection locked="0"/>
    </xf>
    <xf numFmtId="176" fontId="93" fillId="0" borderId="208" xfId="0" applyNumberFormat="1" applyFont="1" applyBorder="1" applyAlignment="1" applyProtection="1">
      <alignment horizontal="center" vertical="center" shrinkToFit="1"/>
      <protection locked="0"/>
    </xf>
    <xf numFmtId="176" fontId="93" fillId="0" borderId="185" xfId="0" applyNumberFormat="1" applyFont="1" applyBorder="1" applyAlignment="1" applyProtection="1">
      <alignment vertical="center" shrinkToFit="1"/>
      <protection locked="0"/>
    </xf>
    <xf numFmtId="176" fontId="93" fillId="0" borderId="182" xfId="0" applyNumberFormat="1" applyFont="1" applyBorder="1" applyAlignment="1" applyProtection="1">
      <alignment vertical="center" shrinkToFit="1"/>
      <protection locked="0"/>
    </xf>
    <xf numFmtId="176" fontId="93" fillId="0" borderId="108" xfId="0" applyNumberFormat="1" applyFont="1" applyBorder="1" applyAlignment="1" applyProtection="1">
      <alignment vertical="center" shrinkToFit="1"/>
      <protection locked="0"/>
    </xf>
    <xf numFmtId="176" fontId="93" fillId="0" borderId="174" xfId="0" applyNumberFormat="1" applyFont="1" applyBorder="1" applyAlignment="1" applyProtection="1">
      <alignment horizontal="center" vertical="center" shrinkToFit="1"/>
      <protection locked="0"/>
    </xf>
    <xf numFmtId="176" fontId="93" fillId="0" borderId="169" xfId="0" applyNumberFormat="1" applyFont="1" applyBorder="1" applyAlignment="1" applyProtection="1">
      <alignment horizontal="center" vertical="center" shrinkToFit="1"/>
      <protection locked="0"/>
    </xf>
    <xf numFmtId="176" fontId="93" fillId="0" borderId="170" xfId="0" applyNumberFormat="1" applyFont="1" applyBorder="1" applyAlignment="1" applyProtection="1">
      <alignment horizontal="center" vertical="center" shrinkToFit="1"/>
      <protection locked="0"/>
    </xf>
    <xf numFmtId="176" fontId="93" fillId="0" borderId="313" xfId="0" applyNumberFormat="1" applyFont="1" applyBorder="1" applyAlignment="1" applyProtection="1">
      <alignment horizontal="center" vertical="center" shrinkToFit="1"/>
      <protection locked="0"/>
    </xf>
    <xf numFmtId="176" fontId="93" fillId="0" borderId="265" xfId="0" applyNumberFormat="1" applyFont="1" applyBorder="1" applyAlignment="1" applyProtection="1">
      <alignment horizontal="center" vertical="center" shrinkToFit="1"/>
      <protection locked="0"/>
    </xf>
    <xf numFmtId="176" fontId="93" fillId="0" borderId="263" xfId="0" applyNumberFormat="1" applyFont="1" applyBorder="1" applyAlignment="1" applyProtection="1">
      <alignment horizontal="center" vertical="center" shrinkToFit="1"/>
      <protection locked="0"/>
    </xf>
    <xf numFmtId="176" fontId="93" fillId="0" borderId="264" xfId="0" applyNumberFormat="1" applyFont="1" applyBorder="1" applyAlignment="1" applyProtection="1">
      <alignment horizontal="center" vertical="center" shrinkToFit="1"/>
      <protection locked="0"/>
    </xf>
    <xf numFmtId="0" fontId="124" fillId="0" borderId="312" xfId="0" applyFont="1" applyBorder="1" applyAlignment="1">
      <alignment horizontal="center" vertical="center" textRotation="255"/>
    </xf>
    <xf numFmtId="0" fontId="124" fillId="0" borderId="13" xfId="0" applyFont="1" applyBorder="1" applyAlignment="1">
      <alignment horizontal="center" vertical="center" textRotation="255"/>
    </xf>
    <xf numFmtId="0" fontId="124" fillId="0" borderId="11" xfId="0" applyFont="1" applyBorder="1" applyAlignment="1">
      <alignment horizontal="center" vertical="center" textRotation="255"/>
    </xf>
    <xf numFmtId="0" fontId="124" fillId="0" borderId="300" xfId="0" applyFont="1" applyBorder="1" applyAlignment="1">
      <alignment horizontal="center" vertical="distributed" textRotation="255" justifyLastLine="1"/>
    </xf>
    <xf numFmtId="0" fontId="124" fillId="0" borderId="37" xfId="0" applyFont="1" applyBorder="1" applyAlignment="1">
      <alignment horizontal="center" vertical="distributed" textRotation="255" justifyLastLine="1"/>
    </xf>
    <xf numFmtId="0" fontId="124" fillId="0" borderId="38" xfId="0" applyFont="1" applyBorder="1" applyAlignment="1">
      <alignment horizontal="center" vertical="distributed" textRotation="255" justifyLastLine="1"/>
    </xf>
    <xf numFmtId="0" fontId="124" fillId="0" borderId="33" xfId="0" applyFont="1" applyBorder="1" applyAlignment="1">
      <alignment horizontal="center" vertical="distributed" textRotation="255" justifyLastLine="1"/>
    </xf>
    <xf numFmtId="0" fontId="124" fillId="0" borderId="195" xfId="0" applyFont="1" applyBorder="1" applyAlignment="1">
      <alignment horizontal="center" vertical="distributed" textRotation="255" justifyLastLine="1"/>
    </xf>
    <xf numFmtId="0" fontId="110" fillId="0" borderId="245" xfId="0" applyFont="1" applyBorder="1" applyAlignment="1">
      <alignment horizontal="center" vertical="center"/>
    </xf>
    <xf numFmtId="0" fontId="110" fillId="0" borderId="305" xfId="0" applyFont="1" applyBorder="1" applyAlignment="1">
      <alignment horizontal="center" vertical="center"/>
    </xf>
    <xf numFmtId="0" fontId="110" fillId="0" borderId="306" xfId="0" applyFont="1" applyBorder="1" applyAlignment="1">
      <alignment horizontal="center" vertical="center"/>
    </xf>
    <xf numFmtId="0" fontId="129" fillId="0" borderId="248" xfId="0" applyFont="1" applyBorder="1" applyAlignment="1">
      <alignment horizontal="center" vertical="center" shrinkToFit="1"/>
    </xf>
    <xf numFmtId="0" fontId="129" fillId="0" borderId="246" xfId="0" applyFont="1" applyBorder="1" applyAlignment="1">
      <alignment horizontal="center" vertical="center" shrinkToFit="1"/>
    </xf>
    <xf numFmtId="0" fontId="129" fillId="0" borderId="233" xfId="0" applyFont="1" applyBorder="1" applyAlignment="1">
      <alignment horizontal="center" vertical="center" shrinkToFit="1"/>
    </xf>
    <xf numFmtId="6" fontId="130" fillId="0" borderId="309" xfId="4" applyFont="1" applyFill="1" applyBorder="1" applyAlignment="1" applyProtection="1">
      <alignment horizontal="right" vertical="center" shrinkToFit="1"/>
    </xf>
    <xf numFmtId="6" fontId="130" fillId="0" borderId="310" xfId="4" applyFont="1" applyFill="1" applyBorder="1" applyAlignment="1" applyProtection="1">
      <alignment horizontal="right" vertical="center" shrinkToFit="1"/>
    </xf>
    <xf numFmtId="38" fontId="130" fillId="0" borderId="307" xfId="1" applyFont="1" applyFill="1" applyBorder="1" applyAlignment="1" applyProtection="1">
      <alignment horizontal="right" vertical="center" shrinkToFit="1"/>
    </xf>
    <xf numFmtId="38" fontId="130" fillId="0" borderId="19" xfId="1" applyFont="1" applyFill="1" applyBorder="1" applyAlignment="1" applyProtection="1">
      <alignment horizontal="right" vertical="center" shrinkToFit="1"/>
    </xf>
    <xf numFmtId="38" fontId="130" fillId="0" borderId="255" xfId="1" applyFont="1" applyFill="1" applyBorder="1" applyAlignment="1" applyProtection="1">
      <alignment horizontal="center" vertical="center" shrinkToFit="1"/>
    </xf>
    <xf numFmtId="38" fontId="130" fillId="0" borderId="256" xfId="1" applyFont="1" applyFill="1" applyBorder="1" applyAlignment="1" applyProtection="1">
      <alignment horizontal="center" vertical="center" shrinkToFit="1"/>
    </xf>
    <xf numFmtId="180" fontId="93" fillId="0" borderId="31" xfId="0" applyNumberFormat="1" applyFont="1" applyBorder="1" applyAlignment="1" applyProtection="1">
      <alignment horizontal="center" vertical="center" shrinkToFit="1"/>
      <protection locked="0"/>
    </xf>
    <xf numFmtId="180" fontId="93" fillId="0" borderId="44" xfId="0" applyNumberFormat="1" applyFont="1" applyBorder="1" applyAlignment="1" applyProtection="1">
      <alignment horizontal="center" vertical="center" shrinkToFit="1"/>
      <protection locked="0"/>
    </xf>
    <xf numFmtId="0" fontId="128" fillId="12" borderId="300" xfId="0" applyFont="1" applyFill="1" applyBorder="1" applyAlignment="1">
      <alignment vertical="center" textRotation="255"/>
    </xf>
    <xf numFmtId="0" fontId="128" fillId="12" borderId="37" xfId="0" applyFont="1" applyFill="1" applyBorder="1" applyAlignment="1">
      <alignment vertical="center" textRotation="255"/>
    </xf>
    <xf numFmtId="0" fontId="128" fillId="12" borderId="38" xfId="0" applyFont="1" applyFill="1" applyBorder="1" applyAlignment="1">
      <alignment vertical="center" textRotation="255"/>
    </xf>
    <xf numFmtId="38" fontId="93" fillId="0" borderId="13" xfId="2" applyFont="1" applyFill="1" applyBorder="1" applyAlignment="1" applyProtection="1">
      <alignment horizontal="center" vertical="center" shrinkToFit="1"/>
      <protection locked="0"/>
    </xf>
    <xf numFmtId="38" fontId="93" fillId="0" borderId="238" xfId="2" applyFont="1" applyFill="1" applyBorder="1" applyAlignment="1" applyProtection="1">
      <alignment horizontal="center" vertical="center" shrinkToFit="1"/>
      <protection locked="0"/>
    </xf>
    <xf numFmtId="0" fontId="110" fillId="0" borderId="43" xfId="0" applyFont="1" applyBorder="1" applyAlignment="1">
      <alignment horizontal="center" vertical="center"/>
    </xf>
    <xf numFmtId="180" fontId="93" fillId="0" borderId="27" xfId="0" applyNumberFormat="1" applyFont="1" applyBorder="1" applyAlignment="1" applyProtection="1">
      <alignment horizontal="center" vertical="center" shrinkToFit="1"/>
      <protection locked="0"/>
    </xf>
    <xf numFmtId="180" fontId="93" fillId="0" borderId="43" xfId="0" applyNumberFormat="1" applyFont="1" applyBorder="1" applyAlignment="1" applyProtection="1">
      <alignment horizontal="center" vertical="center" shrinkToFit="1"/>
      <protection locked="0"/>
    </xf>
    <xf numFmtId="180" fontId="93" fillId="0" borderId="160" xfId="0" applyNumberFormat="1" applyFont="1" applyBorder="1" applyAlignment="1" applyProtection="1">
      <alignment horizontal="center" vertical="center" shrinkToFit="1"/>
      <protection locked="0"/>
    </xf>
    <xf numFmtId="0" fontId="110" fillId="0" borderId="31" xfId="0" applyFont="1" applyBorder="1" applyAlignment="1">
      <alignment horizontal="center" vertical="center" wrapText="1"/>
    </xf>
    <xf numFmtId="0" fontId="110" fillId="0" borderId="26" xfId="0" applyFont="1" applyBorder="1" applyAlignment="1">
      <alignment horizontal="center" vertical="center" wrapText="1"/>
    </xf>
    <xf numFmtId="0" fontId="110" fillId="0" borderId="27" xfId="0" applyFont="1" applyBorder="1" applyAlignment="1">
      <alignment horizontal="center" vertical="center" wrapText="1"/>
    </xf>
    <xf numFmtId="0" fontId="110" fillId="0" borderId="31" xfId="0" applyFont="1" applyBorder="1" applyAlignment="1">
      <alignment horizontal="center" vertical="center"/>
    </xf>
    <xf numFmtId="0" fontId="110" fillId="0" borderId="26" xfId="0" applyFont="1" applyBorder="1" applyAlignment="1">
      <alignment horizontal="center" vertical="center"/>
    </xf>
    <xf numFmtId="0" fontId="110" fillId="0" borderId="27" xfId="0" applyFont="1" applyBorder="1" applyAlignment="1">
      <alignment horizontal="center" vertical="center"/>
    </xf>
    <xf numFmtId="0" fontId="90" fillId="13" borderId="64" xfId="0" applyFont="1" applyFill="1" applyBorder="1" applyAlignment="1">
      <alignment horizontal="center" vertical="center" wrapText="1"/>
    </xf>
    <xf numFmtId="0" fontId="90" fillId="13" borderId="72" xfId="0" applyFont="1" applyFill="1" applyBorder="1" applyAlignment="1">
      <alignment horizontal="center" vertical="center" wrapText="1"/>
    </xf>
    <xf numFmtId="0" fontId="90" fillId="13" borderId="16" xfId="0" applyFont="1" applyFill="1" applyBorder="1" applyAlignment="1">
      <alignment horizontal="center" vertical="center" wrapText="1"/>
    </xf>
    <xf numFmtId="6" fontId="124" fillId="0" borderId="0" xfId="6" applyFont="1" applyFill="1" applyBorder="1" applyAlignment="1" applyProtection="1">
      <alignment horizontal="left" vertical="center" wrapText="1"/>
    </xf>
    <xf numFmtId="6" fontId="124" fillId="0" borderId="2" xfId="6" applyFont="1" applyFill="1" applyBorder="1" applyAlignment="1" applyProtection="1">
      <alignment horizontal="left" vertical="center" wrapText="1"/>
    </xf>
    <xf numFmtId="0" fontId="102" fillId="0" borderId="132" xfId="0" applyFont="1" applyBorder="1" applyAlignment="1">
      <alignment horizontal="center" vertical="center" justifyLastLine="1"/>
    </xf>
    <xf numFmtId="0" fontId="102" fillId="0" borderId="58" xfId="0" applyFont="1" applyBorder="1" applyAlignment="1">
      <alignment horizontal="center" vertical="center" justifyLastLine="1"/>
    </xf>
    <xf numFmtId="0" fontId="102" fillId="0" borderId="133" xfId="0" applyFont="1" applyBorder="1" applyAlignment="1">
      <alignment horizontal="center" vertical="center" justifyLastLine="1"/>
    </xf>
    <xf numFmtId="0" fontId="124" fillId="0" borderId="132" xfId="0" applyFont="1" applyBorder="1" applyAlignment="1" applyProtection="1">
      <alignment horizontal="left" vertical="center" shrinkToFit="1"/>
      <protection locked="0"/>
    </xf>
    <xf numFmtId="0" fontId="124" fillId="0" borderId="58" xfId="0" applyFont="1" applyBorder="1" applyAlignment="1" applyProtection="1">
      <alignment horizontal="left" vertical="center" shrinkToFit="1"/>
      <protection locked="0"/>
    </xf>
    <xf numFmtId="0" fontId="124" fillId="0" borderId="62" xfId="0" applyFont="1" applyBorder="1" applyAlignment="1" applyProtection="1">
      <alignment horizontal="left" vertical="center" shrinkToFit="1"/>
      <protection locked="0"/>
    </xf>
    <xf numFmtId="0" fontId="90" fillId="13" borderId="336" xfId="0" applyFont="1" applyFill="1" applyBorder="1" applyAlignment="1">
      <alignment horizontal="center" vertical="center" wrapText="1"/>
    </xf>
    <xf numFmtId="0" fontId="90" fillId="13" borderId="141" xfId="0" applyFont="1" applyFill="1" applyBorder="1" applyAlignment="1">
      <alignment horizontal="center" vertical="center" wrapText="1"/>
    </xf>
    <xf numFmtId="0" fontId="90" fillId="13" borderId="337" xfId="0" applyFont="1" applyFill="1" applyBorder="1" applyAlignment="1">
      <alignment horizontal="center" vertical="center" wrapText="1"/>
    </xf>
    <xf numFmtId="38" fontId="130" fillId="9" borderId="11" xfId="2" applyFont="1" applyFill="1" applyBorder="1" applyAlignment="1" applyProtection="1">
      <alignment horizontal="right" vertical="center" shrinkToFit="1"/>
    </xf>
    <xf numFmtId="38" fontId="130" fillId="9" borderId="2" xfId="2" applyFont="1" applyFill="1" applyBorder="1" applyAlignment="1" applyProtection="1">
      <alignment horizontal="right" vertical="center" shrinkToFit="1"/>
    </xf>
    <xf numFmtId="38" fontId="130" fillId="9" borderId="3" xfId="2" applyFont="1" applyFill="1" applyBorder="1" applyAlignment="1" applyProtection="1">
      <alignment horizontal="right" vertical="center" shrinkToFit="1"/>
    </xf>
    <xf numFmtId="38" fontId="114" fillId="0" borderId="213" xfId="2" applyFont="1" applyBorder="1" applyAlignment="1" applyProtection="1">
      <alignment horizontal="right" vertical="center" shrinkToFit="1"/>
    </xf>
    <xf numFmtId="38" fontId="114" fillId="0" borderId="214" xfId="2" applyFont="1" applyBorder="1" applyAlignment="1" applyProtection="1">
      <alignment horizontal="right" vertical="center" shrinkToFit="1"/>
    </xf>
    <xf numFmtId="38" fontId="114" fillId="0" borderId="215" xfId="2" applyFont="1" applyBorder="1" applyAlignment="1" applyProtection="1">
      <alignment horizontal="right" vertical="center" shrinkToFit="1"/>
    </xf>
    <xf numFmtId="38" fontId="130" fillId="0" borderId="35" xfId="2" applyFont="1" applyFill="1" applyBorder="1" applyAlignment="1" applyProtection="1">
      <alignment vertical="center" shrinkToFit="1"/>
    </xf>
    <xf numFmtId="38" fontId="130" fillId="0" borderId="34" xfId="2" applyFont="1" applyFill="1" applyBorder="1" applyAlignment="1" applyProtection="1">
      <alignment vertical="center" shrinkToFit="1"/>
    </xf>
    <xf numFmtId="38" fontId="130" fillId="0" borderId="186" xfId="2" applyFont="1" applyFill="1" applyBorder="1" applyAlignment="1" applyProtection="1">
      <alignment vertical="center" shrinkToFit="1"/>
    </xf>
    <xf numFmtId="176" fontId="93" fillId="0" borderId="206" xfId="0" applyNumberFormat="1" applyFont="1" applyBorder="1" applyAlignment="1" applyProtection="1">
      <alignment vertical="center" shrinkToFit="1"/>
      <protection locked="0"/>
    </xf>
    <xf numFmtId="176" fontId="93" fillId="0" borderId="207" xfId="0" applyNumberFormat="1" applyFont="1" applyBorder="1" applyAlignment="1" applyProtection="1">
      <alignment vertical="center" shrinkToFit="1"/>
      <protection locked="0"/>
    </xf>
    <xf numFmtId="176" fontId="93" fillId="0" borderId="208" xfId="0" applyNumberFormat="1" applyFont="1" applyBorder="1" applyAlignment="1" applyProtection="1">
      <alignment vertical="center" shrinkToFit="1"/>
      <protection locked="0"/>
    </xf>
    <xf numFmtId="176" fontId="93" fillId="0" borderId="188" xfId="0" applyNumberFormat="1" applyFont="1" applyBorder="1" applyAlignment="1" applyProtection="1">
      <alignment vertical="center" shrinkToFit="1"/>
      <protection locked="0"/>
    </xf>
    <xf numFmtId="176" fontId="93" fillId="0" borderId="163" xfId="0" applyNumberFormat="1" applyFont="1" applyBorder="1" applyAlignment="1" applyProtection="1">
      <alignment vertical="center" shrinkToFit="1"/>
      <protection locked="0"/>
    </xf>
    <xf numFmtId="176" fontId="93" fillId="0" borderId="164" xfId="0" applyNumberFormat="1" applyFont="1" applyBorder="1" applyAlignment="1" applyProtection="1">
      <alignment vertical="center" shrinkToFit="1"/>
      <protection locked="0"/>
    </xf>
    <xf numFmtId="176" fontId="93" fillId="0" borderId="185" xfId="0" applyNumberFormat="1" applyFont="1" applyBorder="1" applyAlignment="1" applyProtection="1">
      <alignment horizontal="center" vertical="center" shrinkToFit="1"/>
      <protection locked="0"/>
    </xf>
    <xf numFmtId="176" fontId="93" fillId="0" borderId="108" xfId="0" applyNumberFormat="1" applyFont="1" applyBorder="1" applyAlignment="1" applyProtection="1">
      <alignment horizontal="center" vertical="center" shrinkToFit="1"/>
      <protection locked="0"/>
    </xf>
    <xf numFmtId="0" fontId="110" fillId="0" borderId="14" xfId="0" applyFont="1" applyBorder="1" applyAlignment="1">
      <alignment horizontal="center" vertical="center"/>
    </xf>
    <xf numFmtId="0" fontId="110" fillId="0" borderId="33" xfId="0" applyFont="1" applyBorder="1" applyAlignment="1">
      <alignment horizontal="center" vertical="center"/>
    </xf>
    <xf numFmtId="176" fontId="93" fillId="0" borderId="161" xfId="0" applyNumberFormat="1" applyFont="1" applyBorder="1" applyAlignment="1" applyProtection="1">
      <alignment horizontal="center" vertical="center" shrinkToFit="1"/>
      <protection locked="0"/>
    </xf>
    <xf numFmtId="176" fontId="93" fillId="0" borderId="24" xfId="0" applyNumberFormat="1" applyFont="1" applyBorder="1" applyAlignment="1" applyProtection="1">
      <alignment horizontal="center" vertical="center" shrinkToFit="1"/>
      <protection locked="0"/>
    </xf>
    <xf numFmtId="176" fontId="93" fillId="0" borderId="25" xfId="0" applyNumberFormat="1" applyFont="1" applyBorder="1" applyAlignment="1" applyProtection="1">
      <alignment horizontal="center" vertical="center" shrinkToFit="1"/>
      <protection locked="0"/>
    </xf>
    <xf numFmtId="176" fontId="93" fillId="0" borderId="262" xfId="0" applyNumberFormat="1" applyFont="1" applyBorder="1" applyAlignment="1" applyProtection="1">
      <alignment horizontal="center" vertical="center" shrinkToFit="1"/>
      <protection locked="0"/>
    </xf>
    <xf numFmtId="0" fontId="156" fillId="0" borderId="0" xfId="0" applyFont="1" applyAlignment="1">
      <alignment horizontal="left" vertical="center" shrinkToFit="1"/>
    </xf>
    <xf numFmtId="0" fontId="157" fillId="0" borderId="0" xfId="0" applyFont="1" applyAlignment="1">
      <alignment vertical="center" wrapText="1"/>
    </xf>
    <xf numFmtId="0" fontId="156" fillId="0" borderId="0" xfId="0" applyFont="1" applyAlignment="1">
      <alignment vertical="center" shrinkToFit="1"/>
    </xf>
    <xf numFmtId="178" fontId="102" fillId="0" borderId="51" xfId="0" applyNumberFormat="1" applyFont="1" applyBorder="1" applyAlignment="1">
      <alignment horizontal="center" vertical="center" wrapText="1" shrinkToFit="1"/>
    </xf>
    <xf numFmtId="178" fontId="102" fillId="0" borderId="17" xfId="0" applyNumberFormat="1" applyFont="1" applyBorder="1" applyAlignment="1">
      <alignment horizontal="center" vertical="center" wrapText="1" shrinkToFit="1"/>
    </xf>
    <xf numFmtId="178" fontId="102" fillId="0" borderId="50" xfId="0" applyNumberFormat="1" applyFont="1" applyBorder="1" applyAlignment="1">
      <alignment horizontal="center" vertical="center" wrapText="1" shrinkToFit="1"/>
    </xf>
    <xf numFmtId="178" fontId="102" fillId="0" borderId="55" xfId="0" applyNumberFormat="1" applyFont="1" applyBorder="1" applyAlignment="1">
      <alignment horizontal="center" vertical="center" shrinkToFit="1"/>
    </xf>
    <xf numFmtId="178" fontId="102" fillId="0" borderId="53" xfId="0" applyNumberFormat="1" applyFont="1" applyBorder="1" applyAlignment="1">
      <alignment horizontal="center" vertical="center" shrinkToFit="1"/>
    </xf>
    <xf numFmtId="178" fontId="102" fillId="0" borderId="54" xfId="0" applyNumberFormat="1" applyFont="1" applyBorder="1" applyAlignment="1">
      <alignment horizontal="center" vertical="center" shrinkToFit="1"/>
    </xf>
    <xf numFmtId="178" fontId="102" fillId="0" borderId="177" xfId="0" applyNumberFormat="1" applyFont="1" applyBorder="1" applyAlignment="1">
      <alignment horizontal="center" vertical="center" shrinkToFit="1"/>
    </xf>
    <xf numFmtId="178" fontId="102" fillId="0" borderId="178" xfId="0" applyNumberFormat="1" applyFont="1" applyBorder="1" applyAlignment="1">
      <alignment horizontal="center" vertical="center" shrinkToFit="1"/>
    </xf>
    <xf numFmtId="178" fontId="102" fillId="0" borderId="179" xfId="0" applyNumberFormat="1" applyFont="1" applyBorder="1" applyAlignment="1">
      <alignment horizontal="center" vertical="center" shrinkToFit="1"/>
    </xf>
    <xf numFmtId="180" fontId="93" fillId="0" borderId="218" xfId="0" applyNumberFormat="1" applyFont="1" applyBorder="1" applyAlignment="1" applyProtection="1">
      <alignment horizontal="center" vertical="center" shrinkToFit="1"/>
      <protection locked="0"/>
    </xf>
    <xf numFmtId="180" fontId="93" fillId="0" borderId="175" xfId="0" applyNumberFormat="1" applyFont="1" applyBorder="1" applyAlignment="1" applyProtection="1">
      <alignment horizontal="center" vertical="center" shrinkToFit="1"/>
      <protection locked="0"/>
    </xf>
    <xf numFmtId="176" fontId="93" fillId="0" borderId="192" xfId="0" applyNumberFormat="1" applyFont="1" applyBorder="1" applyAlignment="1" applyProtection="1">
      <alignment horizontal="center" vertical="center" shrinkToFit="1"/>
      <protection locked="0"/>
    </xf>
    <xf numFmtId="188" fontId="98" fillId="0" borderId="51" xfId="0" applyNumberFormat="1" applyFont="1" applyBorder="1" applyAlignment="1">
      <alignment horizontal="center" vertical="center" justifyLastLine="1"/>
    </xf>
    <xf numFmtId="188" fontId="98" fillId="0" borderId="17" xfId="0" applyNumberFormat="1" applyFont="1" applyBorder="1" applyAlignment="1">
      <alignment horizontal="center" vertical="center" justifyLastLine="1"/>
    </xf>
    <xf numFmtId="188" fontId="98" fillId="0" borderId="50" xfId="0" applyNumberFormat="1" applyFont="1" applyBorder="1" applyAlignment="1">
      <alignment horizontal="center" vertical="center" justifyLastLine="1"/>
    </xf>
    <xf numFmtId="188" fontId="98" fillId="0" borderId="135" xfId="0" applyNumberFormat="1" applyFont="1" applyBorder="1" applyAlignment="1">
      <alignment horizontal="center" vertical="center" justifyLastLine="1"/>
    </xf>
    <xf numFmtId="188" fontId="98" fillId="0" borderId="71" xfId="0" applyNumberFormat="1" applyFont="1" applyBorder="1" applyAlignment="1">
      <alignment horizontal="center" vertical="center" justifyLastLine="1"/>
    </xf>
    <xf numFmtId="188" fontId="98" fillId="0" borderId="70" xfId="0" applyNumberFormat="1" applyFont="1" applyBorder="1" applyAlignment="1">
      <alignment horizontal="center" vertical="center" justifyLastLine="1"/>
    </xf>
    <xf numFmtId="0" fontId="98" fillId="0" borderId="58" xfId="0" applyFont="1" applyBorder="1" applyAlignment="1">
      <alignment horizontal="left" vertical="center"/>
    </xf>
    <xf numFmtId="188" fontId="98" fillId="0" borderId="90" xfId="0" applyNumberFormat="1" applyFont="1" applyBorder="1" applyAlignment="1">
      <alignment horizontal="center" vertical="center"/>
    </xf>
    <xf numFmtId="188" fontId="98" fillId="0" borderId="91" xfId="0" applyNumberFormat="1" applyFont="1" applyBorder="1" applyAlignment="1">
      <alignment horizontal="center" vertical="center"/>
    </xf>
    <xf numFmtId="180" fontId="93" fillId="0" borderId="29" xfId="0" applyNumberFormat="1" applyFont="1" applyBorder="1" applyAlignment="1" applyProtection="1">
      <alignment horizontal="center" vertical="center" shrinkToFit="1"/>
      <protection locked="0"/>
    </xf>
    <xf numFmtId="0" fontId="102" fillId="0" borderId="43" xfId="0" applyFont="1" applyBorder="1" applyAlignment="1">
      <alignment horizontal="center" vertical="center"/>
    </xf>
    <xf numFmtId="180" fontId="93" fillId="0" borderId="42" xfId="0" applyNumberFormat="1" applyFont="1" applyBorder="1" applyAlignment="1" applyProtection="1">
      <alignment horizontal="center" vertical="center" shrinkToFit="1"/>
      <protection locked="0"/>
    </xf>
    <xf numFmtId="0" fontId="123" fillId="0" borderId="0" xfId="0" applyFont="1" applyAlignment="1">
      <alignment horizontal="center" vertical="top" shrinkToFit="1"/>
    </xf>
    <xf numFmtId="0" fontId="123" fillId="0" borderId="141" xfId="0" applyFont="1" applyBorder="1" applyAlignment="1">
      <alignment horizontal="center" vertical="top" shrinkToFit="1"/>
    </xf>
    <xf numFmtId="176" fontId="93" fillId="0" borderId="177" xfId="0" applyNumberFormat="1" applyFont="1" applyBorder="1" applyAlignment="1" applyProtection="1">
      <alignment horizontal="center" vertical="center" shrinkToFit="1"/>
      <protection locked="0"/>
    </xf>
    <xf numFmtId="176" fontId="93" fillId="0" borderId="178" xfId="0" applyNumberFormat="1" applyFont="1" applyBorder="1" applyAlignment="1" applyProtection="1">
      <alignment horizontal="center" vertical="center" shrinkToFit="1"/>
      <protection locked="0"/>
    </xf>
    <xf numFmtId="176" fontId="93" fillId="0" borderId="271" xfId="0" applyNumberFormat="1" applyFont="1" applyBorder="1" applyAlignment="1" applyProtection="1">
      <alignment horizontal="center" vertical="center" shrinkToFit="1"/>
      <protection locked="0"/>
    </xf>
    <xf numFmtId="0" fontId="128" fillId="12" borderId="300" xfId="0" applyFont="1" applyFill="1" applyBorder="1" applyAlignment="1">
      <alignment horizontal="center" vertical="center" textRotation="255"/>
    </xf>
    <xf numFmtId="0" fontId="128" fillId="12" borderId="37" xfId="0" applyFont="1" applyFill="1" applyBorder="1" applyAlignment="1">
      <alignment horizontal="center" vertical="center" textRotation="255"/>
    </xf>
    <xf numFmtId="0" fontId="128" fillId="12" borderId="38" xfId="0" applyFont="1" applyFill="1" applyBorder="1" applyAlignment="1">
      <alignment horizontal="center" vertical="center" textRotation="255"/>
    </xf>
    <xf numFmtId="38" fontId="130" fillId="0" borderId="307" xfId="2" applyFont="1" applyFill="1" applyBorder="1" applyAlignment="1" applyProtection="1">
      <alignment horizontal="center" vertical="center" shrinkToFit="1"/>
    </xf>
    <xf numFmtId="38" fontId="130" fillId="0" borderId="256" xfId="2" applyFont="1" applyFill="1" applyBorder="1" applyAlignment="1" applyProtection="1">
      <alignment horizontal="center" vertical="center" shrinkToFit="1"/>
    </xf>
    <xf numFmtId="0" fontId="110" fillId="0" borderId="32" xfId="0" applyFont="1" applyBorder="1" applyAlignment="1">
      <alignment horizontal="center" vertical="center"/>
    </xf>
    <xf numFmtId="0" fontId="110" fillId="0" borderId="304" xfId="0" applyFont="1" applyBorder="1" applyAlignment="1">
      <alignment horizontal="center" vertical="center"/>
    </xf>
    <xf numFmtId="0" fontId="110" fillId="0" borderId="87" xfId="0" applyFont="1" applyBorder="1" applyAlignment="1">
      <alignment horizontal="center" vertical="center"/>
    </xf>
    <xf numFmtId="180" fontId="93" fillId="0" borderId="93" xfId="0" applyNumberFormat="1" applyFont="1" applyBorder="1" applyAlignment="1" applyProtection="1">
      <alignment horizontal="center" vertical="center" shrinkToFit="1"/>
      <protection locked="0"/>
    </xf>
    <xf numFmtId="0" fontId="102" fillId="0" borderId="93" xfId="0" applyFont="1" applyBorder="1" applyAlignment="1">
      <alignment horizontal="center" vertical="center"/>
    </xf>
    <xf numFmtId="180" fontId="93" fillId="0" borderId="193" xfId="0" applyNumberFormat="1" applyFont="1" applyBorder="1" applyAlignment="1" applyProtection="1">
      <alignment horizontal="center" vertical="center" shrinkToFit="1"/>
      <protection locked="0"/>
    </xf>
    <xf numFmtId="180" fontId="93" fillId="0" borderId="192" xfId="0" applyNumberFormat="1" applyFont="1" applyBorder="1" applyAlignment="1" applyProtection="1">
      <alignment horizontal="center" vertical="center" shrinkToFit="1"/>
      <protection locked="0"/>
    </xf>
    <xf numFmtId="0" fontId="110" fillId="0" borderId="159" xfId="0" applyFont="1" applyBorder="1" applyAlignment="1">
      <alignment horizontal="center" vertical="center"/>
    </xf>
    <xf numFmtId="180" fontId="93" fillId="0" borderId="308" xfId="0" applyNumberFormat="1" applyFont="1" applyBorder="1" applyAlignment="1" applyProtection="1">
      <alignment horizontal="center" vertical="center" shrinkToFit="1"/>
      <protection locked="0"/>
    </xf>
    <xf numFmtId="180" fontId="93" fillId="0" borderId="87" xfId="0" applyNumberFormat="1" applyFont="1" applyBorder="1" applyAlignment="1" applyProtection="1">
      <alignment horizontal="center" vertical="center" shrinkToFit="1"/>
      <protection locked="0"/>
    </xf>
    <xf numFmtId="0" fontId="17" fillId="0" borderId="51" xfId="0" applyFont="1" applyBorder="1" applyAlignment="1">
      <alignment horizontal="center" vertical="center"/>
    </xf>
    <xf numFmtId="0" fontId="17" fillId="0" borderId="50" xfId="0" applyFont="1" applyBorder="1" applyAlignment="1">
      <alignment horizontal="center" vertical="center"/>
    </xf>
    <xf numFmtId="38" fontId="130" fillId="9" borderId="11" xfId="1" applyFont="1" applyFill="1" applyBorder="1" applyAlignment="1" applyProtection="1">
      <alignment horizontal="right" vertical="center" shrinkToFit="1"/>
    </xf>
    <xf numFmtId="38" fontId="130" fillId="9" borderId="2" xfId="1" applyFont="1" applyFill="1" applyBorder="1" applyAlignment="1" applyProtection="1">
      <alignment horizontal="right" vertical="center" shrinkToFit="1"/>
    </xf>
    <xf numFmtId="38" fontId="130" fillId="9" borderId="3" xfId="1" applyFont="1" applyFill="1" applyBorder="1" applyAlignment="1" applyProtection="1">
      <alignment horizontal="right" vertical="center" shrinkToFit="1"/>
    </xf>
    <xf numFmtId="38" fontId="126" fillId="0" borderId="160" xfId="1" applyFont="1" applyFill="1" applyBorder="1" applyAlignment="1" applyProtection="1">
      <alignment horizontal="right" vertical="center" shrinkToFit="1"/>
    </xf>
    <xf numFmtId="38" fontId="126" fillId="0" borderId="27" xfId="1" applyFont="1" applyFill="1" applyBorder="1" applyAlignment="1" applyProtection="1">
      <alignment horizontal="right" vertical="center" shrinkToFit="1"/>
    </xf>
    <xf numFmtId="38" fontId="126" fillId="0" borderId="308" xfId="1" applyFont="1" applyFill="1" applyBorder="1" applyAlignment="1" applyProtection="1">
      <alignment horizontal="right" vertical="center" shrinkToFit="1"/>
    </xf>
    <xf numFmtId="38" fontId="126" fillId="0" borderId="87" xfId="1" applyFont="1" applyFill="1" applyBorder="1" applyAlignment="1" applyProtection="1">
      <alignment horizontal="right" vertical="center" shrinkToFit="1"/>
    </xf>
    <xf numFmtId="38" fontId="128" fillId="0" borderId="13" xfId="2" applyFont="1" applyFill="1" applyBorder="1" applyAlignment="1" applyProtection="1">
      <alignment horizontal="center" vertical="center" shrinkToFit="1"/>
      <protection locked="0"/>
    </xf>
    <xf numFmtId="38" fontId="128" fillId="0" borderId="238" xfId="2" applyFont="1" applyFill="1" applyBorder="1" applyAlignment="1" applyProtection="1">
      <alignment horizontal="center" vertical="center" shrinkToFit="1"/>
      <protection locked="0"/>
    </xf>
    <xf numFmtId="38" fontId="114" fillId="0" borderId="55" xfId="2" applyFont="1" applyBorder="1" applyAlignment="1" applyProtection="1">
      <alignment horizontal="right" vertical="center" shrinkToFit="1"/>
    </xf>
    <xf numFmtId="38" fontId="114" fillId="0" borderId="53" xfId="2" applyFont="1" applyBorder="1" applyAlignment="1" applyProtection="1">
      <alignment horizontal="right" vertical="center" shrinkToFit="1"/>
    </xf>
    <xf numFmtId="38" fontId="114" fillId="0" borderId="54" xfId="2" applyFont="1" applyBorder="1" applyAlignment="1" applyProtection="1">
      <alignment horizontal="right" vertical="center" shrinkToFit="1"/>
    </xf>
    <xf numFmtId="188" fontId="98" fillId="0" borderId="137" xfId="0" applyNumberFormat="1" applyFont="1" applyBorder="1" applyAlignment="1">
      <alignment horizontal="center" vertical="center"/>
    </xf>
    <xf numFmtId="180" fontId="93" fillId="0" borderId="32" xfId="0" applyNumberFormat="1" applyFont="1" applyBorder="1" applyAlignment="1" applyProtection="1">
      <alignment horizontal="center" vertical="center" shrinkToFit="1"/>
      <protection locked="0"/>
    </xf>
    <xf numFmtId="180" fontId="93" fillId="0" borderId="237" xfId="0" applyNumberFormat="1" applyFont="1" applyBorder="1" applyAlignment="1" applyProtection="1">
      <alignment horizontal="center" vertical="center" shrinkToFit="1"/>
      <protection locked="0"/>
    </xf>
    <xf numFmtId="38" fontId="114" fillId="0" borderId="213" xfId="2" applyFont="1" applyBorder="1" applyAlignment="1" applyProtection="1">
      <alignment horizontal="right" vertical="center"/>
    </xf>
    <xf numFmtId="38" fontId="114" fillId="0" borderId="214" xfId="2" applyFont="1" applyBorder="1" applyAlignment="1" applyProtection="1">
      <alignment horizontal="right" vertical="center"/>
    </xf>
    <xf numFmtId="38" fontId="114" fillId="0" borderId="215" xfId="2" applyFont="1" applyBorder="1" applyAlignment="1" applyProtection="1">
      <alignment horizontal="right" vertical="center"/>
    </xf>
    <xf numFmtId="6" fontId="130" fillId="0" borderId="309" xfId="4" applyFont="1" applyFill="1" applyBorder="1" applyAlignment="1" applyProtection="1">
      <alignment horizontal="center" vertical="center" shrinkToFit="1"/>
    </xf>
    <xf numFmtId="6" fontId="130" fillId="0" borderId="310" xfId="4" applyFont="1" applyFill="1" applyBorder="1" applyAlignment="1" applyProtection="1">
      <alignment horizontal="center" vertical="center" shrinkToFit="1"/>
    </xf>
    <xf numFmtId="38" fontId="130" fillId="0" borderId="255" xfId="1" applyFont="1" applyFill="1" applyBorder="1" applyAlignment="1" applyProtection="1">
      <alignment horizontal="right" vertical="center" shrinkToFit="1"/>
    </xf>
    <xf numFmtId="38" fontId="130" fillId="0" borderId="256" xfId="1" applyFont="1" applyFill="1" applyBorder="1" applyAlignment="1" applyProtection="1">
      <alignment horizontal="right" vertical="center" shrinkToFit="1"/>
    </xf>
    <xf numFmtId="38" fontId="126" fillId="0" borderId="311" xfId="1" applyFont="1" applyFill="1" applyBorder="1" applyAlignment="1" applyProtection="1">
      <alignment horizontal="right" vertical="center" shrinkToFit="1"/>
    </xf>
    <xf numFmtId="38" fontId="126" fillId="0" borderId="306" xfId="1" applyFont="1" applyFill="1" applyBorder="1" applyAlignment="1" applyProtection="1">
      <alignment horizontal="right" vertical="center" shrinkToFit="1"/>
    </xf>
    <xf numFmtId="38" fontId="97" fillId="0" borderId="160" xfId="1" applyFont="1" applyFill="1" applyBorder="1" applyAlignment="1" applyProtection="1">
      <alignment horizontal="right" vertical="center" shrinkToFit="1"/>
    </xf>
    <xf numFmtId="38" fontId="97" fillId="0" borderId="27" xfId="1" applyFont="1" applyFill="1" applyBorder="1" applyAlignment="1" applyProtection="1">
      <alignment horizontal="right" vertical="center" shrinkToFit="1"/>
    </xf>
    <xf numFmtId="38" fontId="126" fillId="0" borderId="43" xfId="1" applyFont="1" applyFill="1" applyBorder="1" applyAlignment="1" applyProtection="1">
      <alignment horizontal="right" vertical="center" shrinkToFit="1"/>
    </xf>
    <xf numFmtId="38" fontId="130" fillId="9" borderId="11" xfId="2" applyFont="1" applyFill="1" applyBorder="1" applyAlignment="1" applyProtection="1">
      <alignment vertical="center" shrinkToFit="1"/>
    </xf>
    <xf numFmtId="38" fontId="130" fillId="9" borderId="2" xfId="2" applyFont="1" applyFill="1" applyBorder="1" applyAlignment="1" applyProtection="1">
      <alignment vertical="center" shrinkToFit="1"/>
    </xf>
    <xf numFmtId="38" fontId="130" fillId="9" borderId="3" xfId="2" applyFont="1" applyFill="1" applyBorder="1" applyAlignment="1" applyProtection="1">
      <alignment vertical="center" shrinkToFit="1"/>
    </xf>
    <xf numFmtId="38" fontId="114" fillId="0" borderId="55" xfId="2" applyFont="1" applyBorder="1" applyAlignment="1" applyProtection="1">
      <alignment horizontal="right" vertical="center"/>
    </xf>
    <xf numFmtId="38" fontId="114" fillId="0" borderId="53" xfId="2" applyFont="1" applyBorder="1" applyAlignment="1" applyProtection="1">
      <alignment horizontal="right" vertical="center"/>
    </xf>
    <xf numFmtId="38" fontId="114" fillId="0" borderId="54" xfId="2" applyFont="1" applyBorder="1" applyAlignment="1" applyProtection="1">
      <alignment horizontal="right" vertical="center"/>
    </xf>
    <xf numFmtId="0" fontId="114" fillId="10" borderId="180" xfId="0" applyFont="1" applyFill="1" applyBorder="1" applyAlignment="1">
      <alignment horizontal="center" vertical="center" textRotation="255"/>
    </xf>
    <xf numFmtId="0" fontId="114" fillId="10" borderId="216" xfId="0" applyFont="1" applyFill="1" applyBorder="1" applyAlignment="1">
      <alignment horizontal="center" vertical="center" textRotation="255"/>
    </xf>
    <xf numFmtId="0" fontId="114" fillId="3" borderId="180" xfId="0" applyFont="1" applyFill="1" applyBorder="1" applyAlignment="1">
      <alignment horizontal="center" vertical="center" textRotation="255"/>
    </xf>
    <xf numFmtId="0" fontId="114" fillId="3" borderId="216" xfId="0" applyFont="1" applyFill="1" applyBorder="1" applyAlignment="1">
      <alignment horizontal="center" vertical="center" textRotation="255"/>
    </xf>
    <xf numFmtId="38" fontId="128" fillId="0" borderId="12" xfId="2" applyFont="1" applyFill="1" applyBorder="1" applyAlignment="1" applyProtection="1">
      <alignment horizontal="center" vertical="center" shrinkToFit="1"/>
      <protection locked="0"/>
    </xf>
    <xf numFmtId="178" fontId="129" fillId="9" borderId="2" xfId="0" applyNumberFormat="1" applyFont="1" applyFill="1" applyBorder="1" applyAlignment="1">
      <alignment horizontal="center" vertical="center"/>
    </xf>
    <xf numFmtId="178" fontId="129" fillId="9" borderId="3" xfId="0" applyNumberFormat="1" applyFont="1" applyFill="1" applyBorder="1" applyAlignment="1">
      <alignment horizontal="center" vertical="center"/>
    </xf>
    <xf numFmtId="178" fontId="129" fillId="0" borderId="53" xfId="0" applyNumberFormat="1" applyFont="1" applyBorder="1" applyAlignment="1">
      <alignment horizontal="center" vertical="center"/>
    </xf>
    <xf numFmtId="178" fontId="129" fillId="0" borderId="54" xfId="0" applyNumberFormat="1" applyFont="1" applyBorder="1" applyAlignment="1">
      <alignment horizontal="center" vertical="center"/>
    </xf>
    <xf numFmtId="38" fontId="128" fillId="0" borderId="2" xfId="2" applyFont="1" applyFill="1" applyBorder="1" applyAlignment="1" applyProtection="1">
      <alignment horizontal="center" vertical="center" shrinkToFit="1"/>
      <protection locked="0"/>
    </xf>
    <xf numFmtId="38" fontId="128" fillId="0" borderId="3" xfId="2" applyFont="1" applyFill="1" applyBorder="1" applyAlignment="1" applyProtection="1">
      <alignment horizontal="center" vertical="center" shrinkToFit="1"/>
      <protection locked="0"/>
    </xf>
    <xf numFmtId="0" fontId="113" fillId="9" borderId="2" xfId="0" applyFont="1" applyFill="1" applyBorder="1" applyAlignment="1">
      <alignment horizontal="center" vertical="center"/>
    </xf>
    <xf numFmtId="0" fontId="113" fillId="9" borderId="3" xfId="0" applyFont="1" applyFill="1" applyBorder="1" applyAlignment="1">
      <alignment horizontal="center" vertical="center"/>
    </xf>
    <xf numFmtId="38" fontId="126" fillId="0" borderId="25" xfId="1" applyFont="1" applyFill="1" applyBorder="1" applyAlignment="1" applyProtection="1">
      <alignment horizontal="right" vertical="center" shrinkToFit="1"/>
    </xf>
    <xf numFmtId="38" fontId="126" fillId="0" borderId="93" xfId="1" applyFont="1" applyFill="1" applyBorder="1" applyAlignment="1" applyProtection="1">
      <alignment horizontal="right" vertical="center" shrinkToFit="1"/>
    </xf>
    <xf numFmtId="176" fontId="93" fillId="0" borderId="31" xfId="0" applyNumberFormat="1" applyFont="1" applyBorder="1" applyAlignment="1" applyProtection="1">
      <alignment vertical="center" shrinkToFit="1"/>
      <protection locked="0"/>
    </xf>
    <xf numFmtId="176" fontId="93" fillId="0" borderId="26" xfId="0" applyNumberFormat="1" applyFont="1" applyBorder="1" applyAlignment="1" applyProtection="1">
      <alignment vertical="center" shrinkToFit="1"/>
      <protection locked="0"/>
    </xf>
    <xf numFmtId="176" fontId="93" fillId="0" borderId="27" xfId="0" applyNumberFormat="1" applyFont="1" applyBorder="1" applyAlignment="1" applyProtection="1">
      <alignment vertical="center" shrinkToFit="1"/>
      <protection locked="0"/>
    </xf>
    <xf numFmtId="178" fontId="129" fillId="0" borderId="140" xfId="0" applyNumberFormat="1" applyFont="1" applyBorder="1" applyAlignment="1">
      <alignment horizontal="center" vertical="center" shrinkToFit="1"/>
    </xf>
    <xf numFmtId="178" fontId="129" fillId="0" borderId="141" xfId="0" applyNumberFormat="1" applyFont="1" applyBorder="1" applyAlignment="1">
      <alignment horizontal="center" vertical="center" shrinkToFit="1"/>
    </xf>
    <xf numFmtId="178" fontId="129" fillId="0" borderId="205" xfId="0" applyNumberFormat="1" applyFont="1" applyBorder="1" applyAlignment="1">
      <alignment horizontal="center" vertical="center" shrinkToFit="1"/>
    </xf>
    <xf numFmtId="176" fontId="97" fillId="0" borderId="171" xfId="0" applyNumberFormat="1" applyFont="1" applyBorder="1" applyAlignment="1">
      <alignment horizontal="center" vertical="center" shrinkToFit="1"/>
    </xf>
    <xf numFmtId="176" fontId="97" fillId="0" borderId="172" xfId="0" applyNumberFormat="1" applyFont="1" applyBorder="1" applyAlignment="1">
      <alignment horizontal="center" vertical="center" shrinkToFit="1"/>
    </xf>
    <xf numFmtId="178" fontId="102" fillId="0" borderId="160" xfId="0" applyNumberFormat="1" applyFont="1" applyBorder="1" applyAlignment="1">
      <alignment horizontal="center" vertical="center" wrapText="1" shrinkToFit="1"/>
    </xf>
    <xf numFmtId="178" fontId="102" fillId="0" borderId="26" xfId="0" applyNumberFormat="1" applyFont="1" applyBorder="1" applyAlignment="1">
      <alignment horizontal="center" vertical="center" shrinkToFit="1"/>
    </xf>
    <xf numFmtId="178" fontId="102" fillId="0" borderId="27" xfId="0" applyNumberFormat="1" applyFont="1" applyBorder="1" applyAlignment="1">
      <alignment horizontal="center" vertical="center" shrinkToFit="1"/>
    </xf>
    <xf numFmtId="180" fontId="102" fillId="0" borderId="175" xfId="3" applyNumberFormat="1" applyFont="1" applyFill="1" applyBorder="1" applyAlignment="1" applyProtection="1">
      <alignment horizontal="center" vertical="center" shrinkToFit="1"/>
    </xf>
    <xf numFmtId="180" fontId="102" fillId="0" borderId="176" xfId="3" applyNumberFormat="1" applyFont="1" applyFill="1" applyBorder="1" applyAlignment="1" applyProtection="1">
      <alignment horizontal="center" vertical="center" shrinkToFit="1"/>
    </xf>
    <xf numFmtId="178" fontId="102" fillId="0" borderId="160" xfId="0" applyNumberFormat="1" applyFont="1" applyBorder="1" applyAlignment="1">
      <alignment horizontal="center" vertical="center" shrinkToFit="1"/>
    </xf>
    <xf numFmtId="38" fontId="128" fillId="0" borderId="165" xfId="1" applyFont="1" applyFill="1" applyBorder="1" applyAlignment="1" applyProtection="1">
      <alignment horizontal="right" vertical="center" shrinkToFit="1"/>
    </xf>
    <xf numFmtId="38" fontId="126" fillId="0" borderId="95" xfId="1" applyFont="1" applyFill="1" applyBorder="1" applyAlignment="1" applyProtection="1">
      <alignment horizontal="right" vertical="center" shrinkToFit="1"/>
    </xf>
    <xf numFmtId="178" fontId="102" fillId="0" borderId="162" xfId="0" applyNumberFormat="1" applyFont="1" applyBorder="1" applyAlignment="1" applyProtection="1">
      <alignment horizontal="center" vertical="center" shrinkToFit="1"/>
      <protection locked="0"/>
    </xf>
    <xf numFmtId="178" fontId="102" fillId="0" borderId="163" xfId="0" applyNumberFormat="1" applyFont="1" applyBorder="1" applyAlignment="1" applyProtection="1">
      <alignment horizontal="center" vertical="center" shrinkToFit="1"/>
      <protection locked="0"/>
    </xf>
    <xf numFmtId="178" fontId="102" fillId="0" borderId="164" xfId="0" applyNumberFormat="1" applyFont="1" applyBorder="1" applyAlignment="1" applyProtection="1">
      <alignment horizontal="center" vertical="center" shrinkToFit="1"/>
      <protection locked="0"/>
    </xf>
    <xf numFmtId="178" fontId="151" fillId="0" borderId="146" xfId="0" applyNumberFormat="1" applyFont="1" applyBorder="1" applyAlignment="1">
      <alignment horizontal="center" vertical="center" wrapText="1" shrinkToFit="1"/>
    </xf>
    <xf numFmtId="178" fontId="151" fillId="0" borderId="0" xfId="0" applyNumberFormat="1" applyFont="1" applyAlignment="1">
      <alignment horizontal="center" vertical="center" wrapText="1" shrinkToFit="1"/>
    </xf>
    <xf numFmtId="178" fontId="151" fillId="0" borderId="12" xfId="0" applyNumberFormat="1" applyFont="1" applyBorder="1" applyAlignment="1">
      <alignment horizontal="center" vertical="center" wrapText="1" shrinkToFit="1"/>
    </xf>
    <xf numFmtId="178" fontId="124" fillId="0" borderId="13" xfId="0" applyNumberFormat="1" applyFont="1" applyBorder="1" applyAlignment="1">
      <alignment horizontal="center" vertical="center" textRotation="255" shrinkToFit="1"/>
    </xf>
    <xf numFmtId="178" fontId="124" fillId="0" borderId="140" xfId="0" applyNumberFormat="1" applyFont="1" applyBorder="1" applyAlignment="1">
      <alignment horizontal="center" vertical="center" textRotation="255" shrinkToFit="1"/>
    </xf>
    <xf numFmtId="0" fontId="110" fillId="0" borderId="37" xfId="0" applyFont="1" applyBorder="1" applyAlignment="1">
      <alignment horizontal="center" vertical="center" wrapText="1" shrinkToFit="1"/>
    </xf>
    <xf numFmtId="0" fontId="110" fillId="0" borderId="37" xfId="0" applyFont="1" applyBorder="1" applyAlignment="1">
      <alignment horizontal="center" vertical="center" shrinkToFit="1"/>
    </xf>
    <xf numFmtId="0" fontId="110" fillId="0" borderId="13" xfId="0" applyFont="1" applyBorder="1" applyAlignment="1">
      <alignment horizontal="center" vertical="center" shrinkToFit="1"/>
    </xf>
    <xf numFmtId="0" fontId="110" fillId="0" borderId="98" xfId="0" applyFont="1" applyBorder="1" applyAlignment="1" applyProtection="1">
      <alignment horizontal="center" vertical="center" shrinkToFit="1"/>
      <protection locked="0"/>
    </xf>
    <xf numFmtId="0" fontId="110" fillId="0" borderId="99" xfId="0" applyFont="1" applyBorder="1" applyAlignment="1" applyProtection="1">
      <alignment horizontal="center" vertical="center" shrinkToFit="1"/>
      <protection locked="0"/>
    </xf>
    <xf numFmtId="0" fontId="110" fillId="0" borderId="112" xfId="0" applyFont="1" applyBorder="1" applyAlignment="1" applyProtection="1">
      <alignment horizontal="center" vertical="center" shrinkToFit="1"/>
      <protection locked="0"/>
    </xf>
    <xf numFmtId="178" fontId="102" fillId="0" borderId="257" xfId="0" applyNumberFormat="1" applyFont="1" applyBorder="1" applyAlignment="1">
      <alignment horizontal="center" vertical="center" shrinkToFit="1"/>
    </xf>
    <xf numFmtId="178" fontId="102" fillId="0" borderId="258" xfId="0" applyNumberFormat="1" applyFont="1" applyBorder="1" applyAlignment="1">
      <alignment horizontal="center" vertical="center" shrinkToFit="1"/>
    </xf>
    <xf numFmtId="178" fontId="102" fillId="0" borderId="259" xfId="0" applyNumberFormat="1" applyFont="1" applyBorder="1" applyAlignment="1">
      <alignment horizontal="center" vertical="center" shrinkToFit="1"/>
    </xf>
    <xf numFmtId="178" fontId="102" fillId="0" borderId="177" xfId="0" applyNumberFormat="1" applyFont="1" applyBorder="1" applyAlignment="1">
      <alignment horizontal="center" vertical="center" wrapText="1" shrinkToFit="1"/>
    </xf>
    <xf numFmtId="178" fontId="102" fillId="0" borderId="160" xfId="0" applyNumberFormat="1" applyFont="1" applyBorder="1" applyAlignment="1" applyProtection="1">
      <alignment horizontal="center" vertical="center" shrinkToFit="1"/>
      <protection locked="0"/>
    </xf>
    <xf numFmtId="178" fontId="102" fillId="0" borderId="26" xfId="0" applyNumberFormat="1" applyFont="1" applyBorder="1" applyAlignment="1" applyProtection="1">
      <alignment horizontal="center" vertical="center" shrinkToFit="1"/>
      <protection locked="0"/>
    </xf>
    <xf numFmtId="178" fontId="102" fillId="0" borderId="27" xfId="0" applyNumberFormat="1" applyFont="1" applyBorder="1" applyAlignment="1" applyProtection="1">
      <alignment horizontal="center" vertical="center" shrinkToFit="1"/>
      <protection locked="0"/>
    </xf>
    <xf numFmtId="180" fontId="93" fillId="0" borderId="105" xfId="0" applyNumberFormat="1" applyFont="1" applyBorder="1" applyAlignment="1" applyProtection="1">
      <alignment horizontal="center" vertical="center" shrinkToFit="1"/>
      <protection locked="0"/>
    </xf>
    <xf numFmtId="38" fontId="110" fillId="0" borderId="11" xfId="3" applyFont="1" applyFill="1" applyBorder="1" applyAlignment="1" applyProtection="1">
      <alignment horizontal="center"/>
    </xf>
    <xf numFmtId="38" fontId="110" fillId="0" borderId="3" xfId="3" applyFont="1" applyFill="1" applyBorder="1" applyAlignment="1" applyProtection="1">
      <alignment horizontal="center"/>
    </xf>
    <xf numFmtId="0" fontId="97" fillId="0" borderId="104" xfId="0" applyFont="1" applyBorder="1" applyAlignment="1" applyProtection="1">
      <alignment horizontal="center" vertical="center"/>
      <protection locked="0"/>
    </xf>
    <xf numFmtId="0" fontId="97" fillId="0" borderId="187" xfId="0" applyFont="1" applyBorder="1" applyAlignment="1" applyProtection="1">
      <alignment horizontal="center" vertical="center"/>
      <protection locked="0"/>
    </xf>
    <xf numFmtId="38" fontId="128" fillId="0" borderId="145" xfId="1" applyFont="1" applyFill="1" applyBorder="1" applyAlignment="1" applyProtection="1">
      <alignment horizontal="right" vertical="center" shrinkToFit="1"/>
    </xf>
    <xf numFmtId="38" fontId="126" fillId="0" borderId="14" xfId="1" applyFont="1" applyFill="1" applyBorder="1" applyAlignment="1" applyProtection="1">
      <alignment horizontal="right" vertical="center" shrinkToFit="1"/>
    </xf>
    <xf numFmtId="180" fontId="93" fillId="0" borderId="203" xfId="0" applyNumberFormat="1" applyFont="1" applyBorder="1" applyAlignment="1" applyProtection="1">
      <alignment horizontal="center" vertical="center" shrinkToFit="1"/>
      <protection locked="0"/>
    </xf>
    <xf numFmtId="180" fontId="93" fillId="0" borderId="94" xfId="0" applyNumberFormat="1" applyFont="1" applyBorder="1" applyAlignment="1" applyProtection="1">
      <alignment horizontal="center" vertical="center" shrinkToFit="1"/>
      <protection locked="0"/>
    </xf>
    <xf numFmtId="176" fontId="93" fillId="0" borderId="181" xfId="0" applyNumberFormat="1" applyFont="1" applyBorder="1" applyAlignment="1" applyProtection="1">
      <alignment horizontal="center" vertical="center" shrinkToFit="1"/>
      <protection locked="0"/>
    </xf>
    <xf numFmtId="178" fontId="84" fillId="0" borderId="211" xfId="0" applyNumberFormat="1" applyFont="1" applyBorder="1" applyAlignment="1">
      <alignment horizontal="center" vertical="center" wrapText="1" shrinkToFit="1"/>
    </xf>
    <xf numFmtId="178" fontId="110" fillId="0" borderId="211" xfId="0" applyNumberFormat="1" applyFont="1" applyBorder="1" applyAlignment="1">
      <alignment horizontal="center" vertical="center" wrapText="1" shrinkToFit="1"/>
    </xf>
    <xf numFmtId="178" fontId="102" fillId="0" borderId="181" xfId="0" applyNumberFormat="1" applyFont="1" applyBorder="1" applyAlignment="1">
      <alignment horizontal="center" vertical="center" shrinkToFit="1"/>
    </xf>
    <xf numFmtId="178" fontId="102" fillId="0" borderId="182" xfId="0" applyNumberFormat="1" applyFont="1" applyBorder="1" applyAlignment="1">
      <alignment horizontal="center" vertical="center" shrinkToFit="1"/>
    </xf>
    <xf numFmtId="178" fontId="102" fillId="0" borderId="108" xfId="0" applyNumberFormat="1" applyFont="1" applyBorder="1" applyAlignment="1">
      <alignment horizontal="center" vertical="center" shrinkToFit="1"/>
    </xf>
    <xf numFmtId="178" fontId="129" fillId="0" borderId="13" xfId="0" applyNumberFormat="1" applyFont="1" applyBorder="1" applyAlignment="1">
      <alignment horizontal="center" vertical="center" shrinkToFit="1"/>
    </xf>
    <xf numFmtId="178" fontId="129" fillId="0" borderId="0" xfId="0" applyNumberFormat="1" applyFont="1" applyAlignment="1">
      <alignment horizontal="center" vertical="center" shrinkToFit="1"/>
    </xf>
    <xf numFmtId="178" fontId="129" fillId="0" borderId="12" xfId="0" applyNumberFormat="1" applyFont="1" applyBorder="1" applyAlignment="1">
      <alignment horizontal="center" vertical="center" shrinkToFit="1"/>
    </xf>
    <xf numFmtId="0" fontId="124" fillId="0" borderId="143" xfId="0" applyFont="1" applyBorder="1" applyAlignment="1">
      <alignment horizontal="center" vertical="center"/>
    </xf>
    <xf numFmtId="0" fontId="124" fillId="0" borderId="141" xfId="0" applyFont="1" applyBorder="1" applyAlignment="1">
      <alignment horizontal="center" vertical="center"/>
    </xf>
    <xf numFmtId="0" fontId="124" fillId="0" borderId="142" xfId="0" applyFont="1" applyBorder="1" applyAlignment="1">
      <alignment horizontal="center" vertical="center"/>
    </xf>
    <xf numFmtId="178" fontId="102" fillId="0" borderId="33" xfId="0" applyNumberFormat="1" applyFont="1" applyBorder="1" applyAlignment="1">
      <alignment horizontal="center" vertical="center" shrinkToFit="1"/>
    </xf>
    <xf numFmtId="178" fontId="84" fillId="0" borderId="200" xfId="0" applyNumberFormat="1" applyFont="1" applyBorder="1" applyAlignment="1">
      <alignment horizontal="center" vertical="center" wrapText="1" shrinkToFit="1"/>
    </xf>
    <xf numFmtId="178" fontId="110" fillId="0" borderId="200" xfId="0" applyNumberFormat="1" applyFont="1" applyBorder="1" applyAlignment="1">
      <alignment horizontal="center" vertical="center" wrapText="1" shrinkToFit="1"/>
    </xf>
    <xf numFmtId="178" fontId="84" fillId="0" borderId="63" xfId="0" applyNumberFormat="1" applyFont="1" applyBorder="1" applyAlignment="1">
      <alignment horizontal="center" vertical="center" shrinkToFit="1"/>
    </xf>
    <xf numFmtId="178" fontId="110" fillId="0" borderId="63" xfId="0" applyNumberFormat="1" applyFont="1" applyBorder="1" applyAlignment="1">
      <alignment horizontal="center" vertical="center" shrinkToFit="1"/>
    </xf>
    <xf numFmtId="180" fontId="93" fillId="0" borderId="240" xfId="0" applyNumberFormat="1" applyFont="1" applyBorder="1" applyAlignment="1" applyProtection="1">
      <alignment horizontal="center" vertical="center" shrinkToFit="1"/>
      <protection locked="0"/>
    </xf>
    <xf numFmtId="180" fontId="93" fillId="0" borderId="241" xfId="0" applyNumberFormat="1" applyFont="1" applyBorder="1" applyAlignment="1" applyProtection="1">
      <alignment horizontal="center" vertical="center" shrinkToFit="1"/>
      <protection locked="0"/>
    </xf>
    <xf numFmtId="38" fontId="128" fillId="0" borderId="239" xfId="1" applyFont="1" applyFill="1" applyBorder="1" applyAlignment="1" applyProtection="1">
      <alignment horizontal="right" vertical="center" shrinkToFit="1"/>
    </xf>
    <xf numFmtId="38" fontId="126" fillId="0" borderId="232" xfId="1" applyFont="1" applyFill="1" applyBorder="1" applyAlignment="1" applyProtection="1">
      <alignment horizontal="right" vertical="center" shrinkToFit="1"/>
    </xf>
    <xf numFmtId="180" fontId="93" fillId="0" borderId="242" xfId="0" applyNumberFormat="1" applyFont="1" applyBorder="1" applyAlignment="1" applyProtection="1">
      <alignment horizontal="center" vertical="center" shrinkToFit="1"/>
      <protection locked="0"/>
    </xf>
    <xf numFmtId="180" fontId="93" fillId="0" borderId="39" xfId="0" applyNumberFormat="1" applyFont="1" applyBorder="1" applyAlignment="1" applyProtection="1">
      <alignment horizontal="center" vertical="center" shrinkToFit="1"/>
      <protection locked="0"/>
    </xf>
    <xf numFmtId="180" fontId="93" fillId="0" borderId="40" xfId="0" applyNumberFormat="1" applyFont="1" applyBorder="1" applyAlignment="1" applyProtection="1">
      <alignment horizontal="center" vertical="center" shrinkToFit="1"/>
      <protection locked="0"/>
    </xf>
    <xf numFmtId="180" fontId="93" fillId="0" borderId="184" xfId="0" applyNumberFormat="1" applyFont="1" applyBorder="1" applyAlignment="1" applyProtection="1">
      <alignment horizontal="center" vertical="center" shrinkToFit="1"/>
      <protection locked="0"/>
    </xf>
    <xf numFmtId="38" fontId="130" fillId="0" borderId="141" xfId="2" applyFont="1" applyFill="1" applyBorder="1" applyAlignment="1" applyProtection="1">
      <alignment horizontal="right" vertical="center" shrinkToFit="1"/>
    </xf>
    <xf numFmtId="38" fontId="130" fillId="0" borderId="228" xfId="2" applyFont="1" applyFill="1" applyBorder="1" applyAlignment="1" applyProtection="1">
      <alignment horizontal="right" vertical="center" shrinkToFit="1"/>
    </xf>
    <xf numFmtId="180" fontId="93" fillId="0" borderId="28" xfId="0" applyNumberFormat="1" applyFont="1" applyBorder="1" applyAlignment="1" applyProtection="1">
      <alignment horizontal="center" vertical="center" shrinkToFit="1"/>
      <protection locked="0"/>
    </xf>
    <xf numFmtId="38" fontId="130" fillId="0" borderId="13" xfId="2" applyFont="1" applyFill="1" applyBorder="1" applyAlignment="1" applyProtection="1">
      <alignment horizontal="right" vertical="center" shrinkToFit="1"/>
    </xf>
    <xf numFmtId="38" fontId="130" fillId="0" borderId="12" xfId="2" applyFont="1" applyFill="1" applyBorder="1" applyAlignment="1" applyProtection="1">
      <alignment horizontal="right" vertical="center" shrinkToFit="1"/>
    </xf>
    <xf numFmtId="6" fontId="130" fillId="0" borderId="156" xfId="4" applyFont="1" applyFill="1" applyBorder="1" applyAlignment="1" applyProtection="1">
      <alignment horizontal="right" vertical="center" shrinkToFit="1"/>
    </xf>
    <xf numFmtId="6" fontId="130" fillId="0" borderId="59" xfId="4" applyFont="1" applyFill="1" applyBorder="1" applyAlignment="1" applyProtection="1">
      <alignment horizontal="right" vertical="center" shrinkToFit="1"/>
    </xf>
    <xf numFmtId="0" fontId="110" fillId="0" borderId="20" xfId="0" applyFont="1" applyBorder="1" applyAlignment="1">
      <alignment horizontal="center" vertical="center" wrapText="1"/>
    </xf>
    <xf numFmtId="0" fontId="110" fillId="0" borderId="20" xfId="0" applyFont="1" applyBorder="1" applyAlignment="1">
      <alignment horizontal="center" vertical="center"/>
    </xf>
    <xf numFmtId="38" fontId="98" fillId="0" borderId="15" xfId="3" applyFont="1" applyFill="1" applyBorder="1" applyAlignment="1" applyProtection="1">
      <alignment horizontal="center"/>
    </xf>
    <xf numFmtId="38" fontId="98" fillId="0" borderId="14" xfId="3" applyFont="1" applyFill="1" applyBorder="1" applyAlignment="1" applyProtection="1">
      <alignment horizontal="center"/>
    </xf>
    <xf numFmtId="178" fontId="124" fillId="0" borderId="33" xfId="0" applyNumberFormat="1" applyFont="1" applyBorder="1" applyAlignment="1">
      <alignment horizontal="center" vertical="center" textRotation="255" shrinkToFit="1"/>
    </xf>
    <xf numFmtId="178" fontId="124" fillId="0" borderId="37" xfId="0" applyNumberFormat="1" applyFont="1" applyBorder="1" applyAlignment="1">
      <alignment horizontal="center" vertical="center" textRotation="255" shrinkToFit="1"/>
    </xf>
    <xf numFmtId="178" fontId="124" fillId="0" borderId="195" xfId="0" applyNumberFormat="1" applyFont="1" applyBorder="1" applyAlignment="1">
      <alignment horizontal="center" vertical="center" textRotation="255" shrinkToFit="1"/>
    </xf>
    <xf numFmtId="0" fontId="95" fillId="0" borderId="197" xfId="0" applyFont="1" applyBorder="1" applyAlignment="1">
      <alignment horizontal="center" vertical="center" wrapText="1"/>
    </xf>
    <xf numFmtId="0" fontId="95" fillId="0" borderId="198" xfId="0" applyFont="1" applyBorder="1" applyAlignment="1">
      <alignment horizontal="center" vertical="center" wrapText="1"/>
    </xf>
    <xf numFmtId="0" fontId="124" fillId="0" borderId="15" xfId="0" applyFont="1" applyBorder="1" applyAlignment="1">
      <alignment horizontal="center" vertical="center" textRotation="255" shrinkToFit="1"/>
    </xf>
    <xf numFmtId="0" fontId="124" fillId="0" borderId="13" xfId="0" applyFont="1" applyBorder="1" applyAlignment="1">
      <alignment horizontal="center" vertical="center" textRotation="255" shrinkToFit="1"/>
    </xf>
    <xf numFmtId="0" fontId="124" fillId="0" borderId="156" xfId="0" applyFont="1" applyBorder="1" applyAlignment="1">
      <alignment horizontal="center" vertical="center" textRotation="255" shrinkToFit="1"/>
    </xf>
    <xf numFmtId="0" fontId="110" fillId="0" borderId="15" xfId="0" applyFont="1" applyBorder="1" applyAlignment="1">
      <alignment horizontal="center" vertical="center" wrapText="1"/>
    </xf>
    <xf numFmtId="0" fontId="110" fillId="0" borderId="10" xfId="0" applyFont="1" applyBorder="1" applyAlignment="1">
      <alignment horizontal="center" vertical="center"/>
    </xf>
    <xf numFmtId="0" fontId="110" fillId="0" borderId="11" xfId="0" applyFont="1" applyBorder="1" applyAlignment="1">
      <alignment horizontal="center" vertical="center"/>
    </xf>
    <xf numFmtId="0" fontId="110" fillId="0" borderId="2" xfId="0" applyFont="1" applyBorder="1" applyAlignment="1">
      <alignment horizontal="center" vertical="center"/>
    </xf>
    <xf numFmtId="0" fontId="110" fillId="0" borderId="3" xfId="0" applyFont="1" applyBorder="1" applyAlignment="1">
      <alignment horizontal="center" vertical="center"/>
    </xf>
    <xf numFmtId="0" fontId="110" fillId="0" borderId="91" xfId="0" applyFont="1" applyBorder="1" applyAlignment="1">
      <alignment horizontal="center" vertical="center" wrapText="1" shrinkToFit="1"/>
    </xf>
    <xf numFmtId="0" fontId="110" fillId="0" borderId="91" xfId="0" applyFont="1" applyBorder="1" applyAlignment="1">
      <alignment horizontal="center" vertical="center" shrinkToFit="1"/>
    </xf>
    <xf numFmtId="180" fontId="93" fillId="0" borderId="243" xfId="0" applyNumberFormat="1" applyFont="1" applyBorder="1" applyAlignment="1" applyProtection="1">
      <alignment horizontal="center" vertical="center" shrinkToFit="1"/>
      <protection locked="0"/>
    </xf>
    <xf numFmtId="0" fontId="129" fillId="0" borderId="156" xfId="0" applyFont="1" applyBorder="1" applyAlignment="1">
      <alignment horizontal="center" vertical="center" shrinkToFit="1"/>
    </xf>
    <xf numFmtId="0" fontId="129" fillId="0" borderId="157" xfId="0" applyFont="1" applyBorder="1" applyAlignment="1">
      <alignment horizontal="center" vertical="center" shrinkToFit="1"/>
    </xf>
    <xf numFmtId="0" fontId="129" fillId="0" borderId="59" xfId="0" applyFont="1" applyBorder="1" applyAlignment="1">
      <alignment horizontal="center" vertical="center" shrinkToFit="1"/>
    </xf>
    <xf numFmtId="0" fontId="110" fillId="0" borderId="57" xfId="0" applyFont="1" applyBorder="1" applyAlignment="1" applyProtection="1">
      <alignment horizontal="center" vertical="center" wrapText="1" shrinkToFit="1"/>
      <protection locked="0"/>
    </xf>
    <xf numFmtId="0" fontId="110" fillId="0" borderId="86" xfId="0" applyFont="1" applyBorder="1" applyAlignment="1" applyProtection="1">
      <alignment horizontal="center" vertical="center" wrapText="1" shrinkToFit="1"/>
      <protection locked="0"/>
    </xf>
    <xf numFmtId="0" fontId="110" fillId="0" borderId="155" xfId="0" applyFont="1" applyBorder="1" applyAlignment="1" applyProtection="1">
      <alignment horizontal="center" vertical="center" wrapText="1" shrinkToFit="1"/>
      <protection locked="0"/>
    </xf>
    <xf numFmtId="0" fontId="124" fillId="0" borderId="51" xfId="0" applyFont="1" applyBorder="1" applyAlignment="1">
      <alignment horizontal="center" vertical="center"/>
    </xf>
    <xf numFmtId="0" fontId="124" fillId="0" borderId="17" xfId="0" applyFont="1" applyBorder="1" applyAlignment="1">
      <alignment horizontal="center" vertical="center"/>
    </xf>
    <xf numFmtId="178" fontId="124" fillId="0" borderId="189" xfId="0" applyNumberFormat="1" applyFont="1" applyBorder="1" applyAlignment="1">
      <alignment horizontal="center" vertical="center"/>
    </xf>
    <xf numFmtId="178" fontId="124" fillId="0" borderId="34" xfId="0" applyNumberFormat="1" applyFont="1" applyBorder="1" applyAlignment="1">
      <alignment horizontal="center" vertical="center"/>
    </xf>
    <xf numFmtId="0" fontId="97" fillId="0" borderId="252" xfId="0" applyFont="1" applyBorder="1" applyAlignment="1" applyProtection="1">
      <alignment horizontal="center" vertical="center"/>
      <protection locked="0"/>
    </xf>
    <xf numFmtId="0" fontId="97" fillId="0" borderId="253" xfId="0" applyFont="1" applyBorder="1" applyAlignment="1" applyProtection="1">
      <alignment horizontal="center" vertical="center"/>
      <protection locked="0"/>
    </xf>
    <xf numFmtId="38" fontId="93" fillId="0" borderId="188" xfId="2" applyFont="1" applyFill="1" applyBorder="1" applyAlignment="1" applyProtection="1">
      <alignment horizontal="center" vertical="center" shrinkToFit="1"/>
      <protection locked="0"/>
    </xf>
    <xf numFmtId="38" fontId="93" fillId="0" borderId="271" xfId="2" applyFont="1" applyFill="1" applyBorder="1" applyAlignment="1" applyProtection="1">
      <alignment horizontal="center" vertical="center" shrinkToFit="1"/>
      <protection locked="0"/>
    </xf>
    <xf numFmtId="38" fontId="126" fillId="0" borderId="160" xfId="1" applyFont="1" applyFill="1" applyBorder="1" applyAlignment="1" applyProtection="1">
      <alignment vertical="center" shrinkToFit="1"/>
    </xf>
    <xf numFmtId="38" fontId="126" fillId="0" borderId="27" xfId="1" applyFont="1" applyFill="1" applyBorder="1" applyAlignment="1" applyProtection="1">
      <alignment vertical="center" shrinkToFit="1"/>
    </xf>
    <xf numFmtId="38" fontId="126" fillId="0" borderId="311" xfId="1" applyFont="1" applyFill="1" applyBorder="1" applyAlignment="1" applyProtection="1">
      <alignment vertical="center" shrinkToFit="1"/>
    </xf>
    <xf numFmtId="38" fontId="126" fillId="0" borderId="306" xfId="1" applyFont="1" applyFill="1" applyBorder="1" applyAlignment="1" applyProtection="1">
      <alignment vertical="center" shrinkToFit="1"/>
    </xf>
    <xf numFmtId="176" fontId="93" fillId="0" borderId="168" xfId="0" applyNumberFormat="1" applyFont="1" applyBorder="1" applyAlignment="1" applyProtection="1">
      <alignment horizontal="center" vertical="center" shrinkToFit="1"/>
      <protection locked="0"/>
    </xf>
    <xf numFmtId="178" fontId="102" fillId="0" borderId="162" xfId="0" applyNumberFormat="1" applyFont="1" applyBorder="1" applyAlignment="1">
      <alignment horizontal="center" vertical="center" shrinkToFit="1"/>
    </xf>
    <xf numFmtId="178" fontId="102" fillId="0" borderId="163" xfId="0" applyNumberFormat="1" applyFont="1" applyBorder="1" applyAlignment="1">
      <alignment horizontal="center" vertical="center" shrinkToFit="1"/>
    </xf>
    <xf numFmtId="178" fontId="102" fillId="0" borderId="164" xfId="0" applyNumberFormat="1" applyFont="1" applyBorder="1" applyAlignment="1">
      <alignment horizontal="center" vertical="center" shrinkToFit="1"/>
    </xf>
    <xf numFmtId="0" fontId="102" fillId="0" borderId="32" xfId="0" applyFont="1" applyBorder="1" applyAlignment="1">
      <alignment horizontal="center" vertical="center"/>
    </xf>
    <xf numFmtId="0" fontId="102" fillId="0" borderId="304" xfId="0" applyFont="1" applyBorder="1" applyAlignment="1">
      <alignment horizontal="center" vertical="center"/>
    </xf>
    <xf numFmtId="0" fontId="102" fillId="0" borderId="87" xfId="0" applyFont="1" applyBorder="1" applyAlignment="1">
      <alignment horizontal="center" vertical="center"/>
    </xf>
    <xf numFmtId="38" fontId="93" fillId="0" borderId="162" xfId="2" applyFont="1" applyFill="1" applyBorder="1" applyAlignment="1" applyProtection="1">
      <alignment horizontal="center" vertical="center" shrinkToFit="1"/>
      <protection locked="0"/>
    </xf>
    <xf numFmtId="38" fontId="93" fillId="0" borderId="164" xfId="2" applyFont="1" applyFill="1" applyBorder="1" applyAlignment="1" applyProtection="1">
      <alignment horizontal="center" vertical="center" shrinkToFit="1"/>
      <protection locked="0"/>
    </xf>
    <xf numFmtId="38" fontId="93" fillId="0" borderId="12" xfId="2" applyFont="1" applyFill="1" applyBorder="1" applyAlignment="1" applyProtection="1">
      <alignment horizontal="center" vertical="center" shrinkToFit="1"/>
      <protection locked="0"/>
    </xf>
    <xf numFmtId="180" fontId="93" fillId="0" borderId="32" xfId="0" applyNumberFormat="1" applyFont="1" applyBorder="1" applyAlignment="1">
      <alignment horizontal="center" vertical="center" shrinkToFit="1"/>
    </xf>
    <xf numFmtId="180" fontId="93" fillId="0" borderId="87" xfId="0" applyNumberFormat="1" applyFont="1" applyBorder="1" applyAlignment="1">
      <alignment horizontal="center" vertical="center" shrinkToFit="1"/>
    </xf>
    <xf numFmtId="180" fontId="93" fillId="0" borderId="51" xfId="0" applyNumberFormat="1" applyFont="1" applyBorder="1" applyAlignment="1">
      <alignment horizontal="center" vertical="center" shrinkToFit="1"/>
    </xf>
    <xf numFmtId="180" fontId="93" fillId="0" borderId="52" xfId="0" applyNumberFormat="1" applyFont="1" applyBorder="1" applyAlignment="1">
      <alignment horizontal="center" vertical="center" shrinkToFit="1"/>
    </xf>
    <xf numFmtId="38" fontId="93" fillId="0" borderId="2" xfId="2" applyFont="1" applyFill="1" applyBorder="1" applyAlignment="1" applyProtection="1">
      <alignment horizontal="center" vertical="center" shrinkToFit="1"/>
      <protection locked="0"/>
    </xf>
    <xf numFmtId="38" fontId="93" fillId="0" borderId="3" xfId="2" applyFont="1" applyFill="1" applyBorder="1" applyAlignment="1" applyProtection="1">
      <alignment horizontal="center" vertical="center" shrinkToFit="1"/>
      <protection locked="0"/>
    </xf>
    <xf numFmtId="180" fontId="93" fillId="0" borderId="308" xfId="0" applyNumberFormat="1" applyFont="1" applyBorder="1" applyAlignment="1">
      <alignment horizontal="center" vertical="center" shrinkToFit="1"/>
    </xf>
    <xf numFmtId="180" fontId="93" fillId="0" borderId="304" xfId="0" applyNumberFormat="1" applyFont="1" applyBorder="1" applyAlignment="1">
      <alignment horizontal="center" vertical="center" shrinkToFit="1"/>
    </xf>
    <xf numFmtId="180" fontId="93" fillId="0" borderId="191" xfId="0" applyNumberFormat="1" applyFont="1" applyBorder="1" applyAlignment="1" applyProtection="1">
      <alignment horizontal="center" vertical="center" shrinkToFit="1"/>
      <protection locked="0"/>
    </xf>
    <xf numFmtId="178" fontId="126" fillId="5" borderId="300" xfId="0" applyNumberFormat="1" applyFont="1" applyFill="1" applyBorder="1" applyAlignment="1">
      <alignment horizontal="center" vertical="center" textRotation="255"/>
    </xf>
    <xf numFmtId="178" fontId="126" fillId="5" borderId="37" xfId="0" applyNumberFormat="1" applyFont="1" applyFill="1" applyBorder="1" applyAlignment="1">
      <alignment horizontal="center" vertical="center" textRotation="255"/>
    </xf>
    <xf numFmtId="178" fontId="126" fillId="5" borderId="48" xfId="0" applyNumberFormat="1" applyFont="1" applyFill="1" applyBorder="1" applyAlignment="1">
      <alignment horizontal="center" vertical="center" textRotation="255"/>
    </xf>
    <xf numFmtId="180" fontId="93" fillId="0" borderId="167" xfId="0" applyNumberFormat="1" applyFont="1" applyBorder="1" applyAlignment="1" applyProtection="1">
      <alignment horizontal="center" vertical="center" shrinkToFit="1"/>
      <protection locked="0"/>
    </xf>
    <xf numFmtId="180" fontId="93" fillId="0" borderId="234" xfId="0" applyNumberFormat="1" applyFont="1" applyBorder="1" applyAlignment="1" applyProtection="1">
      <alignment horizontal="center" vertical="center" shrinkToFit="1"/>
      <protection locked="0"/>
    </xf>
    <xf numFmtId="176" fontId="93" fillId="0" borderId="261" xfId="0" applyNumberFormat="1" applyFont="1" applyBorder="1" applyAlignment="1" applyProtection="1">
      <alignment horizontal="center" vertical="center" shrinkToFit="1"/>
      <protection locked="0"/>
    </xf>
    <xf numFmtId="178" fontId="102" fillId="0" borderId="296" xfId="0" applyNumberFormat="1" applyFont="1" applyBorder="1" applyAlignment="1">
      <alignment horizontal="center" vertical="center" shrinkToFit="1"/>
    </xf>
    <xf numFmtId="178" fontId="102" fillId="0" borderId="297" xfId="0" applyNumberFormat="1" applyFont="1" applyBorder="1" applyAlignment="1">
      <alignment horizontal="center" vertical="center" shrinkToFit="1"/>
    </xf>
    <xf numFmtId="178" fontId="102" fillId="0" borderId="298" xfId="0" applyNumberFormat="1" applyFont="1" applyBorder="1" applyAlignment="1">
      <alignment horizontal="center" vertical="center" shrinkToFit="1"/>
    </xf>
    <xf numFmtId="176" fontId="93" fillId="0" borderId="162" xfId="0" applyNumberFormat="1" applyFont="1" applyBorder="1" applyAlignment="1" applyProtection="1">
      <alignment horizontal="center" vertical="center" shrinkToFit="1"/>
      <protection locked="0"/>
    </xf>
    <xf numFmtId="191" fontId="124" fillId="0" borderId="189" xfId="0" applyNumberFormat="1" applyFont="1" applyBorder="1" applyAlignment="1">
      <alignment horizontal="center" vertical="center"/>
    </xf>
    <xf numFmtId="191" fontId="124" fillId="0" borderId="34" xfId="0" applyNumberFormat="1" applyFont="1" applyBorder="1" applyAlignment="1">
      <alignment horizontal="center" vertical="center"/>
    </xf>
    <xf numFmtId="191" fontId="124" fillId="0" borderId="34" xfId="0" applyNumberFormat="1" applyFont="1" applyBorder="1" applyAlignment="1">
      <alignment horizontal="right" vertical="center"/>
    </xf>
    <xf numFmtId="178" fontId="102" fillId="0" borderId="257" xfId="0" applyNumberFormat="1" applyFont="1" applyBorder="1" applyAlignment="1">
      <alignment horizontal="center" vertical="center" wrapText="1"/>
    </xf>
    <xf numFmtId="178" fontId="102" fillId="0" borderId="258" xfId="0" applyNumberFormat="1" applyFont="1" applyBorder="1" applyAlignment="1">
      <alignment horizontal="center" vertical="center" wrapText="1"/>
    </xf>
    <xf numFmtId="178" fontId="102" fillId="0" borderId="259" xfId="0" applyNumberFormat="1" applyFont="1" applyBorder="1" applyAlignment="1">
      <alignment horizontal="center" vertical="center" wrapText="1"/>
    </xf>
    <xf numFmtId="0" fontId="95" fillId="0" borderId="51" xfId="0" applyFont="1" applyBorder="1" applyAlignment="1">
      <alignment horizontal="center" vertical="center" wrapText="1"/>
    </xf>
    <xf numFmtId="0" fontId="95" fillId="0" borderId="51" xfId="0" applyFont="1" applyBorder="1" applyAlignment="1">
      <alignment horizontal="center" vertical="center"/>
    </xf>
    <xf numFmtId="178" fontId="102" fillId="0" borderId="17" xfId="0" applyNumberFormat="1" applyFont="1" applyBorder="1" applyAlignment="1">
      <alignment horizontal="center" vertical="center" shrinkToFit="1"/>
    </xf>
    <xf numFmtId="178" fontId="102" fillId="0" borderId="50" xfId="0" applyNumberFormat="1" applyFont="1" applyBorder="1" applyAlignment="1">
      <alignment horizontal="center" vertical="center" shrinkToFit="1"/>
    </xf>
    <xf numFmtId="0" fontId="23" fillId="0" borderId="2" xfId="0" applyFont="1" applyBorder="1" applyAlignment="1">
      <alignment horizontal="center" vertical="center"/>
    </xf>
    <xf numFmtId="0" fontId="45" fillId="0" borderId="0" xfId="0" applyFont="1" applyAlignment="1">
      <alignment horizontal="left" vertical="center"/>
    </xf>
    <xf numFmtId="0" fontId="23" fillId="0" borderId="2" xfId="0" applyFont="1" applyBorder="1" applyAlignment="1">
      <alignment horizontal="left" vertical="center"/>
    </xf>
    <xf numFmtId="0" fontId="124" fillId="0" borderId="20" xfId="0" applyFont="1" applyBorder="1" applyAlignment="1">
      <alignment horizontal="center" vertical="center"/>
    </xf>
    <xf numFmtId="178" fontId="97" fillId="0" borderId="189" xfId="0" applyNumberFormat="1" applyFont="1" applyBorder="1" applyAlignment="1">
      <alignment horizontal="center" vertical="center" shrinkToFit="1"/>
    </xf>
    <xf numFmtId="178" fontId="97" fillId="0" borderId="34" xfId="0" applyNumberFormat="1" applyFont="1" applyBorder="1" applyAlignment="1">
      <alignment horizontal="center" vertical="center" shrinkToFit="1"/>
    </xf>
    <xf numFmtId="178" fontId="97" fillId="0" borderId="36" xfId="0" applyNumberFormat="1" applyFont="1" applyBorder="1" applyAlignment="1">
      <alignment horizontal="center" vertical="center" shrinkToFit="1"/>
    </xf>
    <xf numFmtId="0" fontId="122" fillId="0" borderId="0" xfId="0" applyFont="1" applyAlignment="1">
      <alignment horizontal="center" vertical="center" shrinkToFit="1"/>
    </xf>
    <xf numFmtId="178" fontId="110" fillId="0" borderId="15" xfId="0" applyNumberFormat="1" applyFont="1" applyBorder="1" applyAlignment="1">
      <alignment horizontal="center" vertical="center" shrinkToFit="1"/>
    </xf>
    <xf numFmtId="178" fontId="110" fillId="0" borderId="10" xfId="0" applyNumberFormat="1" applyFont="1" applyBorder="1" applyAlignment="1">
      <alignment horizontal="center" vertical="center" shrinkToFit="1"/>
    </xf>
    <xf numFmtId="178" fontId="110" fillId="0" borderId="14" xfId="0" applyNumberFormat="1" applyFont="1" applyBorder="1" applyAlignment="1">
      <alignment horizontal="center" vertical="center" shrinkToFit="1"/>
    </xf>
    <xf numFmtId="177" fontId="123" fillId="0" borderId="0" xfId="0" applyNumberFormat="1" applyFont="1" applyAlignment="1">
      <alignment horizontal="center" vertical="top" shrinkToFit="1"/>
    </xf>
    <xf numFmtId="176" fontId="93" fillId="0" borderId="173" xfId="0" applyNumberFormat="1" applyFont="1" applyBorder="1" applyAlignment="1" applyProtection="1">
      <alignment horizontal="center" vertical="center" shrinkToFit="1"/>
      <protection locked="0"/>
    </xf>
    <xf numFmtId="176" fontId="93" fillId="0" borderId="166" xfId="0" applyNumberFormat="1" applyFont="1" applyBorder="1" applyAlignment="1" applyProtection="1">
      <alignment horizontal="center" vertical="center" shrinkToFit="1"/>
      <protection locked="0"/>
    </xf>
    <xf numFmtId="176" fontId="93" fillId="0" borderId="95" xfId="0" applyNumberFormat="1" applyFont="1" applyBorder="1" applyAlignment="1" applyProtection="1">
      <alignment horizontal="center" vertical="center" shrinkToFit="1"/>
      <protection locked="0"/>
    </xf>
    <xf numFmtId="176" fontId="93" fillId="0" borderId="165" xfId="0" applyNumberFormat="1" applyFont="1" applyBorder="1" applyAlignment="1" applyProtection="1">
      <alignment horizontal="center" vertical="center" shrinkToFit="1"/>
      <protection locked="0"/>
    </xf>
    <xf numFmtId="180" fontId="126" fillId="0" borderId="191" xfId="3" applyNumberFormat="1" applyFont="1" applyFill="1" applyBorder="1" applyAlignment="1" applyProtection="1">
      <alignment horizontal="right" vertical="center" shrinkToFit="1"/>
    </xf>
    <xf numFmtId="180" fontId="126" fillId="0" borderId="190" xfId="3" applyNumberFormat="1" applyFont="1" applyFill="1" applyBorder="1" applyAlignment="1" applyProtection="1">
      <alignment horizontal="right" vertical="center" shrinkToFit="1"/>
    </xf>
    <xf numFmtId="176" fontId="93" fillId="0" borderId="218" xfId="0" applyNumberFormat="1" applyFont="1" applyBorder="1" applyAlignment="1" applyProtection="1">
      <alignment horizontal="center" vertical="center" shrinkToFit="1"/>
      <protection locked="0"/>
    </xf>
    <xf numFmtId="176" fontId="93" fillId="0" borderId="219" xfId="0" applyNumberFormat="1" applyFont="1" applyBorder="1" applyAlignment="1" applyProtection="1">
      <alignment horizontal="center" vertical="center" shrinkToFit="1"/>
      <protection locked="0"/>
    </xf>
    <xf numFmtId="176" fontId="93" fillId="0" borderId="175" xfId="0" applyNumberFormat="1" applyFont="1" applyBorder="1" applyAlignment="1" applyProtection="1">
      <alignment horizontal="center" vertical="center" shrinkToFit="1"/>
      <protection locked="0"/>
    </xf>
    <xf numFmtId="176" fontId="93" fillId="0" borderId="176" xfId="0" applyNumberFormat="1" applyFont="1" applyBorder="1" applyAlignment="1" applyProtection="1">
      <alignment horizontal="center" vertical="center" shrinkToFit="1"/>
      <protection locked="0"/>
    </xf>
    <xf numFmtId="0" fontId="114" fillId="12" borderId="0" xfId="0" applyFont="1" applyFill="1" applyAlignment="1">
      <alignment horizontal="center" vertical="center" wrapText="1"/>
    </xf>
    <xf numFmtId="0" fontId="114" fillId="12" borderId="2" xfId="0" applyFont="1" applyFill="1" applyBorder="1" applyAlignment="1">
      <alignment horizontal="center" vertical="center" wrapText="1"/>
    </xf>
    <xf numFmtId="0" fontId="124" fillId="0" borderId="0" xfId="0" applyFont="1" applyAlignment="1">
      <alignment horizontal="center" vertical="center" wrapText="1"/>
    </xf>
    <xf numFmtId="0" fontId="124" fillId="0" borderId="2" xfId="0" applyFont="1" applyBorder="1" applyAlignment="1">
      <alignment horizontal="center" vertical="center" wrapText="1"/>
    </xf>
    <xf numFmtId="0" fontId="130" fillId="27" borderId="0" xfId="0" applyFont="1" applyFill="1" applyAlignment="1">
      <alignment horizontal="center" vertical="center" wrapText="1"/>
    </xf>
    <xf numFmtId="0" fontId="130" fillId="27" borderId="2" xfId="0" applyFont="1" applyFill="1" applyBorder="1" applyAlignment="1">
      <alignment horizontal="center" vertical="center" wrapText="1"/>
    </xf>
    <xf numFmtId="178" fontId="104" fillId="0" borderId="63" xfId="0" applyNumberFormat="1" applyFont="1" applyBorder="1" applyAlignment="1">
      <alignment horizontal="center" vertical="center" wrapText="1" shrinkToFit="1"/>
    </xf>
    <xf numFmtId="178" fontId="95" fillId="0" borderId="63" xfId="0" applyNumberFormat="1" applyFont="1" applyBorder="1" applyAlignment="1">
      <alignment horizontal="center" vertical="center" wrapText="1" shrinkToFit="1"/>
    </xf>
    <xf numFmtId="0" fontId="114" fillId="5" borderId="0" xfId="0" applyFont="1" applyFill="1" applyAlignment="1">
      <alignment horizontal="center" vertical="center" wrapText="1"/>
    </xf>
    <xf numFmtId="0" fontId="114" fillId="5" borderId="2" xfId="0" applyFont="1" applyFill="1" applyBorder="1" applyAlignment="1">
      <alignment horizontal="center" vertical="center" wrapText="1"/>
    </xf>
    <xf numFmtId="0" fontId="124" fillId="0" borderId="0" xfId="0" applyFont="1" applyAlignment="1">
      <alignment horizontal="left" vertical="center" wrapText="1"/>
    </xf>
    <xf numFmtId="0" fontId="124" fillId="0" borderId="2" xfId="0" applyFont="1" applyBorder="1" applyAlignment="1">
      <alignment horizontal="left" vertical="center" wrapText="1"/>
    </xf>
    <xf numFmtId="0" fontId="130" fillId="12" borderId="0" xfId="0" applyFont="1" applyFill="1" applyAlignment="1">
      <alignment horizontal="center" vertical="center" wrapText="1"/>
    </xf>
    <xf numFmtId="0" fontId="130" fillId="12" borderId="2" xfId="0" applyFont="1" applyFill="1" applyBorder="1" applyAlignment="1">
      <alignment horizontal="center" vertical="center" wrapText="1"/>
    </xf>
    <xf numFmtId="0" fontId="98" fillId="5" borderId="33" xfId="0" applyFont="1" applyFill="1" applyBorder="1" applyAlignment="1">
      <alignment horizontal="center" vertical="top" textRotation="255" indent="1" shrinkToFit="1"/>
    </xf>
    <xf numFmtId="0" fontId="98" fillId="5" borderId="37" xfId="0" applyFont="1" applyFill="1" applyBorder="1" applyAlignment="1">
      <alignment horizontal="center" vertical="top" textRotation="255" indent="1" shrinkToFit="1"/>
    </xf>
    <xf numFmtId="0" fontId="98" fillId="5" borderId="195" xfId="0" applyFont="1" applyFill="1" applyBorder="1" applyAlignment="1">
      <alignment horizontal="center" vertical="top" textRotation="255" indent="1" shrinkToFit="1"/>
    </xf>
    <xf numFmtId="178" fontId="128" fillId="5" borderId="33" xfId="0" applyNumberFormat="1" applyFont="1" applyFill="1" applyBorder="1" applyAlignment="1">
      <alignment horizontal="center" vertical="center" textRotation="255"/>
    </xf>
    <xf numFmtId="178" fontId="128" fillId="5" borderId="37" xfId="0" applyNumberFormat="1" applyFont="1" applyFill="1" applyBorder="1" applyAlignment="1">
      <alignment horizontal="center" vertical="center" textRotation="255"/>
    </xf>
    <xf numFmtId="178" fontId="128" fillId="5" borderId="195" xfId="0" applyNumberFormat="1" applyFont="1" applyFill="1" applyBorder="1" applyAlignment="1">
      <alignment horizontal="center" vertical="center" textRotation="255"/>
    </xf>
    <xf numFmtId="178" fontId="126" fillId="12" borderId="300" xfId="0" applyNumberFormat="1" applyFont="1" applyFill="1" applyBorder="1" applyAlignment="1">
      <alignment horizontal="center" vertical="center" textRotation="255"/>
    </xf>
    <xf numFmtId="178" fontId="126" fillId="12" borderId="37" xfId="0" applyNumberFormat="1" applyFont="1" applyFill="1" applyBorder="1" applyAlignment="1">
      <alignment horizontal="center" vertical="center" textRotation="255"/>
    </xf>
    <xf numFmtId="178" fontId="126" fillId="12" borderId="48" xfId="0" applyNumberFormat="1" applyFont="1" applyFill="1" applyBorder="1" applyAlignment="1">
      <alignment horizontal="center" vertical="center" textRotation="255"/>
    </xf>
    <xf numFmtId="0" fontId="124" fillId="5" borderId="33" xfId="0" applyFont="1" applyFill="1" applyBorder="1" applyAlignment="1">
      <alignment horizontal="center" vertical="top" textRotation="255" indent="1" shrinkToFit="1"/>
    </xf>
    <xf numFmtId="0" fontId="124" fillId="5" borderId="37" xfId="0" applyFont="1" applyFill="1" applyBorder="1" applyAlignment="1">
      <alignment horizontal="center" vertical="top" textRotation="255" indent="1" shrinkToFit="1"/>
    </xf>
    <xf numFmtId="0" fontId="124" fillId="5" borderId="195" xfId="0" applyFont="1" applyFill="1" applyBorder="1" applyAlignment="1">
      <alignment horizontal="center" vertical="top" textRotation="255" indent="1" shrinkToFit="1"/>
    </xf>
    <xf numFmtId="178" fontId="128" fillId="12" borderId="33" xfId="0" applyNumberFormat="1" applyFont="1" applyFill="1" applyBorder="1" applyAlignment="1">
      <alignment horizontal="center" vertical="center" textRotation="255"/>
    </xf>
    <xf numFmtId="178" fontId="128" fillId="12" borderId="37" xfId="0" applyNumberFormat="1" applyFont="1" applyFill="1" applyBorder="1" applyAlignment="1">
      <alignment horizontal="center" vertical="center" textRotation="255"/>
    </xf>
    <xf numFmtId="178" fontId="128" fillId="12" borderId="195" xfId="0" applyNumberFormat="1" applyFont="1" applyFill="1" applyBorder="1" applyAlignment="1">
      <alignment horizontal="center" vertical="center" textRotation="255"/>
    </xf>
    <xf numFmtId="0" fontId="104" fillId="0" borderId="0" xfId="0" applyFont="1" applyAlignment="1" applyProtection="1">
      <alignment horizontal="center" wrapText="1"/>
      <protection locked="0"/>
    </xf>
    <xf numFmtId="49" fontId="103" fillId="0" borderId="15" xfId="0" applyNumberFormat="1" applyFont="1" applyBorder="1" applyAlignment="1">
      <alignment horizontal="center" vertical="center"/>
    </xf>
    <xf numFmtId="49" fontId="103" fillId="0" borderId="10" xfId="0" applyNumberFormat="1" applyFont="1" applyBorder="1" applyAlignment="1">
      <alignment horizontal="center" vertical="center"/>
    </xf>
    <xf numFmtId="49" fontId="103" fillId="0" borderId="14" xfId="0" applyNumberFormat="1" applyFont="1" applyBorder="1" applyAlignment="1">
      <alignment horizontal="center" vertical="center"/>
    </xf>
    <xf numFmtId="49" fontId="33" fillId="0" borderId="15" xfId="0" applyNumberFormat="1" applyFont="1" applyBorder="1" applyAlignment="1">
      <alignment horizontal="center" vertical="center"/>
    </xf>
    <xf numFmtId="49" fontId="33" fillId="0" borderId="10" xfId="0" applyNumberFormat="1" applyFont="1" applyBorder="1" applyAlignment="1">
      <alignment horizontal="center" vertical="center"/>
    </xf>
    <xf numFmtId="49" fontId="33" fillId="0" borderId="14" xfId="0" applyNumberFormat="1" applyFont="1" applyBorder="1" applyAlignment="1">
      <alignment horizontal="center" vertical="center"/>
    </xf>
    <xf numFmtId="49" fontId="93" fillId="0" borderId="13" xfId="0" applyNumberFormat="1" applyFont="1" applyBorder="1" applyAlignment="1">
      <alignment horizontal="center" vertical="center"/>
    </xf>
    <xf numFmtId="49" fontId="93" fillId="0" borderId="0" xfId="0" applyNumberFormat="1" applyFont="1" applyAlignment="1">
      <alignment horizontal="center" vertical="center"/>
    </xf>
    <xf numFmtId="49" fontId="93" fillId="0" borderId="12" xfId="0" applyNumberFormat="1" applyFont="1" applyBorder="1" applyAlignment="1">
      <alignment horizontal="center" vertical="center"/>
    </xf>
    <xf numFmtId="49" fontId="103" fillId="0" borderId="13" xfId="0" applyNumberFormat="1" applyFont="1" applyBorder="1" applyAlignment="1">
      <alignment horizontal="center" vertical="center"/>
    </xf>
    <xf numFmtId="49" fontId="103" fillId="0" borderId="0" xfId="0" applyNumberFormat="1" applyFont="1" applyAlignment="1">
      <alignment horizontal="center" vertical="center"/>
    </xf>
    <xf numFmtId="49" fontId="103" fillId="0" borderId="12" xfId="0" applyNumberFormat="1" applyFont="1" applyBorder="1" applyAlignment="1">
      <alignment horizontal="center" vertical="center"/>
    </xf>
    <xf numFmtId="49" fontId="103" fillId="0" borderId="13" xfId="0" applyNumberFormat="1" applyFont="1" applyBorder="1" applyAlignment="1">
      <alignment horizontal="left" vertical="center"/>
    </xf>
    <xf numFmtId="49" fontId="103" fillId="0" borderId="0" xfId="0" applyNumberFormat="1" applyFont="1" applyAlignment="1">
      <alignment horizontal="left" vertical="center"/>
    </xf>
    <xf numFmtId="49" fontId="103" fillId="0" borderId="12" xfId="0" applyNumberFormat="1" applyFont="1" applyBorder="1" applyAlignment="1">
      <alignment horizontal="left" vertical="center"/>
    </xf>
    <xf numFmtId="178" fontId="82" fillId="0" borderId="13" xfId="0" applyNumberFormat="1" applyFont="1" applyBorder="1" applyAlignment="1">
      <alignment horizontal="right" vertical="center"/>
    </xf>
    <xf numFmtId="178" fontId="82" fillId="0" borderId="0" xfId="0" applyNumberFormat="1" applyFont="1" applyAlignment="1">
      <alignment horizontal="right" vertical="center"/>
    </xf>
    <xf numFmtId="0" fontId="82" fillId="0" borderId="0" xfId="0" applyFont="1" applyAlignment="1" applyProtection="1">
      <alignment horizontal="center" vertical="center"/>
      <protection locked="0"/>
    </xf>
    <xf numFmtId="0" fontId="37" fillId="0" borderId="51" xfId="0" applyFont="1" applyBorder="1" applyAlignment="1">
      <alignment horizontal="center" vertical="center"/>
    </xf>
    <xf numFmtId="0" fontId="37" fillId="0" borderId="50" xfId="0" applyFont="1" applyBorder="1" applyAlignment="1">
      <alignment horizontal="center" vertical="center"/>
    </xf>
    <xf numFmtId="49" fontId="103" fillId="0" borderId="51" xfId="0" applyNumberFormat="1" applyFont="1" applyBorder="1" applyAlignment="1">
      <alignment horizontal="center" vertical="center"/>
    </xf>
    <xf numFmtId="49" fontId="103" fillId="0" borderId="17" xfId="0" applyNumberFormat="1" applyFont="1" applyBorder="1" applyAlignment="1">
      <alignment horizontal="center" vertical="center"/>
    </xf>
    <xf numFmtId="49" fontId="103" fillId="0" borderId="50" xfId="0" applyNumberFormat="1" applyFont="1" applyBorder="1" applyAlignment="1">
      <alignment horizontal="center" vertical="center"/>
    </xf>
    <xf numFmtId="49" fontId="82" fillId="0" borderId="0" xfId="0" applyNumberFormat="1" applyFont="1" applyAlignment="1">
      <alignment horizontal="center" vertical="center"/>
    </xf>
    <xf numFmtId="0" fontId="82" fillId="0" borderId="0" xfId="0" applyFont="1" applyAlignment="1">
      <alignment horizontal="center" vertical="center"/>
    </xf>
    <xf numFmtId="0" fontId="106" fillId="0" borderId="0" xfId="0" applyFont="1" applyAlignment="1">
      <alignment horizontal="center" vertical="center"/>
    </xf>
    <xf numFmtId="0" fontId="106" fillId="0" borderId="12" xfId="0" applyFont="1" applyBorder="1" applyAlignment="1">
      <alignment horizontal="center" vertical="center"/>
    </xf>
    <xf numFmtId="178" fontId="82" fillId="0" borderId="0" xfId="0" applyNumberFormat="1" applyFont="1" applyAlignment="1">
      <alignment horizontal="center" vertical="center"/>
    </xf>
    <xf numFmtId="178" fontId="82" fillId="0" borderId="12" xfId="0" applyNumberFormat="1" applyFont="1" applyBorder="1" applyAlignment="1">
      <alignment horizontal="center" vertical="center"/>
    </xf>
    <xf numFmtId="0" fontId="82" fillId="0" borderId="12" xfId="0" applyFont="1" applyBorder="1" applyAlignment="1">
      <alignment horizontal="center" vertical="center"/>
    </xf>
    <xf numFmtId="181" fontId="82" fillId="0" borderId="0" xfId="0" applyNumberFormat="1" applyFont="1" applyAlignment="1">
      <alignment horizontal="center" vertical="center" shrinkToFit="1"/>
    </xf>
    <xf numFmtId="181" fontId="82" fillId="0" borderId="12" xfId="0" applyNumberFormat="1" applyFont="1" applyBorder="1" applyAlignment="1">
      <alignment horizontal="center" vertical="center" shrinkToFit="1"/>
    </xf>
    <xf numFmtId="0" fontId="82" fillId="0" borderId="51" xfId="0" applyFont="1" applyBorder="1" applyAlignment="1" applyProtection="1">
      <alignment horizontal="center" vertical="center"/>
      <protection locked="0"/>
    </xf>
    <xf numFmtId="0" fontId="82" fillId="0" borderId="17" xfId="0" applyFont="1" applyBorder="1" applyAlignment="1" applyProtection="1">
      <alignment horizontal="center" vertical="center"/>
      <protection locked="0"/>
    </xf>
    <xf numFmtId="0" fontId="82" fillId="0" borderId="50" xfId="0" applyFont="1" applyBorder="1" applyAlignment="1" applyProtection="1">
      <alignment horizontal="center" vertical="center"/>
      <protection locked="0"/>
    </xf>
    <xf numFmtId="49" fontId="82" fillId="0" borderId="51" xfId="0" applyNumberFormat="1" applyFont="1" applyBorder="1" applyAlignment="1">
      <alignment horizontal="center" vertical="center"/>
    </xf>
    <xf numFmtId="49" fontId="82" fillId="0" borderId="17" xfId="0" applyNumberFormat="1" applyFont="1" applyBorder="1" applyAlignment="1">
      <alignment horizontal="center" vertical="center"/>
    </xf>
    <xf numFmtId="0" fontId="113" fillId="0" borderId="17" xfId="0" applyFont="1" applyBorder="1" applyAlignment="1" applyProtection="1">
      <alignment horizontal="center" vertical="center"/>
      <protection locked="0"/>
    </xf>
    <xf numFmtId="178" fontId="103" fillId="0" borderId="17" xfId="0" applyNumberFormat="1" applyFont="1" applyBorder="1" applyAlignment="1">
      <alignment horizontal="center" vertical="center"/>
    </xf>
    <xf numFmtId="191" fontId="106" fillId="0" borderId="17" xfId="0" applyNumberFormat="1" applyFont="1" applyBorder="1" applyAlignment="1">
      <alignment horizontal="center" vertical="center"/>
    </xf>
    <xf numFmtId="191" fontId="213" fillId="0" borderId="17" xfId="0" applyNumberFormat="1" applyFont="1" applyBorder="1" applyAlignment="1">
      <alignment horizontal="center" vertical="center"/>
    </xf>
    <xf numFmtId="191" fontId="213" fillId="0" borderId="50" xfId="0" applyNumberFormat="1" applyFont="1" applyBorder="1" applyAlignment="1">
      <alignment horizontal="center" vertical="center"/>
    </xf>
    <xf numFmtId="49" fontId="103" fillId="0" borderId="11" xfId="0" applyNumberFormat="1" applyFont="1" applyBorder="1" applyAlignment="1">
      <alignment horizontal="center" vertical="center"/>
    </xf>
    <xf numFmtId="49" fontId="103" fillId="0" borderId="2" xfId="0" applyNumberFormat="1" applyFont="1" applyBorder="1" applyAlignment="1">
      <alignment horizontal="center" vertical="center"/>
    </xf>
    <xf numFmtId="49" fontId="103" fillId="0" borderId="3" xfId="0" applyNumberFormat="1" applyFont="1" applyBorder="1" applyAlignment="1">
      <alignment horizontal="center" vertical="center"/>
    </xf>
    <xf numFmtId="49" fontId="84" fillId="0" borderId="17" xfId="0" applyNumberFormat="1" applyFont="1" applyBorder="1" applyAlignment="1">
      <alignment horizontal="left" vertical="center" wrapText="1"/>
    </xf>
    <xf numFmtId="49" fontId="84" fillId="0" borderId="50" xfId="0" applyNumberFormat="1" applyFont="1" applyBorder="1" applyAlignment="1">
      <alignment horizontal="left" vertical="center" wrapText="1"/>
    </xf>
    <xf numFmtId="38" fontId="93" fillId="0" borderId="0" xfId="1" applyFont="1" applyBorder="1" applyAlignment="1">
      <alignment horizontal="right"/>
    </xf>
    <xf numFmtId="38" fontId="93" fillId="0" borderId="58" xfId="1" applyFont="1" applyBorder="1" applyAlignment="1">
      <alignment horizontal="right"/>
    </xf>
    <xf numFmtId="38" fontId="93" fillId="0" borderId="0" xfId="1" applyFont="1" applyBorder="1" applyAlignment="1">
      <alignment horizontal="center"/>
    </xf>
    <xf numFmtId="38" fontId="93" fillId="0" borderId="58" xfId="1" applyFont="1" applyBorder="1" applyAlignment="1">
      <alignment horizontal="center"/>
    </xf>
    <xf numFmtId="0" fontId="103" fillId="0" borderId="13" xfId="0" applyFont="1" applyBorder="1" applyAlignment="1">
      <alignment horizontal="left" vertical="center"/>
    </xf>
    <xf numFmtId="0" fontId="128" fillId="0" borderId="0" xfId="0" applyFont="1" applyAlignment="1" applyProtection="1">
      <alignment horizontal="center"/>
      <protection locked="0"/>
    </xf>
    <xf numFmtId="0" fontId="128" fillId="0" borderId="2" xfId="0" applyFont="1" applyBorder="1" applyAlignment="1" applyProtection="1">
      <alignment horizontal="center"/>
      <protection locked="0"/>
    </xf>
    <xf numFmtId="0" fontId="128" fillId="0" borderId="10" xfId="0" applyFont="1" applyBorder="1" applyAlignment="1" applyProtection="1">
      <alignment horizontal="center"/>
      <protection locked="0"/>
    </xf>
    <xf numFmtId="38" fontId="128" fillId="0" borderId="0" xfId="1" applyFont="1" applyBorder="1" applyAlignment="1" applyProtection="1">
      <alignment horizontal="right" shrinkToFit="1"/>
      <protection locked="0"/>
    </xf>
    <xf numFmtId="38" fontId="128" fillId="0" borderId="2" xfId="1" applyFont="1" applyBorder="1" applyAlignment="1" applyProtection="1">
      <alignment horizontal="right" shrinkToFit="1"/>
      <protection locked="0"/>
    </xf>
    <xf numFmtId="38" fontId="128" fillId="0" borderId="10" xfId="1" applyFont="1" applyBorder="1" applyAlignment="1" applyProtection="1">
      <alignment horizontal="right" shrinkToFit="1"/>
      <protection locked="0"/>
    </xf>
    <xf numFmtId="0" fontId="104" fillId="0" borderId="0" xfId="0" applyFont="1" applyAlignment="1">
      <alignment horizontal="center" wrapText="1"/>
    </xf>
    <xf numFmtId="0" fontId="128" fillId="0" borderId="0" xfId="0" applyFont="1" applyAlignment="1">
      <alignment horizontal="center"/>
    </xf>
    <xf numFmtId="0" fontId="128" fillId="0" borderId="2" xfId="0" applyFont="1" applyBorder="1" applyAlignment="1">
      <alignment horizontal="center"/>
    </xf>
    <xf numFmtId="0" fontId="128" fillId="0" borderId="10" xfId="0" applyFont="1" applyBorder="1" applyAlignment="1">
      <alignment horizontal="center"/>
    </xf>
    <xf numFmtId="0" fontId="103" fillId="0" borderId="20" xfId="0" applyFont="1" applyBorder="1" applyAlignment="1">
      <alignment horizontal="center" vertical="center"/>
    </xf>
    <xf numFmtId="0" fontId="103" fillId="0" borderId="12" xfId="0" applyFont="1" applyBorder="1" applyAlignment="1">
      <alignment horizontal="center" vertical="center"/>
    </xf>
    <xf numFmtId="0" fontId="84" fillId="0" borderId="281" xfId="8" applyFont="1" applyBorder="1" applyAlignment="1">
      <alignment horizontal="center" vertical="center"/>
    </xf>
    <xf numFmtId="0" fontId="84" fillId="0" borderId="8" xfId="8" applyFont="1" applyBorder="1" applyAlignment="1">
      <alignment horizontal="center" vertical="center"/>
    </xf>
    <xf numFmtId="0" fontId="84" fillId="0" borderId="123" xfId="8" applyFont="1" applyBorder="1" applyAlignment="1">
      <alignment horizontal="center" vertical="center"/>
    </xf>
    <xf numFmtId="0" fontId="84" fillId="0" borderId="97" xfId="8" applyFont="1" applyBorder="1" applyAlignment="1">
      <alignment horizontal="center" vertical="center" textRotation="255"/>
    </xf>
    <xf numFmtId="0" fontId="84" fillId="0" borderId="316" xfId="8" applyFont="1" applyBorder="1" applyAlignment="1">
      <alignment horizontal="center" vertical="center" textRotation="255"/>
    </xf>
    <xf numFmtId="0" fontId="84" fillId="0" borderId="317" xfId="8" applyFont="1" applyBorder="1" applyAlignment="1">
      <alignment horizontal="center" vertical="center" textRotation="255"/>
    </xf>
    <xf numFmtId="0" fontId="103" fillId="0" borderId="273" xfId="8" applyFont="1" applyBorder="1" applyAlignment="1">
      <alignment horizontal="center" vertical="center"/>
    </xf>
    <xf numFmtId="0" fontId="103" fillId="0" borderId="0" xfId="8" applyFont="1" applyAlignment="1">
      <alignment horizontal="center" vertical="center"/>
    </xf>
    <xf numFmtId="0" fontId="103" fillId="0" borderId="275" xfId="8" applyFont="1" applyBorder="1" applyAlignment="1">
      <alignment horizontal="center" vertical="center"/>
    </xf>
    <xf numFmtId="0" fontId="103" fillId="0" borderId="2" xfId="8" applyFont="1" applyBorder="1" applyAlignment="1">
      <alignment horizontal="center" vertical="center"/>
    </xf>
    <xf numFmtId="0" fontId="103" fillId="0" borderId="272" xfId="8" applyFont="1" applyBorder="1" applyAlignment="1">
      <alignment horizontal="center" vertical="center"/>
    </xf>
    <xf numFmtId="0" fontId="103" fillId="0" borderId="10" xfId="8" applyFont="1" applyBorder="1" applyAlignment="1">
      <alignment horizontal="center" vertical="center"/>
    </xf>
    <xf numFmtId="0" fontId="103" fillId="0" borderId="14" xfId="8" applyFont="1" applyBorder="1" applyAlignment="1">
      <alignment horizontal="center" vertical="center"/>
    </xf>
    <xf numFmtId="0" fontId="103" fillId="0" borderId="12" xfId="8" applyFont="1" applyBorder="1" applyAlignment="1">
      <alignment horizontal="center" vertical="center"/>
    </xf>
    <xf numFmtId="0" fontId="94" fillId="0" borderId="270" xfId="8" applyFont="1" applyBorder="1" applyAlignment="1">
      <alignment horizontal="center" vertical="center" textRotation="255"/>
    </xf>
    <xf numFmtId="0" fontId="94" fillId="0" borderId="269" xfId="8" applyFont="1" applyBorder="1" applyAlignment="1">
      <alignment horizontal="center" vertical="center" textRotation="255"/>
    </xf>
    <xf numFmtId="0" fontId="94" fillId="0" borderId="274" xfId="8" applyFont="1" applyBorder="1" applyAlignment="1">
      <alignment horizontal="center" vertical="center" textRotation="255"/>
    </xf>
    <xf numFmtId="0" fontId="103" fillId="0" borderId="23" xfId="8" applyFont="1" applyBorder="1" applyAlignment="1">
      <alignment horizontal="center" vertical="center" textRotation="255" wrapText="1"/>
    </xf>
    <xf numFmtId="0" fontId="103" fillId="0" borderId="23" xfId="8" applyFont="1" applyBorder="1" applyAlignment="1">
      <alignment horizontal="center" vertical="center" textRotation="255"/>
    </xf>
    <xf numFmtId="0" fontId="104" fillId="0" borderId="90" xfId="8" applyFont="1" applyBorder="1" applyAlignment="1">
      <alignment horizontal="center" vertical="center" textRotation="255" wrapText="1"/>
    </xf>
    <xf numFmtId="0" fontId="104" fillId="0" borderId="23" xfId="8" applyFont="1" applyBorder="1" applyAlignment="1">
      <alignment horizontal="center" vertical="center" textRotation="255"/>
    </xf>
    <xf numFmtId="0" fontId="103" fillId="0" borderId="69" xfId="8" applyFont="1" applyBorder="1" applyAlignment="1">
      <alignment horizontal="center" vertical="center" textRotation="255"/>
    </xf>
    <xf numFmtId="0" fontId="103" fillId="0" borderId="320" xfId="8" applyFont="1" applyBorder="1" applyAlignment="1" applyProtection="1">
      <alignment horizontal="center" vertical="center"/>
      <protection locked="0"/>
    </xf>
    <xf numFmtId="0" fontId="103" fillId="0" borderId="279" xfId="8" applyFont="1" applyBorder="1" applyAlignment="1" applyProtection="1">
      <alignment horizontal="center" vertical="center"/>
      <protection locked="0"/>
    </xf>
    <xf numFmtId="189" fontId="103" fillId="0" borderId="279" xfId="8" applyNumberFormat="1" applyFont="1" applyBorder="1" applyAlignment="1" applyProtection="1">
      <alignment horizontal="center" vertical="center"/>
      <protection locked="0"/>
    </xf>
    <xf numFmtId="189" fontId="103" fillId="0" borderId="284" xfId="8" applyNumberFormat="1" applyFont="1" applyBorder="1" applyAlignment="1" applyProtection="1">
      <alignment horizontal="center" vertical="center"/>
      <protection locked="0"/>
    </xf>
    <xf numFmtId="0" fontId="84" fillId="0" borderId="279" xfId="8" applyFont="1" applyBorder="1" applyAlignment="1" applyProtection="1">
      <alignment horizontal="center" vertical="center"/>
      <protection locked="0"/>
    </xf>
    <xf numFmtId="0" fontId="84" fillId="0" borderId="280" xfId="8" applyFont="1" applyBorder="1" applyAlignment="1" applyProtection="1">
      <alignment horizontal="center" vertical="center"/>
      <protection locked="0"/>
    </xf>
    <xf numFmtId="0" fontId="84" fillId="0" borderId="281" xfId="8" applyFont="1" applyBorder="1" applyAlignment="1">
      <alignment horizontal="center" vertical="center" shrinkToFit="1"/>
    </xf>
    <xf numFmtId="0" fontId="84" fillId="0" borderId="8" xfId="8" applyFont="1" applyBorder="1" applyAlignment="1">
      <alignment horizontal="center" vertical="center" shrinkToFit="1"/>
    </xf>
    <xf numFmtId="0" fontId="84" fillId="0" borderId="123" xfId="8" applyFont="1" applyBorder="1" applyAlignment="1">
      <alignment horizontal="center" vertical="center" shrinkToFit="1"/>
    </xf>
    <xf numFmtId="0" fontId="84" fillId="0" borderId="279" xfId="8" applyFont="1" applyBorder="1" applyAlignment="1">
      <alignment horizontal="center" vertical="center"/>
    </xf>
    <xf numFmtId="0" fontId="84" fillId="0" borderId="280" xfId="8" applyFont="1" applyBorder="1" applyAlignment="1">
      <alignment horizontal="center" vertical="center"/>
    </xf>
    <xf numFmtId="0" fontId="84" fillId="0" borderId="323" xfId="8" applyFont="1" applyBorder="1" applyAlignment="1">
      <alignment horizontal="center" vertical="center"/>
    </xf>
    <xf numFmtId="0" fontId="84" fillId="0" borderId="327" xfId="8" applyFont="1" applyBorder="1" applyAlignment="1">
      <alignment horizontal="center" vertical="center"/>
    </xf>
    <xf numFmtId="0" fontId="103" fillId="0" borderId="267" xfId="8" applyFont="1" applyBorder="1" applyAlignment="1">
      <alignment horizontal="center" vertical="center" wrapText="1"/>
    </xf>
    <xf numFmtId="0" fontId="103" fillId="0" borderId="8" xfId="8" applyFont="1" applyBorder="1" applyAlignment="1">
      <alignment horizontal="center" vertical="center" wrapText="1"/>
    </xf>
    <xf numFmtId="0" fontId="103" fillId="0" borderId="123" xfId="8" applyFont="1" applyBorder="1" applyAlignment="1">
      <alignment horizontal="center" vertical="center" wrapText="1"/>
    </xf>
    <xf numFmtId="0" fontId="103" fillId="0" borderId="268" xfId="8" applyFont="1" applyBorder="1" applyAlignment="1">
      <alignment horizontal="center" vertical="center" wrapText="1"/>
    </xf>
    <xf numFmtId="0" fontId="103" fillId="0" borderId="129" xfId="8" applyFont="1" applyBorder="1" applyAlignment="1">
      <alignment horizontal="center" vertical="center" wrapText="1"/>
    </xf>
    <xf numFmtId="0" fontId="103" fillId="0" borderId="130" xfId="8" applyFont="1" applyBorder="1" applyAlignment="1">
      <alignment horizontal="center" vertical="center" wrapText="1"/>
    </xf>
    <xf numFmtId="0" fontId="103" fillId="0" borderId="267" xfId="8" applyFont="1" applyBorder="1" applyAlignment="1" applyProtection="1">
      <alignment horizontal="center" vertical="center" wrapText="1"/>
      <protection locked="0"/>
    </xf>
    <xf numFmtId="0" fontId="103" fillId="0" borderId="8" xfId="8" applyFont="1" applyBorder="1" applyAlignment="1" applyProtection="1">
      <alignment horizontal="center" vertical="center" wrapText="1"/>
      <protection locked="0"/>
    </xf>
    <xf numFmtId="0" fontId="103" fillId="0" borderId="123" xfId="8" applyFont="1" applyBorder="1" applyAlignment="1" applyProtection="1">
      <alignment horizontal="center" vertical="center" wrapText="1"/>
      <protection locked="0"/>
    </xf>
    <xf numFmtId="0" fontId="103" fillId="0" borderId="268" xfId="8" applyFont="1" applyBorder="1" applyAlignment="1" applyProtection="1">
      <alignment horizontal="center" vertical="center" wrapText="1"/>
      <protection locked="0"/>
    </xf>
    <xf numFmtId="0" fontId="103" fillId="0" borderId="129" xfId="8" applyFont="1" applyBorder="1" applyAlignment="1" applyProtection="1">
      <alignment horizontal="center" vertical="center" wrapText="1"/>
      <protection locked="0"/>
    </xf>
    <xf numFmtId="0" fontId="103" fillId="0" borderId="130" xfId="8" applyFont="1" applyBorder="1" applyAlignment="1" applyProtection="1">
      <alignment horizontal="center" vertical="center" wrapText="1"/>
      <protection locked="0"/>
    </xf>
    <xf numFmtId="0" fontId="103" fillId="0" borderId="278" xfId="8" applyFont="1" applyBorder="1" applyAlignment="1">
      <alignment horizontal="center" vertical="center"/>
    </xf>
    <xf numFmtId="0" fontId="103" fillId="0" borderId="279" xfId="8" applyFont="1" applyBorder="1" applyAlignment="1">
      <alignment horizontal="center" vertical="center"/>
    </xf>
    <xf numFmtId="189" fontId="103" fillId="0" borderId="279" xfId="8" applyNumberFormat="1" applyFont="1" applyBorder="1" applyAlignment="1">
      <alignment horizontal="center" vertical="center"/>
    </xf>
    <xf numFmtId="189" fontId="103" fillId="0" borderId="284" xfId="8" applyNumberFormat="1" applyFont="1" applyBorder="1" applyAlignment="1">
      <alignment horizontal="center" vertical="center"/>
    </xf>
    <xf numFmtId="0" fontId="103" fillId="0" borderId="299" xfId="8" applyFont="1" applyBorder="1" applyAlignment="1">
      <alignment horizontal="center" vertical="center" wrapText="1"/>
    </xf>
    <xf numFmtId="0" fontId="103" fillId="0" borderId="6" xfId="8" applyFont="1" applyBorder="1" applyAlignment="1">
      <alignment horizontal="center" vertical="center" wrapText="1"/>
    </xf>
    <xf numFmtId="0" fontId="103" fillId="0" borderId="5" xfId="8" applyFont="1" applyBorder="1" applyAlignment="1">
      <alignment horizontal="center" vertical="center" wrapText="1"/>
    </xf>
    <xf numFmtId="0" fontId="103" fillId="0" borderId="299" xfId="8" applyFont="1" applyBorder="1" applyAlignment="1" applyProtection="1">
      <alignment horizontal="center" vertical="center" wrapText="1"/>
      <protection locked="0"/>
    </xf>
    <xf numFmtId="0" fontId="103" fillId="0" borderId="6" xfId="8" applyFont="1" applyBorder="1" applyAlignment="1" applyProtection="1">
      <alignment horizontal="center" vertical="center" wrapText="1"/>
      <protection locked="0"/>
    </xf>
    <xf numFmtId="0" fontId="103" fillId="0" borderId="5" xfId="8" applyFont="1" applyBorder="1" applyAlignment="1" applyProtection="1">
      <alignment horizontal="center" vertical="center" wrapText="1"/>
      <protection locked="0"/>
    </xf>
    <xf numFmtId="0" fontId="103" fillId="0" borderId="322" xfId="8" applyFont="1" applyBorder="1" applyAlignment="1" applyProtection="1">
      <alignment horizontal="center" vertical="center"/>
      <protection locked="0"/>
    </xf>
    <xf numFmtId="0" fontId="84" fillId="0" borderId="322" xfId="8" applyFont="1" applyBorder="1" applyAlignment="1" applyProtection="1">
      <alignment horizontal="center" vertical="center"/>
      <protection locked="0"/>
    </xf>
    <xf numFmtId="0" fontId="84" fillId="0" borderId="324" xfId="8" applyFont="1" applyBorder="1" applyAlignment="1" applyProtection="1">
      <alignment horizontal="center" vertical="center"/>
      <protection locked="0"/>
    </xf>
    <xf numFmtId="0" fontId="84" fillId="0" borderId="325" xfId="8" applyFont="1" applyBorder="1" applyAlignment="1">
      <alignment horizontal="center" vertical="center" shrinkToFit="1"/>
    </xf>
    <xf numFmtId="0" fontId="84" fillId="0" borderId="6" xfId="8" applyFont="1" applyBorder="1" applyAlignment="1">
      <alignment horizontal="center" vertical="center" shrinkToFit="1"/>
    </xf>
    <xf numFmtId="0" fontId="84" fillId="0" borderId="5" xfId="8" applyFont="1" applyBorder="1" applyAlignment="1">
      <alignment horizontal="center" vertical="center" shrinkToFit="1"/>
    </xf>
    <xf numFmtId="0" fontId="103" fillId="0" borderId="334" xfId="8" applyFont="1" applyBorder="1" applyAlignment="1" applyProtection="1">
      <alignment horizontal="center" vertical="center"/>
      <protection locked="0"/>
    </xf>
    <xf numFmtId="0" fontId="103" fillId="0" borderId="323" xfId="8" applyFont="1" applyBorder="1" applyAlignment="1" applyProtection="1">
      <alignment horizontal="center" vertical="center"/>
      <protection locked="0"/>
    </xf>
    <xf numFmtId="189" fontId="103" fillId="0" borderId="323" xfId="8" applyNumberFormat="1" applyFont="1" applyBorder="1" applyAlignment="1" applyProtection="1">
      <alignment horizontal="center" vertical="center"/>
      <protection locked="0"/>
    </xf>
    <xf numFmtId="0" fontId="103" fillId="0" borderId="7" xfId="8" applyFont="1" applyBorder="1" applyAlignment="1" applyProtection="1">
      <alignment horizontal="center" vertical="center"/>
      <protection locked="0"/>
    </xf>
    <xf numFmtId="189" fontId="103" fillId="0" borderId="322" xfId="8" applyNumberFormat="1" applyFont="1" applyBorder="1" applyAlignment="1" applyProtection="1">
      <alignment horizontal="center" vertical="center"/>
      <protection locked="0"/>
    </xf>
    <xf numFmtId="0" fontId="103" fillId="0" borderId="290" xfId="8" applyFont="1" applyBorder="1" applyAlignment="1">
      <alignment horizontal="center" vertical="center"/>
    </xf>
    <xf numFmtId="0" fontId="103" fillId="0" borderId="292" xfId="8" applyFont="1" applyBorder="1" applyAlignment="1">
      <alignment horizontal="center" vertical="center"/>
    </xf>
    <xf numFmtId="0" fontId="103" fillId="0" borderId="124" xfId="8" applyFont="1" applyBorder="1" applyAlignment="1">
      <alignment horizontal="center" vertical="center"/>
    </xf>
    <xf numFmtId="0" fontId="103" fillId="0" borderId="291" xfId="8" applyFont="1" applyBorder="1" applyAlignment="1">
      <alignment horizontal="center" vertical="center"/>
    </xf>
    <xf numFmtId="0" fontId="103" fillId="0" borderId="293" xfId="8" applyFont="1" applyBorder="1" applyAlignment="1">
      <alignment horizontal="center" vertical="center"/>
    </xf>
    <xf numFmtId="0" fontId="103" fillId="0" borderId="125" xfId="8" applyFont="1" applyBorder="1" applyAlignment="1">
      <alignment horizontal="center" vertical="center"/>
    </xf>
    <xf numFmtId="0" fontId="103" fillId="0" borderId="295" xfId="8" applyFont="1" applyBorder="1" applyAlignment="1">
      <alignment horizontal="center" vertical="center"/>
    </xf>
    <xf numFmtId="0" fontId="103" fillId="0" borderId="33" xfId="8" applyFont="1" applyBorder="1" applyAlignment="1">
      <alignment horizontal="center" vertical="center"/>
    </xf>
    <xf numFmtId="0" fontId="103" fillId="0" borderId="33" xfId="8" applyFont="1" applyBorder="1" applyAlignment="1" applyProtection="1">
      <alignment horizontal="center" vertical="center" wrapText="1"/>
      <protection locked="0"/>
    </xf>
    <xf numFmtId="0" fontId="103" fillId="0" borderId="321" xfId="8" applyFont="1" applyBorder="1" applyAlignment="1" applyProtection="1">
      <alignment horizontal="center" vertical="center"/>
      <protection locked="0"/>
    </xf>
    <xf numFmtId="0" fontId="103" fillId="0" borderId="288" xfId="8" applyFont="1" applyBorder="1" applyAlignment="1" applyProtection="1">
      <alignment horizontal="center" vertical="center"/>
      <protection locked="0"/>
    </xf>
    <xf numFmtId="189" fontId="103" fillId="0" borderId="288" xfId="8" applyNumberFormat="1" applyFont="1" applyBorder="1" applyAlignment="1" applyProtection="1">
      <alignment horizontal="center" vertical="center"/>
      <protection locked="0"/>
    </xf>
    <xf numFmtId="0" fontId="84" fillId="0" borderId="288" xfId="8" applyFont="1" applyBorder="1" applyAlignment="1" applyProtection="1">
      <alignment horizontal="center" vertical="center"/>
      <protection locked="0"/>
    </xf>
    <xf numFmtId="0" fontId="84" fillId="0" borderId="289" xfId="8" applyFont="1" applyBorder="1" applyAlignment="1" applyProtection="1">
      <alignment horizontal="center" vertical="center"/>
      <protection locked="0"/>
    </xf>
    <xf numFmtId="0" fontId="84" fillId="0" borderId="335" xfId="8" applyFont="1" applyBorder="1" applyAlignment="1">
      <alignment horizontal="center" vertical="center"/>
    </xf>
    <xf numFmtId="0" fontId="84" fillId="0" borderId="129" xfId="8" applyFont="1" applyBorder="1" applyAlignment="1">
      <alignment horizontal="center" vertical="center"/>
    </xf>
    <xf numFmtId="0" fontId="84" fillId="0" borderId="130" xfId="8" applyFont="1" applyBorder="1" applyAlignment="1">
      <alignment horizontal="center" vertical="center"/>
    </xf>
    <xf numFmtId="0" fontId="103" fillId="0" borderId="15" xfId="8" applyFont="1" applyBorder="1" applyAlignment="1">
      <alignment horizontal="center" vertical="center"/>
    </xf>
    <xf numFmtId="0" fontId="103" fillId="0" borderId="294" xfId="8" applyFont="1" applyBorder="1" applyAlignment="1">
      <alignment horizontal="center" vertical="center"/>
    </xf>
    <xf numFmtId="0" fontId="104" fillId="0" borderId="115" xfId="8" applyFont="1" applyBorder="1" applyAlignment="1">
      <alignment horizontal="center" vertical="center"/>
    </xf>
    <xf numFmtId="0" fontId="104" fillId="0" borderId="113" xfId="8" applyFont="1" applyBorder="1" applyAlignment="1">
      <alignment horizontal="center" vertical="center"/>
    </xf>
    <xf numFmtId="0" fontId="104" fillId="0" borderId="10" xfId="8" applyFont="1" applyBorder="1" applyAlignment="1">
      <alignment horizontal="center" vertical="center"/>
    </xf>
    <xf numFmtId="0" fontId="104" fillId="0" borderId="14" xfId="8" applyFont="1" applyBorder="1" applyAlignment="1">
      <alignment horizontal="center" vertical="center"/>
    </xf>
    <xf numFmtId="0" fontId="103" fillId="0" borderId="8" xfId="8" applyFont="1" applyBorder="1" applyAlignment="1">
      <alignment horizontal="center" vertical="center" shrinkToFit="1"/>
    </xf>
    <xf numFmtId="0" fontId="103" fillId="0" borderId="123" xfId="8" applyFont="1" applyBorder="1" applyAlignment="1">
      <alignment horizontal="center" vertical="center" shrinkToFit="1"/>
    </xf>
    <xf numFmtId="0" fontId="103" fillId="0" borderId="331" xfId="8" applyFont="1" applyBorder="1" applyAlignment="1">
      <alignment horizontal="center" vertical="center" wrapText="1"/>
    </xf>
    <xf numFmtId="0" fontId="103" fillId="0" borderId="329" xfId="8" applyFont="1" applyBorder="1" applyAlignment="1">
      <alignment horizontal="center" vertical="center" wrapText="1"/>
    </xf>
    <xf numFmtId="0" fontId="103" fillId="0" borderId="330" xfId="8" applyFont="1" applyBorder="1" applyAlignment="1">
      <alignment horizontal="center" vertical="center" wrapText="1"/>
    </xf>
    <xf numFmtId="0" fontId="103" fillId="0" borderId="331" xfId="8" applyFont="1" applyBorder="1" applyAlignment="1" applyProtection="1">
      <alignment horizontal="center" vertical="center" wrapText="1"/>
      <protection locked="0"/>
    </xf>
    <xf numFmtId="0" fontId="103" fillId="0" borderId="329" xfId="8" applyFont="1" applyBorder="1" applyAlignment="1" applyProtection="1">
      <alignment horizontal="center" vertical="center" wrapText="1"/>
      <protection locked="0"/>
    </xf>
    <xf numFmtId="0" fontId="103" fillId="0" borderId="330" xfId="8" applyFont="1" applyBorder="1" applyAlignment="1" applyProtection="1">
      <alignment horizontal="center" vertical="center" wrapText="1"/>
      <protection locked="0"/>
    </xf>
    <xf numFmtId="0" fontId="103" fillId="0" borderId="329" xfId="8" applyFont="1" applyBorder="1" applyAlignment="1">
      <alignment horizontal="center" vertical="center"/>
    </xf>
    <xf numFmtId="0" fontId="103" fillId="0" borderId="330" xfId="8" applyFont="1" applyBorder="1" applyAlignment="1">
      <alignment horizontal="center" vertical="center"/>
    </xf>
    <xf numFmtId="0" fontId="84" fillId="0" borderId="284" xfId="8" applyFont="1" applyBorder="1" applyAlignment="1">
      <alignment horizontal="center" vertical="center"/>
    </xf>
    <xf numFmtId="0" fontId="84" fillId="0" borderId="285" xfId="8" applyFont="1" applyBorder="1" applyAlignment="1">
      <alignment horizontal="center" vertical="center"/>
    </xf>
    <xf numFmtId="0" fontId="103" fillId="0" borderId="114" xfId="8" applyFont="1" applyBorder="1" applyAlignment="1">
      <alignment horizontal="center" vertical="center"/>
    </xf>
    <xf numFmtId="0" fontId="103" fillId="0" borderId="131" xfId="8" applyFont="1" applyBorder="1" applyAlignment="1">
      <alignment horizontal="center" vertical="center"/>
    </xf>
    <xf numFmtId="0" fontId="103" fillId="0" borderId="126" xfId="8" applyFont="1" applyBorder="1" applyAlignment="1" applyProtection="1">
      <alignment horizontal="center" vertical="center"/>
      <protection locked="0"/>
    </xf>
    <xf numFmtId="0" fontId="103" fillId="0" borderId="284" xfId="8" applyFont="1" applyBorder="1" applyAlignment="1" applyProtection="1">
      <alignment horizontal="center" vertical="center"/>
      <protection locked="0"/>
    </xf>
    <xf numFmtId="0" fontId="103" fillId="0" borderId="282" xfId="8" applyFont="1" applyBorder="1" applyAlignment="1">
      <alignment horizontal="center" vertical="center" wrapText="1"/>
    </xf>
    <xf numFmtId="0" fontId="103" fillId="0" borderId="114" xfId="8" applyFont="1" applyBorder="1" applyAlignment="1">
      <alignment horizontal="center" vertical="center" wrapText="1"/>
    </xf>
    <xf numFmtId="0" fontId="103" fillId="0" borderId="131" xfId="8" applyFont="1" applyBorder="1" applyAlignment="1">
      <alignment horizontal="center" vertical="center" wrapText="1"/>
    </xf>
    <xf numFmtId="0" fontId="103" fillId="0" borderId="13" xfId="8" applyFont="1" applyBorder="1" applyAlignment="1">
      <alignment horizontal="center" vertical="center" wrapText="1"/>
    </xf>
    <xf numFmtId="0" fontId="103" fillId="0" borderId="0" xfId="8" applyFont="1" applyAlignment="1">
      <alignment horizontal="center" vertical="center" wrapText="1"/>
    </xf>
    <xf numFmtId="0" fontId="103" fillId="0" borderId="12" xfId="8" applyFont="1" applyBorder="1" applyAlignment="1">
      <alignment horizontal="center" vertical="center" wrapText="1"/>
    </xf>
    <xf numFmtId="0" fontId="103" fillId="0" borderId="282" xfId="8" applyFont="1" applyBorder="1" applyAlignment="1" applyProtection="1">
      <alignment horizontal="center" vertical="center" wrapText="1"/>
      <protection locked="0"/>
    </xf>
    <xf numFmtId="0" fontId="103" fillId="0" borderId="114" xfId="8" applyFont="1" applyBorder="1" applyAlignment="1" applyProtection="1">
      <alignment horizontal="center" vertical="center" wrapText="1"/>
      <protection locked="0"/>
    </xf>
    <xf numFmtId="0" fontId="103" fillId="0" borderId="131" xfId="8" applyFont="1" applyBorder="1" applyAlignment="1" applyProtection="1">
      <alignment horizontal="center" vertical="center" wrapText="1"/>
      <protection locked="0"/>
    </xf>
    <xf numFmtId="0" fontId="103" fillId="0" borderId="13" xfId="8" applyFont="1" applyBorder="1" applyAlignment="1" applyProtection="1">
      <alignment horizontal="center" vertical="center" wrapText="1"/>
      <protection locked="0"/>
    </xf>
    <xf numFmtId="0" fontId="103" fillId="0" borderId="0" xfId="8" applyFont="1" applyAlignment="1" applyProtection="1">
      <alignment horizontal="center" vertical="center" wrapText="1"/>
      <protection locked="0"/>
    </xf>
    <xf numFmtId="0" fontId="103" fillId="0" borderId="12" xfId="8" applyFont="1" applyBorder="1" applyAlignment="1" applyProtection="1">
      <alignment horizontal="center" vertical="center" wrapText="1"/>
      <protection locked="0"/>
    </xf>
    <xf numFmtId="0" fontId="99" fillId="0" borderId="0" xfId="8" applyFont="1">
      <alignment vertical="center"/>
    </xf>
    <xf numFmtId="0" fontId="103" fillId="0" borderId="15" xfId="8" applyFont="1" applyBorder="1" applyAlignment="1">
      <alignment horizontal="center" vertical="center" wrapText="1"/>
    </xf>
    <xf numFmtId="0" fontId="103" fillId="0" borderId="10" xfId="8" applyFont="1" applyBorder="1" applyAlignment="1">
      <alignment horizontal="center" vertical="center" wrapText="1"/>
    </xf>
    <xf numFmtId="0" fontId="103" fillId="0" borderId="14" xfId="8" applyFont="1" applyBorder="1" applyAlignment="1">
      <alignment horizontal="center" vertical="center" wrapText="1"/>
    </xf>
    <xf numFmtId="0" fontId="104" fillId="0" borderId="13" xfId="8" applyFont="1" applyBorder="1" applyAlignment="1">
      <alignment horizontal="left" vertical="center" wrapText="1"/>
    </xf>
    <xf numFmtId="0" fontId="104" fillId="0" borderId="0" xfId="8" applyFont="1" applyAlignment="1">
      <alignment horizontal="left" vertical="center" wrapText="1"/>
    </xf>
    <xf numFmtId="0" fontId="104" fillId="0" borderId="12" xfId="8" applyFont="1" applyBorder="1" applyAlignment="1">
      <alignment horizontal="left" vertical="center" wrapText="1"/>
    </xf>
    <xf numFmtId="0" fontId="104" fillId="0" borderId="11" xfId="8" applyFont="1" applyBorder="1" applyAlignment="1">
      <alignment horizontal="left" vertical="center" wrapText="1"/>
    </xf>
    <xf numFmtId="0" fontId="104" fillId="0" borderId="2" xfId="8" applyFont="1" applyBorder="1" applyAlignment="1">
      <alignment horizontal="left" vertical="center" wrapText="1"/>
    </xf>
    <xf numFmtId="0" fontId="104" fillId="0" borderId="3" xfId="8" applyFont="1" applyBorder="1" applyAlignment="1">
      <alignment horizontal="left" vertical="center" wrapText="1"/>
    </xf>
    <xf numFmtId="0" fontId="103" fillId="0" borderId="3" xfId="8" applyFont="1" applyBorder="1" applyAlignment="1">
      <alignment horizontal="center" vertical="center"/>
    </xf>
    <xf numFmtId="0" fontId="103" fillId="0" borderId="122" xfId="8" applyFont="1" applyBorder="1" applyAlignment="1">
      <alignment horizontal="center" vertical="center"/>
    </xf>
    <xf numFmtId="0" fontId="103" fillId="0" borderId="277" xfId="8" applyFont="1" applyBorder="1" applyAlignment="1">
      <alignment horizontal="center" vertical="center"/>
    </xf>
    <xf numFmtId="191" fontId="103" fillId="0" borderId="0" xfId="8" applyNumberFormat="1" applyFont="1" applyAlignment="1">
      <alignment horizontal="center" vertical="center" shrinkToFit="1"/>
    </xf>
    <xf numFmtId="191" fontId="103" fillId="0" borderId="2" xfId="8" applyNumberFormat="1" applyFont="1" applyBorder="1" applyAlignment="1">
      <alignment horizontal="center" vertical="center" shrinkToFit="1"/>
    </xf>
    <xf numFmtId="0" fontId="103" fillId="0" borderId="33" xfId="8" applyFont="1" applyBorder="1" applyAlignment="1" applyProtection="1">
      <alignment horizontal="center" vertical="center"/>
      <protection locked="0"/>
    </xf>
    <xf numFmtId="0" fontId="103" fillId="0" borderId="37" xfId="8" applyFont="1" applyBorder="1" applyAlignment="1" applyProtection="1">
      <alignment horizontal="center" vertical="center"/>
      <protection locked="0"/>
    </xf>
    <xf numFmtId="0" fontId="103" fillId="0" borderId="38" xfId="8" applyFont="1" applyBorder="1" applyAlignment="1" applyProtection="1">
      <alignment horizontal="center" vertical="center"/>
      <protection locked="0"/>
    </xf>
    <xf numFmtId="0" fontId="103" fillId="0" borderId="33" xfId="8" applyFont="1" applyBorder="1" applyAlignment="1" applyProtection="1">
      <alignment vertical="center" wrapText="1"/>
      <protection locked="0"/>
    </xf>
    <xf numFmtId="0" fontId="103" fillId="0" borderId="37" xfId="8" applyFont="1" applyBorder="1" applyAlignment="1" applyProtection="1">
      <alignment vertical="center" wrapText="1"/>
      <protection locked="0"/>
    </xf>
    <xf numFmtId="0" fontId="103" fillId="0" borderId="38" xfId="8" applyFont="1" applyBorder="1" applyAlignment="1" applyProtection="1">
      <alignment vertical="center" wrapText="1"/>
      <protection locked="0"/>
    </xf>
    <xf numFmtId="0" fontId="103" fillId="0" borderId="281" xfId="8" applyFont="1" applyBorder="1" applyAlignment="1">
      <alignment horizontal="center" vertical="center" shrinkToFit="1"/>
    </xf>
    <xf numFmtId="0" fontId="103" fillId="0" borderId="328" xfId="8" applyFont="1" applyBorder="1" applyAlignment="1">
      <alignment horizontal="center" vertical="center"/>
    </xf>
    <xf numFmtId="0" fontId="103" fillId="0" borderId="286" xfId="8" applyFont="1" applyBorder="1" applyAlignment="1">
      <alignment horizontal="center" vertical="center"/>
    </xf>
    <xf numFmtId="49" fontId="103" fillId="0" borderId="12" xfId="8" applyNumberFormat="1" applyFont="1" applyBorder="1" applyAlignment="1">
      <alignment horizontal="center" vertical="center"/>
    </xf>
    <xf numFmtId="49" fontId="103" fillId="0" borderId="3" xfId="8" applyNumberFormat="1" applyFont="1" applyBorder="1" applyAlignment="1">
      <alignment horizontal="center" vertical="center"/>
    </xf>
    <xf numFmtId="0" fontId="103" fillId="0" borderId="68" xfId="8" applyFont="1" applyBorder="1" applyAlignment="1">
      <alignment horizontal="center" vertical="center"/>
    </xf>
    <xf numFmtId="0" fontId="103" fillId="0" borderId="91" xfId="8" applyFont="1" applyBorder="1" applyAlignment="1">
      <alignment horizontal="center" vertical="center"/>
    </xf>
    <xf numFmtId="0" fontId="103" fillId="0" borderId="137" xfId="8" applyFont="1" applyBorder="1" applyAlignment="1">
      <alignment horizontal="center" vertical="center"/>
    </xf>
    <xf numFmtId="0" fontId="103" fillId="0" borderId="66" xfId="8" applyFont="1" applyBorder="1" applyAlignment="1">
      <alignment horizontal="center" vertical="center" wrapText="1"/>
    </xf>
    <xf numFmtId="0" fontId="103" fillId="0" borderId="227" xfId="8" applyFont="1" applyBorder="1" applyAlignment="1">
      <alignment horizontal="center" vertical="center" wrapText="1"/>
    </xf>
    <xf numFmtId="0" fontId="103" fillId="0" borderId="290" xfId="8" applyFont="1" applyBorder="1" applyAlignment="1" applyProtection="1">
      <alignment horizontal="center" vertical="center"/>
      <protection locked="0"/>
    </xf>
    <xf numFmtId="0" fontId="103" fillId="0" borderId="326" xfId="8" applyFont="1" applyBorder="1" applyAlignment="1" applyProtection="1">
      <alignment horizontal="center" vertical="center"/>
      <protection locked="0"/>
    </xf>
    <xf numFmtId="49" fontId="103" fillId="0" borderId="0" xfId="8" applyNumberFormat="1" applyFont="1" applyAlignment="1">
      <alignment horizontal="center" vertical="center"/>
    </xf>
    <xf numFmtId="0" fontId="103" fillId="0" borderId="90" xfId="8" applyFont="1" applyBorder="1" applyAlignment="1">
      <alignment horizontal="center" vertical="center"/>
    </xf>
    <xf numFmtId="0" fontId="103" fillId="0" borderId="276" xfId="8" applyFont="1" applyBorder="1" applyAlignment="1">
      <alignment horizontal="center" vertical="center"/>
    </xf>
    <xf numFmtId="0" fontId="103" fillId="0" borderId="283" xfId="8" applyFont="1" applyBorder="1" applyAlignment="1">
      <alignment horizontal="center" vertical="center"/>
    </xf>
    <xf numFmtId="0" fontId="103" fillId="0" borderId="284" xfId="8" applyFont="1" applyBorder="1" applyAlignment="1">
      <alignment horizontal="center" vertical="center"/>
    </xf>
    <xf numFmtId="0" fontId="103" fillId="0" borderId="333" xfId="8" applyFont="1" applyBorder="1" applyAlignment="1">
      <alignment horizontal="center" vertical="center"/>
    </xf>
    <xf numFmtId="0" fontId="103" fillId="0" borderId="323" xfId="8" applyFont="1" applyBorder="1" applyAlignment="1">
      <alignment horizontal="center" vertical="center"/>
    </xf>
    <xf numFmtId="189" fontId="103" fillId="0" borderId="323" xfId="8" applyNumberFormat="1" applyFont="1" applyBorder="1" applyAlignment="1">
      <alignment horizontal="center" vertical="center"/>
    </xf>
    <xf numFmtId="0" fontId="103" fillId="0" borderId="332" xfId="8" applyFont="1" applyBorder="1" applyAlignment="1">
      <alignment horizontal="center" vertical="center"/>
    </xf>
    <xf numFmtId="0" fontId="103" fillId="0" borderId="322" xfId="8" applyFont="1" applyBorder="1" applyAlignment="1">
      <alignment horizontal="center" vertical="center"/>
    </xf>
    <xf numFmtId="189" fontId="103" fillId="0" borderId="322" xfId="8" applyNumberFormat="1" applyFont="1" applyBorder="1" applyAlignment="1">
      <alignment horizontal="center" vertical="center"/>
    </xf>
    <xf numFmtId="0" fontId="84" fillId="0" borderId="322" xfId="8" applyFont="1" applyBorder="1" applyAlignment="1">
      <alignment horizontal="center" vertical="center"/>
    </xf>
    <xf numFmtId="0" fontId="84" fillId="0" borderId="324" xfId="8" applyFont="1" applyBorder="1" applyAlignment="1">
      <alignment horizontal="center" vertical="center"/>
    </xf>
    <xf numFmtId="0" fontId="103" fillId="0" borderId="287" xfId="8" applyFont="1" applyBorder="1" applyAlignment="1">
      <alignment horizontal="center" vertical="center"/>
    </xf>
    <xf numFmtId="0" fontId="103" fillId="0" borderId="288" xfId="8" applyFont="1" applyBorder="1" applyAlignment="1">
      <alignment horizontal="center" vertical="center"/>
    </xf>
    <xf numFmtId="189" fontId="103" fillId="0" borderId="288" xfId="8" applyNumberFormat="1" applyFont="1" applyBorder="1" applyAlignment="1">
      <alignment horizontal="center" vertical="center"/>
    </xf>
    <xf numFmtId="0" fontId="84" fillId="0" borderId="288" xfId="8" applyFont="1" applyBorder="1" applyAlignment="1">
      <alignment horizontal="center" vertical="center"/>
    </xf>
    <xf numFmtId="0" fontId="84" fillId="0" borderId="289" xfId="8" applyFont="1" applyBorder="1" applyAlignment="1">
      <alignment horizontal="center" vertical="center"/>
    </xf>
    <xf numFmtId="0" fontId="103" fillId="0" borderId="33" xfId="8" applyFont="1" applyBorder="1" applyAlignment="1">
      <alignment horizontal="center" vertical="center" wrapText="1"/>
    </xf>
    <xf numFmtId="0" fontId="103" fillId="0" borderId="37" xfId="8" applyFont="1" applyBorder="1" applyAlignment="1">
      <alignment horizontal="center" vertical="center"/>
    </xf>
    <xf numFmtId="0" fontId="103" fillId="0" borderId="38" xfId="8" applyFont="1" applyBorder="1" applyAlignment="1">
      <alignment horizontal="center" vertical="center"/>
    </xf>
    <xf numFmtId="0" fontId="103" fillId="0" borderId="33" xfId="8" applyFont="1" applyBorder="1" applyAlignment="1">
      <alignment vertical="center" wrapText="1"/>
    </xf>
    <xf numFmtId="0" fontId="103" fillId="0" borderId="37" xfId="8" applyFont="1" applyBorder="1" applyAlignment="1">
      <alignment vertical="center" wrapText="1"/>
    </xf>
    <xf numFmtId="0" fontId="103" fillId="0" borderId="38" xfId="8" applyFont="1" applyBorder="1" applyAlignment="1">
      <alignment vertical="center" wrapText="1"/>
    </xf>
    <xf numFmtId="0" fontId="152" fillId="0" borderId="117" xfId="8" applyFont="1" applyBorder="1" applyAlignment="1">
      <alignment horizontal="center" vertical="center"/>
    </xf>
    <xf numFmtId="0" fontId="152" fillId="0" borderId="126" xfId="8" applyFont="1" applyBorder="1" applyAlignment="1">
      <alignment horizontal="center" vertical="center"/>
    </xf>
    <xf numFmtId="0" fontId="152" fillId="0" borderId="116" xfId="8" applyFont="1" applyBorder="1" applyAlignment="1">
      <alignment horizontal="center" vertical="center"/>
    </xf>
    <xf numFmtId="0" fontId="152" fillId="0" borderId="7" xfId="8" applyFont="1" applyBorder="1" applyAlignment="1">
      <alignment horizontal="center" vertical="center"/>
    </xf>
    <xf numFmtId="0" fontId="152" fillId="0" borderId="114" xfId="8" applyFont="1" applyBorder="1" applyAlignment="1">
      <alignment horizontal="center" vertical="center"/>
    </xf>
    <xf numFmtId="0" fontId="152" fillId="0" borderId="6" xfId="8" applyFont="1" applyBorder="1" applyAlignment="1">
      <alignment horizontal="center" vertical="center"/>
    </xf>
    <xf numFmtId="0" fontId="152" fillId="0" borderId="223" xfId="8" applyFont="1" applyBorder="1" applyAlignment="1">
      <alignment horizontal="center" vertical="center"/>
    </xf>
    <xf numFmtId="0" fontId="152" fillId="0" borderId="110" xfId="8" applyFont="1" applyBorder="1" applyAlignment="1">
      <alignment horizontal="center" vertical="center"/>
    </xf>
    <xf numFmtId="0" fontId="152" fillId="0" borderId="0" xfId="8" applyFont="1" applyAlignment="1">
      <alignment horizontal="center" vertical="center"/>
    </xf>
    <xf numFmtId="0" fontId="103" fillId="0" borderId="0" xfId="8" applyFont="1" applyAlignment="1" applyProtection="1">
      <alignment horizontal="center" vertical="center"/>
      <protection locked="0"/>
    </xf>
    <xf numFmtId="0" fontId="103" fillId="0" borderId="0" xfId="8" applyFont="1" applyAlignment="1" applyProtection="1">
      <alignment vertical="center" wrapText="1"/>
      <protection locked="0"/>
    </xf>
    <xf numFmtId="49" fontId="82" fillId="0" borderId="0" xfId="0" applyNumberFormat="1" applyFont="1" applyAlignment="1" applyProtection="1">
      <alignment horizontal="left" vertical="center"/>
      <protection locked="0"/>
    </xf>
    <xf numFmtId="49" fontId="82" fillId="0" borderId="0" xfId="0" applyNumberFormat="1" applyFont="1" applyAlignment="1">
      <alignment horizontal="left" vertical="center"/>
    </xf>
    <xf numFmtId="0" fontId="82" fillId="0" borderId="0" xfId="0" applyFont="1" applyAlignment="1" applyProtection="1">
      <alignment horizontal="right" vertical="center" shrinkToFit="1"/>
      <protection locked="0"/>
    </xf>
    <xf numFmtId="49" fontId="82" fillId="0" borderId="0" xfId="0" applyNumberFormat="1" applyFont="1" applyAlignment="1">
      <alignment horizontal="right" vertical="center"/>
    </xf>
    <xf numFmtId="49" fontId="103" fillId="0" borderId="0" xfId="0" applyNumberFormat="1" applyFont="1" applyAlignment="1" applyProtection="1">
      <alignment horizontal="right" vertical="center"/>
      <protection locked="0"/>
    </xf>
    <xf numFmtId="49" fontId="132" fillId="7" borderId="0" xfId="0" applyNumberFormat="1" applyFont="1" applyFill="1" applyAlignment="1">
      <alignment horizontal="center" vertical="center"/>
    </xf>
    <xf numFmtId="49" fontId="103" fillId="0" borderId="0" xfId="0" applyNumberFormat="1" applyFont="1" applyAlignment="1" applyProtection="1">
      <alignment horizontal="center" vertical="center"/>
      <protection locked="0"/>
    </xf>
    <xf numFmtId="183" fontId="133" fillId="0" borderId="0" xfId="0" applyNumberFormat="1" applyFont="1" applyAlignment="1" applyProtection="1">
      <alignment horizontal="center" vertical="center"/>
      <protection locked="0"/>
    </xf>
    <xf numFmtId="0" fontId="133" fillId="0" borderId="0" xfId="0" applyFont="1" applyAlignment="1" applyProtection="1">
      <alignment horizontal="center" vertical="center"/>
      <protection locked="0"/>
    </xf>
    <xf numFmtId="0" fontId="116" fillId="0" borderId="0" xfId="0" applyFont="1" applyAlignment="1" applyProtection="1">
      <alignment horizontal="center" vertical="center"/>
      <protection locked="0"/>
    </xf>
    <xf numFmtId="49" fontId="82" fillId="0" borderId="0" xfId="0" applyNumberFormat="1" applyFont="1" applyAlignment="1" applyProtection="1">
      <alignment horizontal="right" vertical="center"/>
      <protection locked="0"/>
    </xf>
  </cellXfs>
  <cellStyles count="17">
    <cellStyle name="ハイパーリンク" xfId="12" builtinId="8"/>
    <cellStyle name="桁区切り" xfId="1" builtinId="6"/>
    <cellStyle name="桁区切り 2" xfId="2" xr:uid="{00000000-0005-0000-0000-000002000000}"/>
    <cellStyle name="桁区切り 2 2" xfId="3" xr:uid="{00000000-0005-0000-0000-000003000000}"/>
    <cellStyle name="通貨" xfId="4" builtinId="7"/>
    <cellStyle name="通貨 2" xfId="5" xr:uid="{00000000-0005-0000-0000-000005000000}"/>
    <cellStyle name="通貨 2 2" xfId="6" xr:uid="{00000000-0005-0000-0000-000006000000}"/>
    <cellStyle name="通貨 2 2 2" xfId="15" xr:uid="{00000000-0005-0000-0000-000007000000}"/>
    <cellStyle name="通貨 2 3" xfId="14" xr:uid="{00000000-0005-0000-0000-000008000000}"/>
    <cellStyle name="通貨 3" xfId="13" xr:uid="{00000000-0005-0000-0000-000009000000}"/>
    <cellStyle name="標準" xfId="0" builtinId="0"/>
    <cellStyle name="標準 2" xfId="7" xr:uid="{00000000-0005-0000-0000-00000B000000}"/>
    <cellStyle name="標準 2 2" xfId="8" xr:uid="{00000000-0005-0000-0000-00000C000000}"/>
    <cellStyle name="標準 2 3" xfId="16" xr:uid="{4BE0D923-D9D4-49F0-9E91-DA677CEA961A}"/>
    <cellStyle name="標準 3" xfId="9" xr:uid="{00000000-0005-0000-0000-00000D000000}"/>
    <cellStyle name="標準 5" xfId="10" xr:uid="{00000000-0005-0000-0000-00000E000000}"/>
    <cellStyle name="標準 6" xfId="11" xr:uid="{00000000-0005-0000-0000-00000F000000}"/>
  </cellStyles>
  <dxfs count="92">
    <dxf>
      <font>
        <b/>
        <i val="0"/>
      </font>
      <fill>
        <patternFill>
          <bgColor rgb="FFFFFF00"/>
        </patternFill>
      </fill>
    </dxf>
    <dxf>
      <font>
        <b/>
        <i val="0"/>
        <color theme="0"/>
      </font>
      <fill>
        <patternFill>
          <bgColor rgb="FFFF0000"/>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ont>
        <color theme="0"/>
        <name val="ＭＳ Ｐゴシック"/>
        <scheme val="none"/>
      </font>
    </dxf>
    <dxf>
      <font>
        <strike val="0"/>
        <color theme="0"/>
      </font>
    </dxf>
    <dxf>
      <fill>
        <patternFill>
          <bgColor rgb="FFFFFF00"/>
        </patternFill>
      </fill>
    </dxf>
    <dxf>
      <fill>
        <patternFill>
          <bgColor rgb="FFFFFF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6" tint="0.79998168889431442"/>
        </patternFill>
      </fill>
    </dxf>
    <dxf>
      <fill>
        <patternFill>
          <bgColor theme="6" tint="0.79998168889431442"/>
        </patternFill>
      </fill>
    </dxf>
    <dxf>
      <fill>
        <patternFill>
          <bgColor rgb="FFFFFF00"/>
        </patternFill>
      </fill>
    </dxf>
    <dxf>
      <fill>
        <patternFill>
          <bgColor rgb="FFFFFF00"/>
        </patternFill>
      </fill>
    </dxf>
    <dxf>
      <fill>
        <patternFill>
          <bgColor rgb="FFFFFF00"/>
        </patternFill>
      </fill>
    </dxf>
    <dxf>
      <font>
        <color theme="0"/>
      </font>
      <fill>
        <patternFill patternType="none">
          <bgColor auto="1"/>
        </patternFill>
      </fill>
    </dxf>
    <dxf>
      <font>
        <color theme="0"/>
      </font>
    </dxf>
    <dxf>
      <font>
        <color theme="2" tint="-9.9948118533890809E-2"/>
        <name val="ＭＳ Ｐゴシック"/>
        <scheme val="none"/>
      </font>
    </dxf>
    <dxf>
      <fill>
        <patternFill>
          <bgColor rgb="FFFFFF00"/>
        </patternFill>
      </fill>
    </dxf>
    <dxf>
      <fill>
        <patternFill>
          <bgColor rgb="FFFFFF00"/>
        </patternFill>
      </fill>
    </dxf>
    <dxf>
      <fill>
        <patternFill>
          <bgColor rgb="FFFFFF00"/>
        </patternFill>
      </fill>
    </dxf>
    <dxf>
      <font>
        <color theme="0"/>
      </font>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6" tint="0.79998168889431442"/>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1" tint="0.14996795556505021"/>
        </patternFill>
      </fill>
    </dxf>
    <dxf>
      <fill>
        <patternFill>
          <bgColor theme="6" tint="0.79998168889431442"/>
        </patternFill>
      </fill>
    </dxf>
    <dxf>
      <fill>
        <patternFill>
          <bgColor theme="6" tint="0.79998168889431442"/>
        </patternFill>
      </fill>
    </dxf>
    <dxf>
      <font>
        <b/>
        <i val="0"/>
        <color theme="0"/>
      </font>
      <fill>
        <patternFill>
          <bgColor rgb="FFFF0000"/>
        </patternFill>
      </fill>
    </dxf>
    <dxf>
      <fill>
        <patternFill>
          <bgColor theme="0" tint="-4.9989318521683403E-2"/>
        </patternFill>
      </fill>
    </dxf>
    <dxf>
      <font>
        <b/>
        <i val="0"/>
      </font>
      <fill>
        <patternFill>
          <bgColor rgb="FFFFFF00"/>
        </patternFill>
      </fill>
    </dxf>
    <dxf>
      <font>
        <b/>
        <i val="0"/>
        <color theme="0"/>
      </font>
      <fill>
        <patternFill>
          <bgColor rgb="FFFF0000"/>
        </patternFill>
      </fill>
    </dxf>
    <dxf>
      <font>
        <color theme="0"/>
      </font>
      <fill>
        <patternFill>
          <bgColor rgb="FFC00000"/>
        </patternFill>
      </fill>
    </dxf>
    <dxf>
      <fill>
        <patternFill>
          <bgColor theme="6" tint="0.79998168889431442"/>
        </patternFill>
      </fill>
    </dxf>
    <dxf>
      <fill>
        <patternFill>
          <bgColor theme="6" tint="0.79998168889431442"/>
        </patternFill>
      </fill>
    </dxf>
    <dxf>
      <font>
        <color theme="0"/>
      </font>
      <fill>
        <patternFill>
          <bgColor rgb="FFC00000"/>
        </patternFill>
      </fill>
      <border>
        <left style="thin">
          <color rgb="FFC00000"/>
        </left>
        <right style="thin">
          <color rgb="FFC00000"/>
        </right>
        <top style="thin">
          <color rgb="FFC00000"/>
        </top>
        <bottom style="thin">
          <color rgb="FFC00000"/>
        </bottom>
      </border>
    </dxf>
    <dxf>
      <font>
        <color theme="0"/>
      </font>
    </dxf>
    <dxf>
      <font>
        <b/>
        <i val="0"/>
        <color theme="0"/>
      </font>
      <fill>
        <patternFill>
          <bgColor rgb="FFFF0000"/>
        </patternFill>
      </fill>
    </dxf>
    <dxf>
      <fill>
        <patternFill patternType="solid">
          <bgColor theme="6" tint="0.79998168889431442"/>
        </patternFill>
      </fill>
    </dxf>
    <dxf>
      <fill>
        <patternFill patternType="solid">
          <fgColor theme="1"/>
          <bgColor theme="6" tint="0.79998168889431442"/>
        </patternFill>
      </fill>
    </dxf>
    <dxf>
      <fill>
        <patternFill>
          <bgColor theme="6" tint="0.79998168889431442"/>
        </patternFill>
      </fill>
    </dxf>
    <dxf>
      <font>
        <b/>
        <i val="0"/>
        <color theme="0"/>
      </font>
      <fill>
        <patternFill>
          <bgColor rgb="FFFF0000"/>
        </patternFill>
      </fill>
    </dxf>
    <dxf>
      <fill>
        <patternFill>
          <bgColor rgb="FFFFFF00"/>
        </patternFill>
      </fill>
    </dxf>
    <dxf>
      <fill>
        <patternFill>
          <bgColor rgb="FFFFFF00"/>
        </patternFill>
      </fill>
    </dxf>
    <dxf>
      <font>
        <b/>
        <i val="0"/>
        <color theme="0"/>
      </font>
      <fill>
        <patternFill>
          <bgColor rgb="FFFF0000"/>
        </patternFill>
      </fill>
    </dxf>
    <dxf>
      <fill>
        <patternFill>
          <bgColor rgb="FFFFFF00"/>
        </patternFill>
      </fill>
    </dxf>
    <dxf>
      <fill>
        <patternFill>
          <bgColor theme="6" tint="0.79998168889431442"/>
        </patternFill>
      </fill>
    </dxf>
    <dxf>
      <fill>
        <patternFill>
          <bgColor rgb="FFFFFF00"/>
        </patternFill>
      </fill>
    </dxf>
    <dxf>
      <fill>
        <patternFill>
          <bgColor theme="6" tint="0.79998168889431442"/>
        </patternFill>
      </fill>
    </dxf>
    <dxf>
      <fill>
        <patternFill>
          <bgColor theme="6" tint="0.79998168889431442"/>
        </patternFill>
      </fill>
    </dxf>
    <dxf>
      <fill>
        <patternFill>
          <fgColor theme="0"/>
        </patternFill>
      </fill>
    </dxf>
    <dxf>
      <fill>
        <patternFill>
          <bgColor theme="0"/>
        </patternFill>
      </fill>
    </dxf>
  </dxfs>
  <tableStyles count="0" defaultTableStyle="TableStyleMedium9" defaultPivotStyle="PivotStyleLight16"/>
  <colors>
    <mruColors>
      <color rgb="FFFFFFFF"/>
      <color rgb="FF66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checked="Checked" lockText="1" noThreeD="1"/>
</file>

<file path=xl/ctrlProps/ctrlProp102.xml><?xml version="1.0" encoding="utf-8"?>
<formControlPr xmlns="http://schemas.microsoft.com/office/spreadsheetml/2009/9/main" objectType="CheckBox" fmlaLink="$B$54" lockText="1" noThreeD="1"/>
</file>

<file path=xl/ctrlProps/ctrlProp103.xml><?xml version="1.0" encoding="utf-8"?>
<formControlPr xmlns="http://schemas.microsoft.com/office/spreadsheetml/2009/9/main" objectType="CheckBox" fmlaLink="$B$55"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checked="Checked"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V$10" lockText="1" noThreeD="1"/>
</file>

<file path=xl/ctrlProps/ctrlProp128.xml><?xml version="1.0" encoding="utf-8"?>
<formControlPr xmlns="http://schemas.microsoft.com/office/spreadsheetml/2009/9/main" objectType="CheckBox" fmlaLink="$V$11" lockText="1" noThreeD="1"/>
</file>

<file path=xl/ctrlProps/ctrlProp129.xml><?xml version="1.0" encoding="utf-8"?>
<formControlPr xmlns="http://schemas.microsoft.com/office/spreadsheetml/2009/9/main" objectType="CheckBox" fmlaLink="$V$1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fmlaLink="$V$13" lockText="1" noThreeD="1"/>
</file>

<file path=xl/ctrlProps/ctrlProp131.xml><?xml version="1.0" encoding="utf-8"?>
<formControlPr xmlns="http://schemas.microsoft.com/office/spreadsheetml/2009/9/main" objectType="CheckBox" fmlaLink="$V$14" lockText="1" noThreeD="1"/>
</file>

<file path=xl/ctrlProps/ctrlProp132.xml><?xml version="1.0" encoding="utf-8"?>
<formControlPr xmlns="http://schemas.microsoft.com/office/spreadsheetml/2009/9/main" objectType="CheckBox" fmlaLink="$V$10" lockText="1" noThreeD="1"/>
</file>

<file path=xl/ctrlProps/ctrlProp133.xml><?xml version="1.0" encoding="utf-8"?>
<formControlPr xmlns="http://schemas.microsoft.com/office/spreadsheetml/2009/9/main" objectType="CheckBox" fmlaLink="$U12" lockText="1" noThreeD="1"/>
</file>

<file path=xl/ctrlProps/ctrlProp134.xml><?xml version="1.0" encoding="utf-8"?>
<formControlPr xmlns="http://schemas.microsoft.com/office/spreadsheetml/2009/9/main" objectType="CheckBox" fmlaLink="$U$13" lockText="1" noThreeD="1"/>
</file>

<file path=xl/ctrlProps/ctrlProp135.xml><?xml version="1.0" encoding="utf-8"?>
<formControlPr xmlns="http://schemas.microsoft.com/office/spreadsheetml/2009/9/main" objectType="CheckBox" fmlaLink="$U$14" lockText="1" noThreeD="1"/>
</file>

<file path=xl/ctrlProps/ctrlProp136.xml><?xml version="1.0" encoding="utf-8"?>
<formControlPr xmlns="http://schemas.microsoft.com/office/spreadsheetml/2009/9/main" objectType="CheckBox" fmlaLink="$U$15" lockText="1" noThreeD="1"/>
</file>

<file path=xl/ctrlProps/ctrlProp137.xml><?xml version="1.0" encoding="utf-8"?>
<formControlPr xmlns="http://schemas.microsoft.com/office/spreadsheetml/2009/9/main" objectType="CheckBox" fmlaLink="$U$16" lockText="1" noThreeD="1"/>
</file>

<file path=xl/ctrlProps/ctrlProp138.xml><?xml version="1.0" encoding="utf-8"?>
<formControlPr xmlns="http://schemas.microsoft.com/office/spreadsheetml/2009/9/main" objectType="CheckBox" fmlaLink="$U$9" lockText="1" noThreeD="1"/>
</file>

<file path=xl/ctrlProps/ctrlProp139.xml><?xml version="1.0" encoding="utf-8"?>
<formControlPr xmlns="http://schemas.microsoft.com/office/spreadsheetml/2009/9/main" objectType="CheckBox" fmlaLink="$U12"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fmlaLink="$U$13" lockText="1" noThreeD="1"/>
</file>

<file path=xl/ctrlProps/ctrlProp141.xml><?xml version="1.0" encoding="utf-8"?>
<formControlPr xmlns="http://schemas.microsoft.com/office/spreadsheetml/2009/9/main" objectType="CheckBox" fmlaLink="$U$14" lockText="1" noThreeD="1"/>
</file>

<file path=xl/ctrlProps/ctrlProp142.xml><?xml version="1.0" encoding="utf-8"?>
<formControlPr xmlns="http://schemas.microsoft.com/office/spreadsheetml/2009/9/main" objectType="CheckBox" fmlaLink="$U$15" lockText="1" noThreeD="1"/>
</file>

<file path=xl/ctrlProps/ctrlProp143.xml><?xml version="1.0" encoding="utf-8"?>
<formControlPr xmlns="http://schemas.microsoft.com/office/spreadsheetml/2009/9/main" objectType="CheckBox" fmlaLink="$U$16" lockText="1" noThreeD="1"/>
</file>

<file path=xl/ctrlProps/ctrlProp144.xml><?xml version="1.0" encoding="utf-8"?>
<formControlPr xmlns="http://schemas.microsoft.com/office/spreadsheetml/2009/9/main" objectType="CheckBox" fmlaLink="$U$9" lockText="1" noThreeD="1"/>
</file>

<file path=xl/ctrlProps/ctrlProp145.xml><?xml version="1.0" encoding="utf-8"?>
<formControlPr xmlns="http://schemas.microsoft.com/office/spreadsheetml/2009/9/main" objectType="CheckBox" fmlaLink="$U$16" lockText="1" noThreeD="1"/>
</file>

<file path=xl/ctrlProps/ctrlProp146.xml><?xml version="1.0" encoding="utf-8"?>
<formControlPr xmlns="http://schemas.microsoft.com/office/spreadsheetml/2009/9/main" objectType="CheckBox" fmlaLink="$Z$17" lockText="1" noThreeD="1"/>
</file>

<file path=xl/ctrlProps/ctrlProp147.xml><?xml version="1.0" encoding="utf-8"?>
<formControlPr xmlns="http://schemas.microsoft.com/office/spreadsheetml/2009/9/main" objectType="CheckBox" fmlaLink="$Z$18"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0" lockText="1" noThreeD="1"/>
</file>

<file path=xl/ctrlProps/ctrlProp25.xml><?xml version="1.0" encoding="utf-8"?>
<formControlPr xmlns="http://schemas.microsoft.com/office/spreadsheetml/2009/9/main" objectType="CheckBox" fmlaLink="$T$40" lockText="1" noThreeD="1"/>
</file>

<file path=xl/ctrlProps/ctrlProp26.xml><?xml version="1.0" encoding="utf-8"?>
<formControlPr xmlns="http://schemas.microsoft.com/office/spreadsheetml/2009/9/main" objectType="CheckBox" fmlaLink="$S$40" lockText="1" noThreeD="1"/>
</file>

<file path=xl/ctrlProps/ctrlProp27.xml><?xml version="1.0" encoding="utf-8"?>
<formControlPr xmlns="http://schemas.microsoft.com/office/spreadsheetml/2009/9/main" objectType="CheckBox" fmlaLink="$U$40" lockText="1" noThreeD="1"/>
</file>

<file path=xl/ctrlProps/ctrlProp28.xml><?xml version="1.0" encoding="utf-8"?>
<formControlPr xmlns="http://schemas.microsoft.com/office/spreadsheetml/2009/9/main" objectType="CheckBox" fmlaLink="$X$38"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checked="Checked" lockText="1" noThreeD="1"/>
</file>

<file path=xl/ctrlProps/ctrlProp31.xml><?xml version="1.0" encoding="utf-8"?>
<formControlPr xmlns="http://schemas.microsoft.com/office/spreadsheetml/2009/9/main" objectType="CheckBox" checked="Checked"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checked="Checked"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checked="Checked"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checked="Checked"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checked="Checked" lockText="1" noThreeD="1"/>
</file>

<file path=xl/ctrlProps/ctrlProp78.xml><?xml version="1.0" encoding="utf-8"?>
<formControlPr xmlns="http://schemas.microsoft.com/office/spreadsheetml/2009/9/main" objectType="CheckBox" checked="Checked"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checked="Checked" lockText="1" noThreeD="1"/>
</file>

<file path=xl/ctrlProps/ctrlProp81.xml><?xml version="1.0" encoding="utf-8"?>
<formControlPr xmlns="http://schemas.microsoft.com/office/spreadsheetml/2009/9/main" objectType="CheckBox" checked="Checked"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fmlaLink="$A$2" lockText="1" noThreeD="1"/>
</file>

<file path=xl/ctrlProps/ctrlProp97.xml><?xml version="1.0" encoding="utf-8"?>
<formControlPr xmlns="http://schemas.microsoft.com/office/spreadsheetml/2009/9/main" objectType="CheckBox" fmlaLink="$B$2"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checked="Checked"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49</xdr:col>
      <xdr:colOff>13855</xdr:colOff>
      <xdr:row>0</xdr:row>
      <xdr:rowOff>35501</xdr:rowOff>
    </xdr:from>
    <xdr:to>
      <xdr:col>51</xdr:col>
      <xdr:colOff>241589</xdr:colOff>
      <xdr:row>0</xdr:row>
      <xdr:rowOff>295275</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33618055" y="35501"/>
          <a:ext cx="1599334" cy="259774"/>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kumimoji="1" lang="ja-JP" altLang="en-US" sz="1100" b="1">
              <a:solidFill>
                <a:srgbClr val="FF0000"/>
              </a:solidFill>
            </a:rPr>
            <a:t>記入例</a:t>
          </a:r>
        </a:p>
      </xdr:txBody>
    </xdr:sp>
    <xdr:clientData/>
  </xdr:twoCellAnchor>
  <mc:AlternateContent xmlns:mc="http://schemas.openxmlformats.org/markup-compatibility/2006">
    <mc:Choice xmlns:a14="http://schemas.microsoft.com/office/drawing/2010/main" Requires="a14">
      <xdr:twoCellAnchor editAs="oneCell">
        <xdr:from>
          <xdr:col>1</xdr:col>
          <xdr:colOff>38100</xdr:colOff>
          <xdr:row>19</xdr:row>
          <xdr:rowOff>19050</xdr:rowOff>
        </xdr:from>
        <xdr:to>
          <xdr:col>2</xdr:col>
          <xdr:colOff>57150</xdr:colOff>
          <xdr:row>19</xdr:row>
          <xdr:rowOff>247650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20</xdr:row>
          <xdr:rowOff>19050</xdr:rowOff>
        </xdr:from>
        <xdr:to>
          <xdr:col>2</xdr:col>
          <xdr:colOff>57150</xdr:colOff>
          <xdr:row>20</xdr:row>
          <xdr:rowOff>247650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22</xdr:row>
          <xdr:rowOff>19050</xdr:rowOff>
        </xdr:from>
        <xdr:to>
          <xdr:col>2</xdr:col>
          <xdr:colOff>57150</xdr:colOff>
          <xdr:row>22</xdr:row>
          <xdr:rowOff>247650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22</xdr:row>
          <xdr:rowOff>19050</xdr:rowOff>
        </xdr:from>
        <xdr:to>
          <xdr:col>2</xdr:col>
          <xdr:colOff>57150</xdr:colOff>
          <xdr:row>22</xdr:row>
          <xdr:rowOff>247650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22</xdr:row>
          <xdr:rowOff>19050</xdr:rowOff>
        </xdr:from>
        <xdr:to>
          <xdr:col>2</xdr:col>
          <xdr:colOff>57150</xdr:colOff>
          <xdr:row>22</xdr:row>
          <xdr:rowOff>247650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23</xdr:row>
          <xdr:rowOff>19050</xdr:rowOff>
        </xdr:from>
        <xdr:to>
          <xdr:col>2</xdr:col>
          <xdr:colOff>57150</xdr:colOff>
          <xdr:row>23</xdr:row>
          <xdr:rowOff>247650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24</xdr:row>
          <xdr:rowOff>28575</xdr:rowOff>
        </xdr:from>
        <xdr:to>
          <xdr:col>2</xdr:col>
          <xdr:colOff>57150</xdr:colOff>
          <xdr:row>24</xdr:row>
          <xdr:rowOff>247650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25</xdr:row>
          <xdr:rowOff>19050</xdr:rowOff>
        </xdr:from>
        <xdr:to>
          <xdr:col>2</xdr:col>
          <xdr:colOff>57150</xdr:colOff>
          <xdr:row>25</xdr:row>
          <xdr:rowOff>247650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26</xdr:row>
          <xdr:rowOff>19050</xdr:rowOff>
        </xdr:from>
        <xdr:to>
          <xdr:col>2</xdr:col>
          <xdr:colOff>57150</xdr:colOff>
          <xdr:row>26</xdr:row>
          <xdr:rowOff>247650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25</xdr:row>
          <xdr:rowOff>19050</xdr:rowOff>
        </xdr:from>
        <xdr:to>
          <xdr:col>2</xdr:col>
          <xdr:colOff>57150</xdr:colOff>
          <xdr:row>25</xdr:row>
          <xdr:rowOff>247650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76200</xdr:colOff>
          <xdr:row>14</xdr:row>
          <xdr:rowOff>19050</xdr:rowOff>
        </xdr:from>
        <xdr:to>
          <xdr:col>48</xdr:col>
          <xdr:colOff>104775</xdr:colOff>
          <xdr:row>14</xdr:row>
          <xdr:rowOff>238125</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38100</xdr:colOff>
          <xdr:row>18</xdr:row>
          <xdr:rowOff>0</xdr:rowOff>
        </xdr:from>
        <xdr:to>
          <xdr:col>49</xdr:col>
          <xdr:colOff>57150</xdr:colOff>
          <xdr:row>18</xdr:row>
          <xdr:rowOff>219075</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28575</xdr:colOff>
          <xdr:row>17</xdr:row>
          <xdr:rowOff>9525</xdr:rowOff>
        </xdr:from>
        <xdr:to>
          <xdr:col>49</xdr:col>
          <xdr:colOff>57150</xdr:colOff>
          <xdr:row>18</xdr:row>
          <xdr:rowOff>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23</xdr:row>
          <xdr:rowOff>19050</xdr:rowOff>
        </xdr:from>
        <xdr:to>
          <xdr:col>28</xdr:col>
          <xdr:colOff>57150</xdr:colOff>
          <xdr:row>23</xdr:row>
          <xdr:rowOff>247650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24</xdr:row>
          <xdr:rowOff>28575</xdr:rowOff>
        </xdr:from>
        <xdr:to>
          <xdr:col>28</xdr:col>
          <xdr:colOff>57150</xdr:colOff>
          <xdr:row>24</xdr:row>
          <xdr:rowOff>247650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26</xdr:row>
          <xdr:rowOff>19050</xdr:rowOff>
        </xdr:from>
        <xdr:to>
          <xdr:col>28</xdr:col>
          <xdr:colOff>57150</xdr:colOff>
          <xdr:row>26</xdr:row>
          <xdr:rowOff>247650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25</xdr:row>
          <xdr:rowOff>19050</xdr:rowOff>
        </xdr:from>
        <xdr:to>
          <xdr:col>28</xdr:col>
          <xdr:colOff>57150</xdr:colOff>
          <xdr:row>25</xdr:row>
          <xdr:rowOff>247650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19</xdr:row>
          <xdr:rowOff>19050</xdr:rowOff>
        </xdr:from>
        <xdr:to>
          <xdr:col>28</xdr:col>
          <xdr:colOff>57150</xdr:colOff>
          <xdr:row>19</xdr:row>
          <xdr:rowOff>247650</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1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20</xdr:row>
          <xdr:rowOff>19050</xdr:rowOff>
        </xdr:from>
        <xdr:to>
          <xdr:col>28</xdr:col>
          <xdr:colOff>57150</xdr:colOff>
          <xdr:row>20</xdr:row>
          <xdr:rowOff>247650</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1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22</xdr:row>
          <xdr:rowOff>19050</xdr:rowOff>
        </xdr:from>
        <xdr:to>
          <xdr:col>28</xdr:col>
          <xdr:colOff>57150</xdr:colOff>
          <xdr:row>22</xdr:row>
          <xdr:rowOff>247650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1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23</xdr:row>
          <xdr:rowOff>19050</xdr:rowOff>
        </xdr:from>
        <xdr:to>
          <xdr:col>28</xdr:col>
          <xdr:colOff>57150</xdr:colOff>
          <xdr:row>23</xdr:row>
          <xdr:rowOff>247650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1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22</xdr:row>
          <xdr:rowOff>19050</xdr:rowOff>
        </xdr:from>
        <xdr:to>
          <xdr:col>28</xdr:col>
          <xdr:colOff>57150</xdr:colOff>
          <xdr:row>22</xdr:row>
          <xdr:rowOff>247650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1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114300</xdr:colOff>
          <xdr:row>16</xdr:row>
          <xdr:rowOff>9525</xdr:rowOff>
        </xdr:from>
        <xdr:to>
          <xdr:col>38</xdr:col>
          <xdr:colOff>152400</xdr:colOff>
          <xdr:row>16</xdr:row>
          <xdr:rowOff>219075</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1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76200</xdr:colOff>
          <xdr:row>14</xdr:row>
          <xdr:rowOff>19050</xdr:rowOff>
        </xdr:from>
        <xdr:to>
          <xdr:col>22</xdr:col>
          <xdr:colOff>104775</xdr:colOff>
          <xdr:row>15</xdr:row>
          <xdr:rowOff>0</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1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76200</xdr:colOff>
          <xdr:row>14</xdr:row>
          <xdr:rowOff>57150</xdr:rowOff>
        </xdr:from>
        <xdr:to>
          <xdr:col>12</xdr:col>
          <xdr:colOff>104775</xdr:colOff>
          <xdr:row>15</xdr:row>
          <xdr:rowOff>38100</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1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66675</xdr:colOff>
          <xdr:row>14</xdr:row>
          <xdr:rowOff>47625</xdr:rowOff>
        </xdr:from>
        <xdr:to>
          <xdr:col>17</xdr:col>
          <xdr:colOff>95250</xdr:colOff>
          <xdr:row>15</xdr:row>
          <xdr:rowOff>28575</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76200</xdr:colOff>
          <xdr:row>16</xdr:row>
          <xdr:rowOff>19050</xdr:rowOff>
        </xdr:from>
        <xdr:to>
          <xdr:col>12</xdr:col>
          <xdr:colOff>104775</xdr:colOff>
          <xdr:row>17</xdr:row>
          <xdr:rowOff>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17</xdr:row>
          <xdr:rowOff>38100</xdr:rowOff>
        </xdr:from>
        <xdr:to>
          <xdr:col>23</xdr:col>
          <xdr:colOff>0</xdr:colOff>
          <xdr:row>17</xdr:row>
          <xdr:rowOff>200025</xdr:rowOff>
        </xdr:to>
        <xdr:sp macro="" textlink="">
          <xdr:nvSpPr>
            <xdr:cNvPr id="1172" name="Check Box 148" hidden="1">
              <a:extLst>
                <a:ext uri="{63B3BB69-23CF-44E3-9099-C40C66FF867C}">
                  <a14:compatExt spid="_x0000_s1172"/>
                </a:ext>
                <a:ext uri="{FF2B5EF4-FFF2-40B4-BE49-F238E27FC236}">
                  <a16:creationId xmlns:a16="http://schemas.microsoft.com/office/drawing/2014/main" id="{00000000-0008-0000-0100-00009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18</xdr:row>
          <xdr:rowOff>28575</xdr:rowOff>
        </xdr:from>
        <xdr:to>
          <xdr:col>23</xdr:col>
          <xdr:colOff>38100</xdr:colOff>
          <xdr:row>18</xdr:row>
          <xdr:rowOff>219075</xdr:rowOff>
        </xdr:to>
        <xdr:sp macro="" textlink="">
          <xdr:nvSpPr>
            <xdr:cNvPr id="1173" name="Check Box 149" hidden="1">
              <a:extLst>
                <a:ext uri="{63B3BB69-23CF-44E3-9099-C40C66FF867C}">
                  <a14:compatExt spid="_x0000_s1173"/>
                </a:ext>
                <a:ext uri="{FF2B5EF4-FFF2-40B4-BE49-F238E27FC236}">
                  <a16:creationId xmlns:a16="http://schemas.microsoft.com/office/drawing/2014/main" id="{00000000-0008-0000-0100-00009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28575</xdr:colOff>
          <xdr:row>14</xdr:row>
          <xdr:rowOff>76200</xdr:rowOff>
        </xdr:from>
        <xdr:to>
          <xdr:col>38</xdr:col>
          <xdr:colOff>66675</xdr:colOff>
          <xdr:row>15</xdr:row>
          <xdr:rowOff>38100</xdr:rowOff>
        </xdr:to>
        <xdr:sp macro="" textlink="">
          <xdr:nvSpPr>
            <xdr:cNvPr id="31299" name="Check Box 1603" hidden="1">
              <a:extLst>
                <a:ext uri="{63B3BB69-23CF-44E3-9099-C40C66FF867C}">
                  <a14:compatExt spid="_x0000_s31299"/>
                </a:ext>
                <a:ext uri="{FF2B5EF4-FFF2-40B4-BE49-F238E27FC236}">
                  <a16:creationId xmlns:a16="http://schemas.microsoft.com/office/drawing/2014/main" id="{00000000-0008-0000-0100-0000437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19</xdr:row>
          <xdr:rowOff>19050</xdr:rowOff>
        </xdr:from>
        <xdr:to>
          <xdr:col>28</xdr:col>
          <xdr:colOff>57150</xdr:colOff>
          <xdr:row>19</xdr:row>
          <xdr:rowOff>247650</xdr:rowOff>
        </xdr:to>
        <xdr:sp macro="" textlink="">
          <xdr:nvSpPr>
            <xdr:cNvPr id="31301" name="Check Box 1605" hidden="1">
              <a:extLst>
                <a:ext uri="{63B3BB69-23CF-44E3-9099-C40C66FF867C}">
                  <a14:compatExt spid="_x0000_s31301"/>
                </a:ext>
                <a:ext uri="{FF2B5EF4-FFF2-40B4-BE49-F238E27FC236}">
                  <a16:creationId xmlns:a16="http://schemas.microsoft.com/office/drawing/2014/main" id="{00000000-0008-0000-0100-0000457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76200</xdr:colOff>
          <xdr:row>14</xdr:row>
          <xdr:rowOff>0</xdr:rowOff>
        </xdr:from>
        <xdr:to>
          <xdr:col>43</xdr:col>
          <xdr:colOff>180975</xdr:colOff>
          <xdr:row>15</xdr:row>
          <xdr:rowOff>0</xdr:rowOff>
        </xdr:to>
        <xdr:sp macro="" textlink="">
          <xdr:nvSpPr>
            <xdr:cNvPr id="31310" name="Check Box 1614" hidden="1">
              <a:extLst>
                <a:ext uri="{63B3BB69-23CF-44E3-9099-C40C66FF867C}">
                  <a14:compatExt spid="_x0000_s31310"/>
                </a:ext>
                <a:ext uri="{FF2B5EF4-FFF2-40B4-BE49-F238E27FC236}">
                  <a16:creationId xmlns:a16="http://schemas.microsoft.com/office/drawing/2014/main" id="{00000000-0008-0000-0100-00004E7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28</xdr:col>
      <xdr:colOff>6043</xdr:colOff>
      <xdr:row>13</xdr:row>
      <xdr:rowOff>17929</xdr:rowOff>
    </xdr:from>
    <xdr:to>
      <xdr:col>37</xdr:col>
      <xdr:colOff>4514</xdr:colOff>
      <xdr:row>16</xdr:row>
      <xdr:rowOff>236332</xdr:rowOff>
    </xdr:to>
    <xdr:pic>
      <xdr:nvPicPr>
        <xdr:cNvPr id="3" name="図 2">
          <a:extLst>
            <a:ext uri="{FF2B5EF4-FFF2-40B4-BE49-F238E27FC236}">
              <a16:creationId xmlns:a16="http://schemas.microsoft.com/office/drawing/2014/main" id="{B6B397B5-1CD3-B010-765B-234E067523CF}"/>
            </a:ext>
          </a:extLst>
        </xdr:cNvPr>
        <xdr:cNvPicPr>
          <a:picLocks noChangeAspect="1"/>
        </xdr:cNvPicPr>
      </xdr:nvPicPr>
      <xdr:blipFill>
        <a:blip xmlns:r="http://schemas.openxmlformats.org/officeDocument/2006/relationships" r:embed="rId1"/>
        <a:stretch>
          <a:fillRect/>
        </a:stretch>
      </xdr:blipFill>
      <xdr:spPr>
        <a:xfrm>
          <a:off x="7877055" y="3657600"/>
          <a:ext cx="2505339" cy="97715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27</xdr:col>
      <xdr:colOff>613409</xdr:colOff>
      <xdr:row>32</xdr:row>
      <xdr:rowOff>81296</xdr:rowOff>
    </xdr:from>
    <xdr:to>
      <xdr:col>31</xdr:col>
      <xdr:colOff>650866</xdr:colOff>
      <xdr:row>37</xdr:row>
      <xdr:rowOff>97971</xdr:rowOff>
    </xdr:to>
    <xdr:sp macro="" textlink="">
      <xdr:nvSpPr>
        <xdr:cNvPr id="2" name="テキスト ボックス 1">
          <a:extLst>
            <a:ext uri="{FF2B5EF4-FFF2-40B4-BE49-F238E27FC236}">
              <a16:creationId xmlns:a16="http://schemas.microsoft.com/office/drawing/2014/main" id="{22066CC1-8907-6E76-A28D-D8C16AE8D111}"/>
            </a:ext>
          </a:extLst>
        </xdr:cNvPr>
        <xdr:cNvSpPr txBox="1"/>
      </xdr:nvSpPr>
      <xdr:spPr>
        <a:xfrm>
          <a:off x="19663409" y="7265867"/>
          <a:ext cx="3085457" cy="1105247"/>
        </a:xfrm>
        <a:prstGeom prst="rect">
          <a:avLst/>
        </a:prstGeom>
        <a:solidFill>
          <a:schemeClr val="bg1"/>
        </a:solidFill>
        <a:ln w="38100" cmpd="sng">
          <a:solidFill>
            <a:schemeClr val="tx1"/>
          </a:solidFill>
          <a:prstDash val="sysDo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lnSpc>
              <a:spcPts val="1700"/>
            </a:lnSpc>
          </a:pPr>
          <a:r>
            <a:rPr kumimoji="1" lang="ja-JP" altLang="en-US" sz="1400" b="1">
              <a:solidFill>
                <a:schemeClr val="tx1"/>
              </a:solidFill>
            </a:rPr>
            <a:t>宿泊室は、清掃が入るため</a:t>
          </a:r>
          <a:endParaRPr kumimoji="1" lang="en-US" altLang="ja-JP" sz="1400" b="1">
            <a:solidFill>
              <a:schemeClr val="tx1"/>
            </a:solidFill>
          </a:endParaRPr>
        </a:p>
        <a:p>
          <a:pPr algn="ctr">
            <a:lnSpc>
              <a:spcPts val="1700"/>
            </a:lnSpc>
          </a:pPr>
          <a:r>
            <a:rPr kumimoji="1" lang="ja-JP" altLang="en-US" sz="1400" b="1">
              <a:solidFill>
                <a:schemeClr val="tx1"/>
              </a:solidFill>
            </a:rPr>
            <a:t>９時までに完全に退室してください。</a:t>
          </a:r>
          <a:endParaRPr kumimoji="1" lang="en-US" altLang="ja-JP" sz="1400" b="1">
            <a:solidFill>
              <a:schemeClr val="tx1"/>
            </a:solidFill>
          </a:endParaRPr>
        </a:p>
        <a:p>
          <a:pPr algn="ctr">
            <a:lnSpc>
              <a:spcPts val="1700"/>
            </a:lnSpc>
          </a:pPr>
          <a:r>
            <a:rPr kumimoji="1" lang="ja-JP" altLang="en-US" sz="1400" b="1">
              <a:solidFill>
                <a:schemeClr val="tx1"/>
              </a:solidFill>
            </a:rPr>
            <a:t>また、各団体ごとに清掃をし</a:t>
          </a:r>
          <a:endParaRPr kumimoji="1" lang="en-US" altLang="ja-JP" sz="1400" b="1">
            <a:solidFill>
              <a:schemeClr val="tx1"/>
            </a:solidFill>
          </a:endParaRPr>
        </a:p>
        <a:p>
          <a:pPr algn="ctr">
            <a:lnSpc>
              <a:spcPts val="1700"/>
            </a:lnSpc>
          </a:pPr>
          <a:r>
            <a:rPr kumimoji="1" lang="ja-JP" altLang="en-US" sz="1400" b="1">
              <a:solidFill>
                <a:schemeClr val="tx1"/>
              </a:solidFill>
            </a:rPr>
            <a:t>自主チェックを行ってください。</a:t>
          </a:r>
        </a:p>
      </xdr:txBody>
    </xdr:sp>
    <xdr:clientData/>
  </xdr:twoCellAnchor>
  <xdr:twoCellAnchor>
    <xdr:from>
      <xdr:col>27</xdr:col>
      <xdr:colOff>34562</xdr:colOff>
      <xdr:row>44</xdr:row>
      <xdr:rowOff>28700</xdr:rowOff>
    </xdr:from>
    <xdr:to>
      <xdr:col>31</xdr:col>
      <xdr:colOff>0</xdr:colOff>
      <xdr:row>46</xdr:row>
      <xdr:rowOff>103688</xdr:rowOff>
    </xdr:to>
    <xdr:sp macro="" textlink="">
      <xdr:nvSpPr>
        <xdr:cNvPr id="3" name="テキスト ボックス 2">
          <a:extLst>
            <a:ext uri="{FF2B5EF4-FFF2-40B4-BE49-F238E27FC236}">
              <a16:creationId xmlns:a16="http://schemas.microsoft.com/office/drawing/2014/main" id="{E5CB2BAE-8E88-4F49-ABCA-028003A1E78E}"/>
            </a:ext>
          </a:extLst>
        </xdr:cNvPr>
        <xdr:cNvSpPr txBox="1"/>
      </xdr:nvSpPr>
      <xdr:spPr>
        <a:xfrm>
          <a:off x="19084562" y="9825843"/>
          <a:ext cx="3013438" cy="510416"/>
        </a:xfrm>
        <a:prstGeom prst="rect">
          <a:avLst/>
        </a:prstGeom>
        <a:solidFill>
          <a:schemeClr val="bg1"/>
        </a:solidFill>
        <a:ln w="28575" cmpd="sng">
          <a:solidFill>
            <a:schemeClr val="tx1"/>
          </a:solidFill>
          <a:prstDash val="sysDo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lnSpc>
              <a:spcPts val="1700"/>
            </a:lnSpc>
          </a:pPr>
          <a:r>
            <a:rPr kumimoji="1" lang="ja-JP" altLang="en-US" sz="1400" b="1">
              <a:solidFill>
                <a:schemeClr val="tx1"/>
              </a:solidFill>
            </a:rPr>
            <a:t>宿泊室は、１２時から入室可能です。</a:t>
          </a:r>
        </a:p>
      </xdr:txBody>
    </xdr:sp>
    <xdr:clientData/>
  </xdr:twoCellAnchor>
  <xdr:twoCellAnchor>
    <xdr:from>
      <xdr:col>27</xdr:col>
      <xdr:colOff>32657</xdr:colOff>
      <xdr:row>60</xdr:row>
      <xdr:rowOff>0</xdr:rowOff>
    </xdr:from>
    <xdr:to>
      <xdr:col>31</xdr:col>
      <xdr:colOff>34563</xdr:colOff>
      <xdr:row>63</xdr:row>
      <xdr:rowOff>110836</xdr:rowOff>
    </xdr:to>
    <xdr:sp macro="" textlink="">
      <xdr:nvSpPr>
        <xdr:cNvPr id="4" name="テキスト ボックス 3">
          <a:extLst>
            <a:ext uri="{FF2B5EF4-FFF2-40B4-BE49-F238E27FC236}">
              <a16:creationId xmlns:a16="http://schemas.microsoft.com/office/drawing/2014/main" id="{766149FD-B47E-4A94-B9A5-77A69FC220A3}"/>
            </a:ext>
          </a:extLst>
        </xdr:cNvPr>
        <xdr:cNvSpPr txBox="1"/>
      </xdr:nvSpPr>
      <xdr:spPr>
        <a:xfrm>
          <a:off x="19082657" y="13280571"/>
          <a:ext cx="3049906" cy="763979"/>
        </a:xfrm>
        <a:prstGeom prst="rect">
          <a:avLst/>
        </a:prstGeom>
        <a:solidFill>
          <a:schemeClr val="bg1"/>
        </a:solidFill>
        <a:ln w="28575" cmpd="sng">
          <a:solidFill>
            <a:schemeClr val="tx1"/>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lnSpc>
              <a:spcPts val="1700"/>
            </a:lnSpc>
          </a:pPr>
          <a:r>
            <a:rPr kumimoji="1" lang="ja-JP" altLang="en-US" sz="1400" b="1">
              <a:solidFill>
                <a:schemeClr val="tx1"/>
              </a:solidFill>
            </a:rPr>
            <a:t>シーツは団体ごとにリネン置き場に</a:t>
          </a:r>
          <a:endParaRPr kumimoji="1" lang="en-US" altLang="ja-JP" sz="1400" b="1">
            <a:solidFill>
              <a:schemeClr val="tx1"/>
            </a:solidFill>
          </a:endParaRPr>
        </a:p>
        <a:p>
          <a:pPr algn="ctr">
            <a:lnSpc>
              <a:spcPts val="1700"/>
            </a:lnSpc>
          </a:pPr>
          <a:r>
            <a:rPr kumimoji="1" lang="ja-JP" altLang="en-US" sz="1400" b="1">
              <a:solidFill>
                <a:schemeClr val="tx1"/>
              </a:solidFill>
            </a:rPr>
            <a:t>１６時以降にご用意しております。</a:t>
          </a:r>
        </a:p>
      </xdr:txBody>
    </xdr:sp>
    <xdr:clientData/>
  </xdr:twoCellAnchor>
  <xdr:twoCellAnchor>
    <xdr:from>
      <xdr:col>19</xdr:col>
      <xdr:colOff>571499</xdr:colOff>
      <xdr:row>0</xdr:row>
      <xdr:rowOff>109970</xdr:rowOff>
    </xdr:from>
    <xdr:to>
      <xdr:col>30</xdr:col>
      <xdr:colOff>422216</xdr:colOff>
      <xdr:row>5</xdr:row>
      <xdr:rowOff>218209</xdr:rowOff>
    </xdr:to>
    <xdr:sp macro="" textlink="">
      <xdr:nvSpPr>
        <xdr:cNvPr id="5" name="テキスト ボックス 4">
          <a:extLst>
            <a:ext uri="{FF2B5EF4-FFF2-40B4-BE49-F238E27FC236}">
              <a16:creationId xmlns:a16="http://schemas.microsoft.com/office/drawing/2014/main" id="{DAD7FF25-E72A-2353-7E6B-785E18DBFAB9}"/>
            </a:ext>
          </a:extLst>
        </xdr:cNvPr>
        <xdr:cNvSpPr txBox="1"/>
      </xdr:nvSpPr>
      <xdr:spPr>
        <a:xfrm>
          <a:off x="13525499" y="109970"/>
          <a:ext cx="8232717" cy="1632239"/>
        </a:xfrm>
        <a:prstGeom prst="rect">
          <a:avLst/>
        </a:prstGeom>
        <a:solidFill>
          <a:schemeClr val="bg1"/>
        </a:solidFill>
        <a:ln w="571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lnSpc>
              <a:spcPts val="1700"/>
            </a:lnSpc>
          </a:pPr>
          <a:r>
            <a:rPr kumimoji="1" lang="ja-JP" altLang="en-US" sz="6600" b="1">
              <a:solidFill>
                <a:srgbClr val="FF0000"/>
              </a:solidFill>
            </a:rPr>
            <a:t>記入例</a:t>
          </a:r>
        </a:p>
      </xdr:txBody>
    </xdr:sp>
    <xdr:clientData/>
  </xdr:twoCellAnchor>
  <xdr:twoCellAnchor>
    <xdr:from>
      <xdr:col>19</xdr:col>
      <xdr:colOff>38372</xdr:colOff>
      <xdr:row>29</xdr:row>
      <xdr:rowOff>128353</xdr:rowOff>
    </xdr:from>
    <xdr:to>
      <xdr:col>24</xdr:col>
      <xdr:colOff>761233</xdr:colOff>
      <xdr:row>35</xdr:row>
      <xdr:rowOff>149677</xdr:rowOff>
    </xdr:to>
    <xdr:sp macro="" textlink="">
      <xdr:nvSpPr>
        <xdr:cNvPr id="6" name="テキスト ボックス 5">
          <a:extLst>
            <a:ext uri="{FF2B5EF4-FFF2-40B4-BE49-F238E27FC236}">
              <a16:creationId xmlns:a16="http://schemas.microsoft.com/office/drawing/2014/main" id="{DAA9B9C4-115A-4703-8043-6BF4381CDC55}"/>
            </a:ext>
          </a:extLst>
        </xdr:cNvPr>
        <xdr:cNvSpPr txBox="1"/>
      </xdr:nvSpPr>
      <xdr:spPr>
        <a:xfrm>
          <a:off x="12992372" y="6496496"/>
          <a:ext cx="4532861" cy="1245967"/>
        </a:xfrm>
        <a:prstGeom prst="rect">
          <a:avLst/>
        </a:prstGeom>
        <a:solidFill>
          <a:schemeClr val="bg1"/>
        </a:solidFill>
        <a:ln w="28575" cmpd="sng">
          <a:solidFill>
            <a:schemeClr val="tx1"/>
          </a:solidFill>
          <a:prstDash val="sysDo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lnSpc>
              <a:spcPts val="1700"/>
            </a:lnSpc>
          </a:pPr>
          <a:r>
            <a:rPr kumimoji="1" lang="en-US" altLang="ja-JP" sz="1600" b="1">
              <a:solidFill>
                <a:schemeClr val="tx1"/>
              </a:solidFill>
            </a:rPr>
            <a:t>【</a:t>
          </a:r>
          <a:r>
            <a:rPr kumimoji="1" lang="ja-JP" altLang="en-US" sz="1600" b="1">
              <a:solidFill>
                <a:schemeClr val="tx1"/>
              </a:solidFill>
            </a:rPr>
            <a:t>施設利用時間の規則</a:t>
          </a:r>
          <a:r>
            <a:rPr kumimoji="1" lang="en-US" altLang="ja-JP" sz="1600" b="1">
              <a:solidFill>
                <a:schemeClr val="tx1"/>
              </a:solidFill>
            </a:rPr>
            <a:t>】</a:t>
          </a:r>
        </a:p>
        <a:p>
          <a:pPr algn="ctr">
            <a:lnSpc>
              <a:spcPts val="1700"/>
            </a:lnSpc>
          </a:pPr>
          <a:r>
            <a:rPr kumimoji="1" lang="ja-JP" altLang="en-US" sz="1400" b="1">
              <a:solidFill>
                <a:schemeClr val="tx1"/>
              </a:solidFill>
            </a:rPr>
            <a:t>宿泊利用　　・午前</a:t>
          </a:r>
          <a:r>
            <a:rPr kumimoji="1" lang="en-US" altLang="ja-JP" sz="1400" b="1">
              <a:solidFill>
                <a:schemeClr val="tx1"/>
              </a:solidFill>
            </a:rPr>
            <a:t>10:00</a:t>
          </a:r>
          <a:r>
            <a:rPr kumimoji="1" lang="ja-JP" altLang="en-US" sz="1400" b="1">
              <a:solidFill>
                <a:schemeClr val="tx1"/>
              </a:solidFill>
            </a:rPr>
            <a:t>～（翌）午前</a:t>
          </a:r>
          <a:r>
            <a:rPr kumimoji="1" lang="en-US" altLang="ja-JP" sz="1400" b="1">
              <a:solidFill>
                <a:schemeClr val="tx1"/>
              </a:solidFill>
            </a:rPr>
            <a:t>10:00</a:t>
          </a:r>
          <a:r>
            <a:rPr kumimoji="1" lang="ja-JP" altLang="en-US" sz="1400" b="1">
              <a:solidFill>
                <a:schemeClr val="tx1"/>
              </a:solidFill>
            </a:rPr>
            <a:t>まで</a:t>
          </a:r>
          <a:endParaRPr kumimoji="1" lang="en-US" altLang="ja-JP" sz="1400" b="1">
            <a:solidFill>
              <a:schemeClr val="tx1"/>
            </a:solidFill>
          </a:endParaRPr>
        </a:p>
        <a:p>
          <a:pPr algn="ctr">
            <a:lnSpc>
              <a:spcPts val="1700"/>
            </a:lnSpc>
          </a:pPr>
          <a:r>
            <a:rPr kumimoji="1" lang="ja-JP" altLang="ja-JP" sz="1400" b="1">
              <a:solidFill>
                <a:schemeClr val="dk1"/>
              </a:solidFill>
              <a:effectLst/>
              <a:latin typeface="+mn-lt"/>
              <a:ea typeface="+mn-ea"/>
              <a:cs typeface="+mn-cs"/>
            </a:rPr>
            <a:t>　・午前</a:t>
          </a:r>
          <a:r>
            <a:rPr kumimoji="1" lang="en-US" altLang="ja-JP" sz="1400" b="1">
              <a:solidFill>
                <a:schemeClr val="dk1"/>
              </a:solidFill>
              <a:effectLst/>
              <a:latin typeface="+mn-lt"/>
              <a:ea typeface="+mn-ea"/>
              <a:cs typeface="+mn-cs"/>
            </a:rPr>
            <a:t>13:00</a:t>
          </a:r>
          <a:r>
            <a:rPr kumimoji="1" lang="ja-JP" altLang="ja-JP" sz="1400" b="1">
              <a:solidFill>
                <a:schemeClr val="dk1"/>
              </a:solidFill>
              <a:effectLst/>
              <a:latin typeface="+mn-lt"/>
              <a:ea typeface="+mn-ea"/>
              <a:cs typeface="+mn-cs"/>
            </a:rPr>
            <a:t>～（翌）午前</a:t>
          </a:r>
          <a:r>
            <a:rPr kumimoji="1" lang="en-US" altLang="ja-JP" sz="1400" b="1">
              <a:solidFill>
                <a:schemeClr val="dk1"/>
              </a:solidFill>
              <a:effectLst/>
              <a:latin typeface="+mn-lt"/>
              <a:ea typeface="+mn-ea"/>
              <a:cs typeface="+mn-cs"/>
            </a:rPr>
            <a:t>13:00</a:t>
          </a:r>
          <a:endParaRPr kumimoji="1" lang="en-US" altLang="ja-JP" sz="1400" b="1">
            <a:solidFill>
              <a:schemeClr val="tx1"/>
            </a:solidFill>
          </a:endParaRPr>
        </a:p>
        <a:p>
          <a:pPr algn="ctr">
            <a:lnSpc>
              <a:spcPts val="1700"/>
            </a:lnSpc>
          </a:pPr>
          <a:r>
            <a:rPr kumimoji="1" lang="ja-JP" altLang="en-US" sz="1400" b="1">
              <a:solidFill>
                <a:schemeClr val="tx1"/>
              </a:solidFill>
            </a:rPr>
            <a:t>日帰り利用　　・午前</a:t>
          </a:r>
          <a:r>
            <a:rPr kumimoji="1" lang="en-US" altLang="ja-JP" sz="1400" b="1">
              <a:solidFill>
                <a:schemeClr val="tx1"/>
              </a:solidFill>
            </a:rPr>
            <a:t>9:00</a:t>
          </a:r>
          <a:r>
            <a:rPr kumimoji="1" lang="ja-JP" altLang="en-US" sz="1400" b="1">
              <a:solidFill>
                <a:schemeClr val="tx1"/>
              </a:solidFill>
            </a:rPr>
            <a:t>～午後</a:t>
          </a:r>
          <a:r>
            <a:rPr kumimoji="1" lang="en-US" altLang="ja-JP" sz="1400" b="1">
              <a:solidFill>
                <a:schemeClr val="tx1"/>
              </a:solidFill>
            </a:rPr>
            <a:t>5:00</a:t>
          </a:r>
          <a:r>
            <a:rPr kumimoji="1" lang="ja-JP" altLang="en-US" sz="1400" b="1">
              <a:solidFill>
                <a:schemeClr val="tx1"/>
              </a:solidFill>
            </a:rPr>
            <a:t>まで</a:t>
          </a:r>
          <a:endParaRPr kumimoji="1" lang="en-US" altLang="ja-JP" sz="1400" b="1">
            <a:solidFill>
              <a:schemeClr val="tx1"/>
            </a:solidFill>
          </a:endParaRPr>
        </a:p>
        <a:p>
          <a:pPr algn="ctr">
            <a:lnSpc>
              <a:spcPts val="1700"/>
            </a:lnSpc>
          </a:pPr>
          <a:r>
            <a:rPr kumimoji="1" lang="ja-JP" altLang="en-US" sz="1400" b="1">
              <a:solidFill>
                <a:schemeClr val="tx1"/>
              </a:solidFill>
            </a:rPr>
            <a:t>時間を超える場合は、日帰りや宿泊料金を追加。</a:t>
          </a:r>
        </a:p>
      </xdr:txBody>
    </xdr:sp>
    <xdr:clientData/>
  </xdr:twoCellAnchor>
  <xdr:twoCellAnchor>
    <xdr:from>
      <xdr:col>26</xdr:col>
      <xdr:colOff>110836</xdr:colOff>
      <xdr:row>71</xdr:row>
      <xdr:rowOff>193963</xdr:rowOff>
    </xdr:from>
    <xdr:to>
      <xdr:col>31</xdr:col>
      <xdr:colOff>720436</xdr:colOff>
      <xdr:row>79</xdr:row>
      <xdr:rowOff>138546</xdr:rowOff>
    </xdr:to>
    <xdr:sp macro="" textlink="">
      <xdr:nvSpPr>
        <xdr:cNvPr id="7" name="テキスト ボックス 6">
          <a:extLst>
            <a:ext uri="{FF2B5EF4-FFF2-40B4-BE49-F238E27FC236}">
              <a16:creationId xmlns:a16="http://schemas.microsoft.com/office/drawing/2014/main" id="{70D8D7EC-DAC5-4472-90AE-FD7FB677B43E}"/>
            </a:ext>
          </a:extLst>
        </xdr:cNvPr>
        <xdr:cNvSpPr txBox="1"/>
      </xdr:nvSpPr>
      <xdr:spPr>
        <a:xfrm>
          <a:off x="18426545" y="15281563"/>
          <a:ext cx="4419600" cy="1607128"/>
        </a:xfrm>
        <a:prstGeom prst="rect">
          <a:avLst/>
        </a:prstGeom>
        <a:solidFill>
          <a:schemeClr val="bg1"/>
        </a:solidFill>
        <a:ln w="28575" cmpd="sng">
          <a:solidFill>
            <a:schemeClr val="tx1"/>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lnSpc>
              <a:spcPts val="1700"/>
            </a:lnSpc>
          </a:pPr>
          <a:endParaRPr kumimoji="1" lang="en-US" altLang="ja-JP" sz="1800" b="1">
            <a:solidFill>
              <a:schemeClr val="tx1"/>
            </a:solidFill>
          </a:endParaRPr>
        </a:p>
        <a:p>
          <a:pPr algn="ctr">
            <a:lnSpc>
              <a:spcPts val="1700"/>
            </a:lnSpc>
          </a:pPr>
          <a:r>
            <a:rPr kumimoji="1" lang="ja-JP" altLang="en-US" sz="1800" b="1">
              <a:solidFill>
                <a:schemeClr val="tx1"/>
              </a:solidFill>
            </a:rPr>
            <a:t>森口ゲートの閉門時間　</a:t>
          </a:r>
          <a:r>
            <a:rPr kumimoji="1" lang="en-US" altLang="ja-JP" sz="1800" b="1">
              <a:solidFill>
                <a:schemeClr val="tx1"/>
              </a:solidFill>
            </a:rPr>
            <a:t>19</a:t>
          </a:r>
          <a:r>
            <a:rPr kumimoji="1" lang="ja-JP" altLang="en-US" sz="1800" b="1">
              <a:solidFill>
                <a:schemeClr val="tx1"/>
              </a:solidFill>
            </a:rPr>
            <a:t>：</a:t>
          </a:r>
          <a:r>
            <a:rPr kumimoji="1" lang="en-US" altLang="ja-JP" sz="1800" b="1">
              <a:solidFill>
                <a:schemeClr val="tx1"/>
              </a:solidFill>
            </a:rPr>
            <a:t>00</a:t>
          </a:r>
          <a:r>
            <a:rPr kumimoji="1" lang="ja-JP" altLang="en-US" sz="1800" b="1">
              <a:solidFill>
                <a:schemeClr val="tx1"/>
              </a:solidFill>
            </a:rPr>
            <a:t>～</a:t>
          </a:r>
          <a:r>
            <a:rPr kumimoji="1" lang="en-US" altLang="ja-JP" sz="1800" b="1">
              <a:solidFill>
                <a:schemeClr val="tx1"/>
              </a:solidFill>
            </a:rPr>
            <a:t>7</a:t>
          </a:r>
          <a:r>
            <a:rPr kumimoji="1" lang="ja-JP" altLang="en-US" sz="1800" b="1">
              <a:solidFill>
                <a:schemeClr val="tx1"/>
              </a:solidFill>
            </a:rPr>
            <a:t>：</a:t>
          </a:r>
          <a:r>
            <a:rPr kumimoji="1" lang="en-US" altLang="ja-JP" sz="1800" b="1">
              <a:solidFill>
                <a:schemeClr val="tx1"/>
              </a:solidFill>
            </a:rPr>
            <a:t>00</a:t>
          </a:r>
        </a:p>
        <a:p>
          <a:pPr algn="ctr">
            <a:lnSpc>
              <a:spcPts val="1700"/>
            </a:lnSpc>
          </a:pPr>
          <a:r>
            <a:rPr kumimoji="1" lang="ja-JP" altLang="en-US" sz="1600" b="1">
              <a:solidFill>
                <a:schemeClr val="tx1"/>
              </a:solidFill>
            </a:rPr>
            <a:t>利用者の安全確保のため、電気柵をし完全施錠しております。</a:t>
          </a:r>
          <a:endParaRPr kumimoji="1" lang="en-US" altLang="ja-JP" sz="1600" b="1">
            <a:solidFill>
              <a:schemeClr val="tx1"/>
            </a:solidFill>
          </a:endParaRPr>
        </a:p>
        <a:p>
          <a:pPr algn="ctr">
            <a:lnSpc>
              <a:spcPts val="1700"/>
            </a:lnSpc>
          </a:pPr>
          <a:r>
            <a:rPr kumimoji="1" lang="ja-JP" altLang="en-US" sz="1600" b="1">
              <a:solidFill>
                <a:schemeClr val="tx1"/>
              </a:solidFill>
            </a:rPr>
            <a:t>上記の時間は、車両や人の出入りはできません。</a:t>
          </a:r>
          <a:endParaRPr kumimoji="1" lang="en-US" altLang="ja-JP" sz="1600" b="1">
            <a:solidFill>
              <a:schemeClr val="tx1"/>
            </a:solidFill>
          </a:endParaRPr>
        </a:p>
        <a:p>
          <a:pPr algn="ctr">
            <a:lnSpc>
              <a:spcPts val="1700"/>
            </a:lnSpc>
          </a:pPr>
          <a:r>
            <a:rPr kumimoji="1" lang="en-US" altLang="ja-JP" sz="1600" b="1">
              <a:solidFill>
                <a:schemeClr val="tx1"/>
              </a:solidFill>
            </a:rPr>
            <a:t>※</a:t>
          </a:r>
          <a:r>
            <a:rPr kumimoji="1" lang="ja-JP" altLang="en-US" sz="1600" b="1">
              <a:solidFill>
                <a:schemeClr val="tx1"/>
              </a:solidFill>
            </a:rPr>
            <a:t>緊急時を除く。</a:t>
          </a:r>
        </a:p>
      </xdr:txBody>
    </xdr:sp>
    <xdr:clientData/>
  </xdr:twoCellAnchor>
  <xdr:twoCellAnchor>
    <xdr:from>
      <xdr:col>28</xdr:col>
      <xdr:colOff>721179</xdr:colOff>
      <xdr:row>84</xdr:row>
      <xdr:rowOff>54429</xdr:rowOff>
    </xdr:from>
    <xdr:to>
      <xdr:col>31</xdr:col>
      <xdr:colOff>720931</xdr:colOff>
      <xdr:row>87</xdr:row>
      <xdr:rowOff>108858</xdr:rowOff>
    </xdr:to>
    <xdr:sp macro="" textlink="">
      <xdr:nvSpPr>
        <xdr:cNvPr id="8" name="テキスト ボックス 7">
          <a:extLst>
            <a:ext uri="{FF2B5EF4-FFF2-40B4-BE49-F238E27FC236}">
              <a16:creationId xmlns:a16="http://schemas.microsoft.com/office/drawing/2014/main" id="{EABCCC10-39EC-4E8D-8B7F-AA7CCE4535E7}"/>
            </a:ext>
          </a:extLst>
        </xdr:cNvPr>
        <xdr:cNvSpPr txBox="1"/>
      </xdr:nvSpPr>
      <xdr:spPr>
        <a:xfrm>
          <a:off x="20533179" y="17539608"/>
          <a:ext cx="2285752" cy="666750"/>
        </a:xfrm>
        <a:prstGeom prst="rect">
          <a:avLst/>
        </a:prstGeom>
        <a:solidFill>
          <a:schemeClr val="bg1"/>
        </a:solidFill>
        <a:ln w="28575" cmpd="sng">
          <a:solidFill>
            <a:schemeClr val="tx1"/>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lnSpc>
              <a:spcPts val="1700"/>
            </a:lnSpc>
          </a:pPr>
          <a:endParaRPr kumimoji="1" lang="en-US" altLang="ja-JP" sz="1800" b="1">
            <a:solidFill>
              <a:schemeClr val="tx1"/>
            </a:solidFill>
          </a:endParaRPr>
        </a:p>
        <a:p>
          <a:pPr algn="ctr">
            <a:lnSpc>
              <a:spcPts val="1700"/>
            </a:lnSpc>
          </a:pPr>
          <a:r>
            <a:rPr kumimoji="1" lang="ja-JP" altLang="en-US" sz="1400" b="1">
              <a:solidFill>
                <a:schemeClr val="tx1"/>
              </a:solidFill>
            </a:rPr>
            <a:t>玄関施錠　</a:t>
          </a:r>
          <a:r>
            <a:rPr kumimoji="1" lang="en-US" altLang="ja-JP" sz="1400" b="1">
              <a:solidFill>
                <a:schemeClr val="tx1"/>
              </a:solidFill>
            </a:rPr>
            <a:t>22</a:t>
          </a:r>
          <a:r>
            <a:rPr kumimoji="1" lang="ja-JP" altLang="en-US" sz="1400" b="1">
              <a:solidFill>
                <a:schemeClr val="tx1"/>
              </a:solidFill>
            </a:rPr>
            <a:t>：</a:t>
          </a:r>
          <a:r>
            <a:rPr kumimoji="1" lang="en-US" altLang="ja-JP" sz="1400" b="1">
              <a:solidFill>
                <a:schemeClr val="tx1"/>
              </a:solidFill>
            </a:rPr>
            <a:t>00</a:t>
          </a:r>
          <a:endParaRPr kumimoji="1" lang="ja-JP" altLang="en-US" sz="1200" b="1">
            <a:solidFill>
              <a:schemeClr val="tx1"/>
            </a:solidFill>
          </a:endParaRPr>
        </a:p>
      </xdr:txBody>
    </xdr:sp>
    <xdr:clientData/>
  </xdr:twoCellAnchor>
  <xdr:twoCellAnchor>
    <xdr:from>
      <xdr:col>28</xdr:col>
      <xdr:colOff>557893</xdr:colOff>
      <xdr:row>20</xdr:row>
      <xdr:rowOff>81643</xdr:rowOff>
    </xdr:from>
    <xdr:to>
      <xdr:col>31</xdr:col>
      <xdr:colOff>557645</xdr:colOff>
      <xdr:row>23</xdr:row>
      <xdr:rowOff>136071</xdr:rowOff>
    </xdr:to>
    <xdr:sp macro="" textlink="">
      <xdr:nvSpPr>
        <xdr:cNvPr id="9" name="テキスト ボックス 8">
          <a:extLst>
            <a:ext uri="{FF2B5EF4-FFF2-40B4-BE49-F238E27FC236}">
              <a16:creationId xmlns:a16="http://schemas.microsoft.com/office/drawing/2014/main" id="{55E54612-E637-4CCC-BDBB-6359A92C072A}"/>
            </a:ext>
          </a:extLst>
        </xdr:cNvPr>
        <xdr:cNvSpPr txBox="1"/>
      </xdr:nvSpPr>
      <xdr:spPr>
        <a:xfrm>
          <a:off x="20369893" y="4503964"/>
          <a:ext cx="2285752" cy="666750"/>
        </a:xfrm>
        <a:prstGeom prst="rect">
          <a:avLst/>
        </a:prstGeom>
        <a:solidFill>
          <a:schemeClr val="bg1"/>
        </a:solidFill>
        <a:ln w="28575" cmpd="sng">
          <a:solidFill>
            <a:schemeClr val="tx1"/>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lnSpc>
              <a:spcPts val="1700"/>
            </a:lnSpc>
          </a:pPr>
          <a:endParaRPr kumimoji="1" lang="en-US" altLang="ja-JP" sz="1800" b="1">
            <a:solidFill>
              <a:schemeClr val="tx1"/>
            </a:solidFill>
          </a:endParaRPr>
        </a:p>
        <a:p>
          <a:pPr algn="ctr">
            <a:lnSpc>
              <a:spcPts val="1700"/>
            </a:lnSpc>
          </a:pPr>
          <a:r>
            <a:rPr kumimoji="1" lang="ja-JP" altLang="en-US" sz="1400" b="1">
              <a:solidFill>
                <a:schemeClr val="tx1"/>
              </a:solidFill>
            </a:rPr>
            <a:t>玄関開錠　</a:t>
          </a:r>
          <a:r>
            <a:rPr kumimoji="1" lang="en-US" altLang="ja-JP" sz="1400" b="1">
              <a:solidFill>
                <a:schemeClr val="tx1"/>
              </a:solidFill>
            </a:rPr>
            <a:t>6</a:t>
          </a:r>
          <a:r>
            <a:rPr kumimoji="1" lang="ja-JP" altLang="en-US" sz="1400" b="1">
              <a:solidFill>
                <a:schemeClr val="tx1"/>
              </a:solidFill>
            </a:rPr>
            <a:t>：</a:t>
          </a:r>
          <a:r>
            <a:rPr kumimoji="1" lang="en-US" altLang="ja-JP" sz="1400" b="1">
              <a:solidFill>
                <a:schemeClr val="tx1"/>
              </a:solidFill>
            </a:rPr>
            <a:t>00</a:t>
          </a:r>
          <a:endParaRPr kumimoji="1" lang="ja-JP" altLang="en-US" sz="1200" b="1">
            <a:solidFill>
              <a:schemeClr val="tx1"/>
            </a:solidFill>
          </a:endParaRPr>
        </a:p>
      </xdr:txBody>
    </xdr:sp>
    <xdr:clientData/>
  </xdr:twoCellAnchor>
  <xdr:twoCellAnchor>
    <xdr:from>
      <xdr:col>26</xdr:col>
      <xdr:colOff>190500</xdr:colOff>
      <xdr:row>64</xdr:row>
      <xdr:rowOff>149678</xdr:rowOff>
    </xdr:from>
    <xdr:to>
      <xdr:col>31</xdr:col>
      <xdr:colOff>693963</xdr:colOff>
      <xdr:row>68</xdr:row>
      <xdr:rowOff>95250</xdr:rowOff>
    </xdr:to>
    <xdr:sp macro="" textlink="">
      <xdr:nvSpPr>
        <xdr:cNvPr id="10" name="テキスト ボックス 9">
          <a:extLst>
            <a:ext uri="{FF2B5EF4-FFF2-40B4-BE49-F238E27FC236}">
              <a16:creationId xmlns:a16="http://schemas.microsoft.com/office/drawing/2014/main" id="{90E92D1F-EE86-4EFF-96AF-2C90F0632E6E}"/>
            </a:ext>
          </a:extLst>
        </xdr:cNvPr>
        <xdr:cNvSpPr txBox="1"/>
      </xdr:nvSpPr>
      <xdr:spPr>
        <a:xfrm>
          <a:off x="18478500" y="13552714"/>
          <a:ext cx="4313463" cy="762000"/>
        </a:xfrm>
        <a:prstGeom prst="rect">
          <a:avLst/>
        </a:prstGeom>
        <a:solidFill>
          <a:schemeClr val="bg1"/>
        </a:solidFill>
        <a:ln w="28575" cmpd="sng">
          <a:solidFill>
            <a:schemeClr val="tx1"/>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lnSpc>
              <a:spcPts val="1700"/>
            </a:lnSpc>
          </a:pPr>
          <a:r>
            <a:rPr kumimoji="1" lang="ja-JP" altLang="en-US" sz="1400" b="1">
              <a:solidFill>
                <a:schemeClr val="tx1"/>
              </a:solidFill>
            </a:rPr>
            <a:t>宿泊団体は、夜間打ち合わせを行います。</a:t>
          </a:r>
          <a:endParaRPr kumimoji="1" lang="en-US" altLang="ja-JP" sz="1400" b="1">
            <a:solidFill>
              <a:schemeClr val="tx1"/>
            </a:solidFill>
          </a:endParaRPr>
        </a:p>
        <a:p>
          <a:pPr algn="ctr">
            <a:lnSpc>
              <a:spcPts val="1700"/>
            </a:lnSpc>
          </a:pPr>
          <a:r>
            <a:rPr kumimoji="1" lang="ja-JP" altLang="en-US" sz="1400" b="1">
              <a:solidFill>
                <a:schemeClr val="tx1"/>
              </a:solidFill>
            </a:rPr>
            <a:t>代表者の方は、</a:t>
          </a:r>
          <a:r>
            <a:rPr kumimoji="1" lang="en-US" altLang="ja-JP" sz="1600" b="1">
              <a:solidFill>
                <a:schemeClr val="tx1"/>
              </a:solidFill>
            </a:rPr>
            <a:t>17</a:t>
          </a:r>
          <a:r>
            <a:rPr kumimoji="1" lang="ja-JP" altLang="en-US" sz="1600" b="1">
              <a:solidFill>
                <a:schemeClr val="tx1"/>
              </a:solidFill>
            </a:rPr>
            <a:t>：</a:t>
          </a:r>
          <a:r>
            <a:rPr kumimoji="1" lang="en-US" altLang="ja-JP" sz="1600" b="1">
              <a:solidFill>
                <a:schemeClr val="tx1"/>
              </a:solidFill>
            </a:rPr>
            <a:t>00</a:t>
          </a:r>
          <a:r>
            <a:rPr kumimoji="1" lang="ja-JP" altLang="en-US" sz="1600" b="1">
              <a:solidFill>
                <a:schemeClr val="tx1"/>
              </a:solidFill>
            </a:rPr>
            <a:t>～</a:t>
          </a:r>
          <a:r>
            <a:rPr kumimoji="1" lang="en-US" altLang="ja-JP" sz="1600" b="1">
              <a:solidFill>
                <a:schemeClr val="tx1"/>
              </a:solidFill>
            </a:rPr>
            <a:t>18</a:t>
          </a:r>
          <a:r>
            <a:rPr kumimoji="1" lang="ja-JP" altLang="en-US" sz="1600" b="1">
              <a:solidFill>
                <a:schemeClr val="tx1"/>
              </a:solidFill>
            </a:rPr>
            <a:t>：</a:t>
          </a:r>
          <a:r>
            <a:rPr kumimoji="1" lang="en-US" altLang="ja-JP" sz="1600" b="1">
              <a:solidFill>
                <a:schemeClr val="tx1"/>
              </a:solidFill>
            </a:rPr>
            <a:t>00</a:t>
          </a:r>
          <a:r>
            <a:rPr kumimoji="1" lang="ja-JP" altLang="en-US" sz="1600" b="1">
              <a:solidFill>
                <a:schemeClr val="tx1"/>
              </a:solidFill>
            </a:rPr>
            <a:t>事務室まで</a:t>
          </a:r>
          <a:endParaRPr kumimoji="1" lang="en-US" altLang="ja-JP" sz="1600" b="1">
            <a:solidFill>
              <a:schemeClr val="tx1"/>
            </a:solidFill>
          </a:endParaRPr>
        </a:p>
        <a:p>
          <a:pPr algn="ctr">
            <a:lnSpc>
              <a:spcPts val="1700"/>
            </a:lnSpc>
          </a:pPr>
          <a:r>
            <a:rPr kumimoji="1" lang="ja-JP" altLang="en-US" sz="1600" b="1">
              <a:solidFill>
                <a:schemeClr val="tx1"/>
              </a:solidFill>
            </a:rPr>
            <a:t>お越しください。</a:t>
          </a:r>
          <a:endParaRPr kumimoji="1" lang="ja-JP" altLang="en-US" sz="1400" b="1">
            <a:solidFill>
              <a:schemeClr val="tx1"/>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49</xdr:col>
      <xdr:colOff>219075</xdr:colOff>
      <xdr:row>0</xdr:row>
      <xdr:rowOff>19050</xdr:rowOff>
    </xdr:from>
    <xdr:to>
      <xdr:col>52</xdr:col>
      <xdr:colOff>9525</xdr:colOff>
      <xdr:row>0</xdr:row>
      <xdr:rowOff>278823</xdr:rowOff>
    </xdr:to>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13754100" y="19050"/>
          <a:ext cx="619125" cy="259773"/>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kumimoji="1" lang="ja-JP" altLang="en-US" sz="900" b="1" baseline="0">
              <a:solidFill>
                <a:srgbClr val="FF0000"/>
              </a:solidFill>
              <a:latin typeface="BIZ UDPゴシック" panose="020B0400000000000000" pitchFamily="50" charset="-128"/>
              <a:ea typeface="BIZ UDPゴシック" panose="020B0400000000000000" pitchFamily="50" charset="-128"/>
            </a:rPr>
            <a:t>記入例</a:t>
          </a:r>
        </a:p>
      </xdr:txBody>
    </xdr:sp>
    <xdr:clientData/>
  </xdr:twoCellAnchor>
  <mc:AlternateContent xmlns:mc="http://schemas.openxmlformats.org/markup-compatibility/2006">
    <mc:Choice xmlns:a14="http://schemas.microsoft.com/office/drawing/2010/main" Requires="a14">
      <xdr:twoCellAnchor>
        <xdr:from>
          <xdr:col>5</xdr:col>
          <xdr:colOff>104775</xdr:colOff>
          <xdr:row>3</xdr:row>
          <xdr:rowOff>57150</xdr:rowOff>
        </xdr:from>
        <xdr:to>
          <xdr:col>6</xdr:col>
          <xdr:colOff>133350</xdr:colOff>
          <xdr:row>3</xdr:row>
          <xdr:rowOff>104775</xdr:rowOff>
        </xdr:to>
        <xdr:sp macro="" textlink="">
          <xdr:nvSpPr>
            <xdr:cNvPr id="16385" name="Check Box 1" hidden="1">
              <a:extLst>
                <a:ext uri="{63B3BB69-23CF-44E3-9099-C40C66FF867C}">
                  <a14:compatExt spid="_x0000_s16385"/>
                </a:ext>
                <a:ext uri="{FF2B5EF4-FFF2-40B4-BE49-F238E27FC236}">
                  <a16:creationId xmlns:a16="http://schemas.microsoft.com/office/drawing/2014/main" id="{00000000-0008-0000-0300-00000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38100</xdr:colOff>
          <xdr:row>19</xdr:row>
          <xdr:rowOff>0</xdr:rowOff>
        </xdr:from>
        <xdr:to>
          <xdr:col>8</xdr:col>
          <xdr:colOff>66675</xdr:colOff>
          <xdr:row>20</xdr:row>
          <xdr:rowOff>19050</xdr:rowOff>
        </xdr:to>
        <xdr:sp macro="" textlink="">
          <xdr:nvSpPr>
            <xdr:cNvPr id="16386" name="Check Box 2" hidden="1">
              <a:extLst>
                <a:ext uri="{63B3BB69-23CF-44E3-9099-C40C66FF867C}">
                  <a14:compatExt spid="_x0000_s16386"/>
                </a:ext>
                <a:ext uri="{FF2B5EF4-FFF2-40B4-BE49-F238E27FC236}">
                  <a16:creationId xmlns:a16="http://schemas.microsoft.com/office/drawing/2014/main" id="{00000000-0008-0000-0300-00000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47625</xdr:colOff>
          <xdr:row>19</xdr:row>
          <xdr:rowOff>0</xdr:rowOff>
        </xdr:from>
        <xdr:to>
          <xdr:col>5</xdr:col>
          <xdr:colOff>76200</xdr:colOff>
          <xdr:row>20</xdr:row>
          <xdr:rowOff>19050</xdr:rowOff>
        </xdr:to>
        <xdr:sp macro="" textlink="">
          <xdr:nvSpPr>
            <xdr:cNvPr id="16387" name="Check Box 3" hidden="1">
              <a:extLst>
                <a:ext uri="{63B3BB69-23CF-44E3-9099-C40C66FF867C}">
                  <a14:compatExt spid="_x0000_s16387"/>
                </a:ext>
                <a:ext uri="{FF2B5EF4-FFF2-40B4-BE49-F238E27FC236}">
                  <a16:creationId xmlns:a16="http://schemas.microsoft.com/office/drawing/2014/main" id="{00000000-0008-0000-0300-00000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26</xdr:col>
          <xdr:colOff>0</xdr:colOff>
          <xdr:row>15</xdr:row>
          <xdr:rowOff>142875</xdr:rowOff>
        </xdr:from>
        <xdr:to>
          <xdr:col>26</xdr:col>
          <xdr:colOff>0</xdr:colOff>
          <xdr:row>17</xdr:row>
          <xdr:rowOff>19050</xdr:rowOff>
        </xdr:to>
        <xdr:sp macro="" textlink="">
          <xdr:nvSpPr>
            <xdr:cNvPr id="16388" name="Check Box 4" hidden="1">
              <a:extLst>
                <a:ext uri="{63B3BB69-23CF-44E3-9099-C40C66FF867C}">
                  <a14:compatExt spid="_x0000_s16388"/>
                </a:ext>
                <a:ext uri="{FF2B5EF4-FFF2-40B4-BE49-F238E27FC236}">
                  <a16:creationId xmlns:a16="http://schemas.microsoft.com/office/drawing/2014/main" id="{00000000-0008-0000-0300-00000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26</xdr:col>
          <xdr:colOff>0</xdr:colOff>
          <xdr:row>16</xdr:row>
          <xdr:rowOff>142875</xdr:rowOff>
        </xdr:from>
        <xdr:to>
          <xdr:col>26</xdr:col>
          <xdr:colOff>0</xdr:colOff>
          <xdr:row>18</xdr:row>
          <xdr:rowOff>19050</xdr:rowOff>
        </xdr:to>
        <xdr:sp macro="" textlink="">
          <xdr:nvSpPr>
            <xdr:cNvPr id="16389" name="Check Box 5" hidden="1">
              <a:extLst>
                <a:ext uri="{63B3BB69-23CF-44E3-9099-C40C66FF867C}">
                  <a14:compatExt spid="_x0000_s16389"/>
                </a:ext>
                <a:ext uri="{FF2B5EF4-FFF2-40B4-BE49-F238E27FC236}">
                  <a16:creationId xmlns:a16="http://schemas.microsoft.com/office/drawing/2014/main" id="{00000000-0008-0000-0300-000005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26</xdr:col>
          <xdr:colOff>0</xdr:colOff>
          <xdr:row>17</xdr:row>
          <xdr:rowOff>142875</xdr:rowOff>
        </xdr:from>
        <xdr:to>
          <xdr:col>26</xdr:col>
          <xdr:colOff>0</xdr:colOff>
          <xdr:row>19</xdr:row>
          <xdr:rowOff>0</xdr:rowOff>
        </xdr:to>
        <xdr:sp macro="" textlink="">
          <xdr:nvSpPr>
            <xdr:cNvPr id="16390" name="Check Box 6" hidden="1">
              <a:extLst>
                <a:ext uri="{63B3BB69-23CF-44E3-9099-C40C66FF867C}">
                  <a14:compatExt spid="_x0000_s16390"/>
                </a:ext>
                <a:ext uri="{FF2B5EF4-FFF2-40B4-BE49-F238E27FC236}">
                  <a16:creationId xmlns:a16="http://schemas.microsoft.com/office/drawing/2014/main" id="{00000000-0008-0000-0300-000006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26</xdr:col>
          <xdr:colOff>0</xdr:colOff>
          <xdr:row>18</xdr:row>
          <xdr:rowOff>142875</xdr:rowOff>
        </xdr:from>
        <xdr:to>
          <xdr:col>26</xdr:col>
          <xdr:colOff>0</xdr:colOff>
          <xdr:row>19</xdr:row>
          <xdr:rowOff>0</xdr:rowOff>
        </xdr:to>
        <xdr:sp macro="" textlink="">
          <xdr:nvSpPr>
            <xdr:cNvPr id="16391" name="Check Box 7" hidden="1">
              <a:extLst>
                <a:ext uri="{63B3BB69-23CF-44E3-9099-C40C66FF867C}">
                  <a14:compatExt spid="_x0000_s16391"/>
                </a:ext>
                <a:ext uri="{FF2B5EF4-FFF2-40B4-BE49-F238E27FC236}">
                  <a16:creationId xmlns:a16="http://schemas.microsoft.com/office/drawing/2014/main" id="{00000000-0008-0000-0300-000007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26</xdr:col>
          <xdr:colOff>0</xdr:colOff>
          <xdr:row>19</xdr:row>
          <xdr:rowOff>0</xdr:rowOff>
        </xdr:from>
        <xdr:to>
          <xdr:col>26</xdr:col>
          <xdr:colOff>0</xdr:colOff>
          <xdr:row>19</xdr:row>
          <xdr:rowOff>0</xdr:rowOff>
        </xdr:to>
        <xdr:sp macro="" textlink="">
          <xdr:nvSpPr>
            <xdr:cNvPr id="16392" name="Check Box 8" hidden="1">
              <a:extLst>
                <a:ext uri="{63B3BB69-23CF-44E3-9099-C40C66FF867C}">
                  <a14:compatExt spid="_x0000_s16392"/>
                </a:ext>
                <a:ext uri="{FF2B5EF4-FFF2-40B4-BE49-F238E27FC236}">
                  <a16:creationId xmlns:a16="http://schemas.microsoft.com/office/drawing/2014/main" id="{00000000-0008-0000-0300-000008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26</xdr:col>
          <xdr:colOff>0</xdr:colOff>
          <xdr:row>19</xdr:row>
          <xdr:rowOff>0</xdr:rowOff>
        </xdr:from>
        <xdr:to>
          <xdr:col>26</xdr:col>
          <xdr:colOff>0</xdr:colOff>
          <xdr:row>19</xdr:row>
          <xdr:rowOff>19050</xdr:rowOff>
        </xdr:to>
        <xdr:sp macro="" textlink="">
          <xdr:nvSpPr>
            <xdr:cNvPr id="16393" name="Check Box 9" hidden="1">
              <a:extLst>
                <a:ext uri="{63B3BB69-23CF-44E3-9099-C40C66FF867C}">
                  <a14:compatExt spid="_x0000_s16393"/>
                </a:ext>
                <a:ext uri="{FF2B5EF4-FFF2-40B4-BE49-F238E27FC236}">
                  <a16:creationId xmlns:a16="http://schemas.microsoft.com/office/drawing/2014/main" id="{00000000-0008-0000-0300-000009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26</xdr:col>
          <xdr:colOff>0</xdr:colOff>
          <xdr:row>19</xdr:row>
          <xdr:rowOff>0</xdr:rowOff>
        </xdr:from>
        <xdr:to>
          <xdr:col>26</xdr:col>
          <xdr:colOff>0</xdr:colOff>
          <xdr:row>20</xdr:row>
          <xdr:rowOff>9525</xdr:rowOff>
        </xdr:to>
        <xdr:sp macro="" textlink="">
          <xdr:nvSpPr>
            <xdr:cNvPr id="16394" name="Check Box 10" hidden="1">
              <a:extLst>
                <a:ext uri="{63B3BB69-23CF-44E3-9099-C40C66FF867C}">
                  <a14:compatExt spid="_x0000_s16394"/>
                </a:ext>
                <a:ext uri="{FF2B5EF4-FFF2-40B4-BE49-F238E27FC236}">
                  <a16:creationId xmlns:a16="http://schemas.microsoft.com/office/drawing/2014/main" id="{00000000-0008-0000-0300-00000A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26</xdr:col>
          <xdr:colOff>0</xdr:colOff>
          <xdr:row>19</xdr:row>
          <xdr:rowOff>152400</xdr:rowOff>
        </xdr:from>
        <xdr:to>
          <xdr:col>26</xdr:col>
          <xdr:colOff>0</xdr:colOff>
          <xdr:row>21</xdr:row>
          <xdr:rowOff>19050</xdr:rowOff>
        </xdr:to>
        <xdr:sp macro="" textlink="">
          <xdr:nvSpPr>
            <xdr:cNvPr id="16395" name="Check Box 11" hidden="1">
              <a:extLst>
                <a:ext uri="{63B3BB69-23CF-44E3-9099-C40C66FF867C}">
                  <a14:compatExt spid="_x0000_s16395"/>
                </a:ext>
                <a:ext uri="{FF2B5EF4-FFF2-40B4-BE49-F238E27FC236}">
                  <a16:creationId xmlns:a16="http://schemas.microsoft.com/office/drawing/2014/main" id="{00000000-0008-0000-0300-00000B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26</xdr:col>
          <xdr:colOff>0</xdr:colOff>
          <xdr:row>20</xdr:row>
          <xdr:rowOff>142875</xdr:rowOff>
        </xdr:from>
        <xdr:to>
          <xdr:col>26</xdr:col>
          <xdr:colOff>0</xdr:colOff>
          <xdr:row>22</xdr:row>
          <xdr:rowOff>19050</xdr:rowOff>
        </xdr:to>
        <xdr:sp macro="" textlink="">
          <xdr:nvSpPr>
            <xdr:cNvPr id="16396" name="Check Box 12" hidden="1">
              <a:extLst>
                <a:ext uri="{63B3BB69-23CF-44E3-9099-C40C66FF867C}">
                  <a14:compatExt spid="_x0000_s16396"/>
                </a:ext>
                <a:ext uri="{FF2B5EF4-FFF2-40B4-BE49-F238E27FC236}">
                  <a16:creationId xmlns:a16="http://schemas.microsoft.com/office/drawing/2014/main" id="{00000000-0008-0000-0300-00000C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26</xdr:col>
          <xdr:colOff>0</xdr:colOff>
          <xdr:row>21</xdr:row>
          <xdr:rowOff>142875</xdr:rowOff>
        </xdr:from>
        <xdr:to>
          <xdr:col>26</xdr:col>
          <xdr:colOff>0</xdr:colOff>
          <xdr:row>23</xdr:row>
          <xdr:rowOff>19050</xdr:rowOff>
        </xdr:to>
        <xdr:sp macro="" textlink="">
          <xdr:nvSpPr>
            <xdr:cNvPr id="16397" name="Check Box 13" hidden="1">
              <a:extLst>
                <a:ext uri="{63B3BB69-23CF-44E3-9099-C40C66FF867C}">
                  <a14:compatExt spid="_x0000_s16397"/>
                </a:ext>
                <a:ext uri="{FF2B5EF4-FFF2-40B4-BE49-F238E27FC236}">
                  <a16:creationId xmlns:a16="http://schemas.microsoft.com/office/drawing/2014/main" id="{00000000-0008-0000-0300-00000D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26</xdr:col>
          <xdr:colOff>0</xdr:colOff>
          <xdr:row>22</xdr:row>
          <xdr:rowOff>142875</xdr:rowOff>
        </xdr:from>
        <xdr:to>
          <xdr:col>26</xdr:col>
          <xdr:colOff>0</xdr:colOff>
          <xdr:row>25</xdr:row>
          <xdr:rowOff>0</xdr:rowOff>
        </xdr:to>
        <xdr:sp macro="" textlink="">
          <xdr:nvSpPr>
            <xdr:cNvPr id="16398" name="Check Box 14" hidden="1">
              <a:extLst>
                <a:ext uri="{63B3BB69-23CF-44E3-9099-C40C66FF867C}">
                  <a14:compatExt spid="_x0000_s16398"/>
                </a:ext>
                <a:ext uri="{FF2B5EF4-FFF2-40B4-BE49-F238E27FC236}">
                  <a16:creationId xmlns:a16="http://schemas.microsoft.com/office/drawing/2014/main" id="{00000000-0008-0000-0300-00000E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26</xdr:col>
          <xdr:colOff>0</xdr:colOff>
          <xdr:row>23</xdr:row>
          <xdr:rowOff>142875</xdr:rowOff>
        </xdr:from>
        <xdr:to>
          <xdr:col>26</xdr:col>
          <xdr:colOff>0</xdr:colOff>
          <xdr:row>25</xdr:row>
          <xdr:rowOff>0</xdr:rowOff>
        </xdr:to>
        <xdr:sp macro="" textlink="">
          <xdr:nvSpPr>
            <xdr:cNvPr id="16399" name="Check Box 15" hidden="1">
              <a:extLst>
                <a:ext uri="{63B3BB69-23CF-44E3-9099-C40C66FF867C}">
                  <a14:compatExt spid="_x0000_s16399"/>
                </a:ext>
                <a:ext uri="{FF2B5EF4-FFF2-40B4-BE49-F238E27FC236}">
                  <a16:creationId xmlns:a16="http://schemas.microsoft.com/office/drawing/2014/main" id="{00000000-0008-0000-0300-00000F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26</xdr:col>
          <xdr:colOff>0</xdr:colOff>
          <xdr:row>25</xdr:row>
          <xdr:rowOff>0</xdr:rowOff>
        </xdr:from>
        <xdr:to>
          <xdr:col>26</xdr:col>
          <xdr:colOff>0</xdr:colOff>
          <xdr:row>25</xdr:row>
          <xdr:rowOff>0</xdr:rowOff>
        </xdr:to>
        <xdr:sp macro="" textlink="">
          <xdr:nvSpPr>
            <xdr:cNvPr id="16401" name="Check Box 17" hidden="1">
              <a:extLst>
                <a:ext uri="{63B3BB69-23CF-44E3-9099-C40C66FF867C}">
                  <a14:compatExt spid="_x0000_s16401"/>
                </a:ext>
                <a:ext uri="{FF2B5EF4-FFF2-40B4-BE49-F238E27FC236}">
                  <a16:creationId xmlns:a16="http://schemas.microsoft.com/office/drawing/2014/main" id="{00000000-0008-0000-0300-00001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26</xdr:col>
          <xdr:colOff>0</xdr:colOff>
          <xdr:row>25</xdr:row>
          <xdr:rowOff>0</xdr:rowOff>
        </xdr:from>
        <xdr:to>
          <xdr:col>26</xdr:col>
          <xdr:colOff>0</xdr:colOff>
          <xdr:row>25</xdr:row>
          <xdr:rowOff>0</xdr:rowOff>
        </xdr:to>
        <xdr:sp macro="" textlink="">
          <xdr:nvSpPr>
            <xdr:cNvPr id="16402" name="Check Box 18" hidden="1">
              <a:extLst>
                <a:ext uri="{63B3BB69-23CF-44E3-9099-C40C66FF867C}">
                  <a14:compatExt spid="_x0000_s16402"/>
                </a:ext>
                <a:ext uri="{FF2B5EF4-FFF2-40B4-BE49-F238E27FC236}">
                  <a16:creationId xmlns:a16="http://schemas.microsoft.com/office/drawing/2014/main" id="{00000000-0008-0000-0300-00001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26</xdr:col>
          <xdr:colOff>0</xdr:colOff>
          <xdr:row>15</xdr:row>
          <xdr:rowOff>142875</xdr:rowOff>
        </xdr:from>
        <xdr:to>
          <xdr:col>26</xdr:col>
          <xdr:colOff>0</xdr:colOff>
          <xdr:row>17</xdr:row>
          <xdr:rowOff>19050</xdr:rowOff>
        </xdr:to>
        <xdr:sp macro="" textlink="">
          <xdr:nvSpPr>
            <xdr:cNvPr id="16403" name="Check Box 19" hidden="1">
              <a:extLst>
                <a:ext uri="{63B3BB69-23CF-44E3-9099-C40C66FF867C}">
                  <a14:compatExt spid="_x0000_s16403"/>
                </a:ext>
                <a:ext uri="{FF2B5EF4-FFF2-40B4-BE49-F238E27FC236}">
                  <a16:creationId xmlns:a16="http://schemas.microsoft.com/office/drawing/2014/main" id="{00000000-0008-0000-0300-00001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26</xdr:col>
          <xdr:colOff>0</xdr:colOff>
          <xdr:row>16</xdr:row>
          <xdr:rowOff>142875</xdr:rowOff>
        </xdr:from>
        <xdr:to>
          <xdr:col>26</xdr:col>
          <xdr:colOff>0</xdr:colOff>
          <xdr:row>18</xdr:row>
          <xdr:rowOff>19050</xdr:rowOff>
        </xdr:to>
        <xdr:sp macro="" textlink="">
          <xdr:nvSpPr>
            <xdr:cNvPr id="16404" name="Check Box 20" hidden="1">
              <a:extLst>
                <a:ext uri="{63B3BB69-23CF-44E3-9099-C40C66FF867C}">
                  <a14:compatExt spid="_x0000_s16404"/>
                </a:ext>
                <a:ext uri="{FF2B5EF4-FFF2-40B4-BE49-F238E27FC236}">
                  <a16:creationId xmlns:a16="http://schemas.microsoft.com/office/drawing/2014/main" id="{00000000-0008-0000-0300-00001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26</xdr:col>
          <xdr:colOff>0</xdr:colOff>
          <xdr:row>17</xdr:row>
          <xdr:rowOff>142875</xdr:rowOff>
        </xdr:from>
        <xdr:to>
          <xdr:col>26</xdr:col>
          <xdr:colOff>0</xdr:colOff>
          <xdr:row>19</xdr:row>
          <xdr:rowOff>0</xdr:rowOff>
        </xdr:to>
        <xdr:sp macro="" textlink="">
          <xdr:nvSpPr>
            <xdr:cNvPr id="16405" name="Check Box 21" hidden="1">
              <a:extLst>
                <a:ext uri="{63B3BB69-23CF-44E3-9099-C40C66FF867C}">
                  <a14:compatExt spid="_x0000_s16405"/>
                </a:ext>
                <a:ext uri="{FF2B5EF4-FFF2-40B4-BE49-F238E27FC236}">
                  <a16:creationId xmlns:a16="http://schemas.microsoft.com/office/drawing/2014/main" id="{00000000-0008-0000-0300-000015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26</xdr:col>
          <xdr:colOff>0</xdr:colOff>
          <xdr:row>18</xdr:row>
          <xdr:rowOff>142875</xdr:rowOff>
        </xdr:from>
        <xdr:to>
          <xdr:col>26</xdr:col>
          <xdr:colOff>0</xdr:colOff>
          <xdr:row>19</xdr:row>
          <xdr:rowOff>0</xdr:rowOff>
        </xdr:to>
        <xdr:sp macro="" textlink="">
          <xdr:nvSpPr>
            <xdr:cNvPr id="16406" name="Check Box 22" hidden="1">
              <a:extLst>
                <a:ext uri="{63B3BB69-23CF-44E3-9099-C40C66FF867C}">
                  <a14:compatExt spid="_x0000_s16406"/>
                </a:ext>
                <a:ext uri="{FF2B5EF4-FFF2-40B4-BE49-F238E27FC236}">
                  <a16:creationId xmlns:a16="http://schemas.microsoft.com/office/drawing/2014/main" id="{00000000-0008-0000-0300-000016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26</xdr:col>
          <xdr:colOff>0</xdr:colOff>
          <xdr:row>19</xdr:row>
          <xdr:rowOff>0</xdr:rowOff>
        </xdr:from>
        <xdr:to>
          <xdr:col>26</xdr:col>
          <xdr:colOff>0</xdr:colOff>
          <xdr:row>19</xdr:row>
          <xdr:rowOff>0</xdr:rowOff>
        </xdr:to>
        <xdr:sp macro="" textlink="">
          <xdr:nvSpPr>
            <xdr:cNvPr id="16407" name="Check Box 23" hidden="1">
              <a:extLst>
                <a:ext uri="{63B3BB69-23CF-44E3-9099-C40C66FF867C}">
                  <a14:compatExt spid="_x0000_s16407"/>
                </a:ext>
                <a:ext uri="{FF2B5EF4-FFF2-40B4-BE49-F238E27FC236}">
                  <a16:creationId xmlns:a16="http://schemas.microsoft.com/office/drawing/2014/main" id="{00000000-0008-0000-0300-000017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26</xdr:col>
          <xdr:colOff>0</xdr:colOff>
          <xdr:row>19</xdr:row>
          <xdr:rowOff>0</xdr:rowOff>
        </xdr:from>
        <xdr:to>
          <xdr:col>26</xdr:col>
          <xdr:colOff>0</xdr:colOff>
          <xdr:row>19</xdr:row>
          <xdr:rowOff>19050</xdr:rowOff>
        </xdr:to>
        <xdr:sp macro="" textlink="">
          <xdr:nvSpPr>
            <xdr:cNvPr id="16408" name="Check Box 24" hidden="1">
              <a:extLst>
                <a:ext uri="{63B3BB69-23CF-44E3-9099-C40C66FF867C}">
                  <a14:compatExt spid="_x0000_s16408"/>
                </a:ext>
                <a:ext uri="{FF2B5EF4-FFF2-40B4-BE49-F238E27FC236}">
                  <a16:creationId xmlns:a16="http://schemas.microsoft.com/office/drawing/2014/main" id="{00000000-0008-0000-0300-000018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26</xdr:col>
          <xdr:colOff>0</xdr:colOff>
          <xdr:row>19</xdr:row>
          <xdr:rowOff>0</xdr:rowOff>
        </xdr:from>
        <xdr:to>
          <xdr:col>26</xdr:col>
          <xdr:colOff>0</xdr:colOff>
          <xdr:row>20</xdr:row>
          <xdr:rowOff>19050</xdr:rowOff>
        </xdr:to>
        <xdr:sp macro="" textlink="">
          <xdr:nvSpPr>
            <xdr:cNvPr id="16409" name="Check Box 25" hidden="1">
              <a:extLst>
                <a:ext uri="{63B3BB69-23CF-44E3-9099-C40C66FF867C}">
                  <a14:compatExt spid="_x0000_s16409"/>
                </a:ext>
                <a:ext uri="{FF2B5EF4-FFF2-40B4-BE49-F238E27FC236}">
                  <a16:creationId xmlns:a16="http://schemas.microsoft.com/office/drawing/2014/main" id="{00000000-0008-0000-0300-000019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26</xdr:col>
          <xdr:colOff>0</xdr:colOff>
          <xdr:row>19</xdr:row>
          <xdr:rowOff>152400</xdr:rowOff>
        </xdr:from>
        <xdr:to>
          <xdr:col>26</xdr:col>
          <xdr:colOff>0</xdr:colOff>
          <xdr:row>21</xdr:row>
          <xdr:rowOff>19050</xdr:rowOff>
        </xdr:to>
        <xdr:sp macro="" textlink="">
          <xdr:nvSpPr>
            <xdr:cNvPr id="16410" name="Check Box 26" hidden="1">
              <a:extLst>
                <a:ext uri="{63B3BB69-23CF-44E3-9099-C40C66FF867C}">
                  <a14:compatExt spid="_x0000_s16410"/>
                </a:ext>
                <a:ext uri="{FF2B5EF4-FFF2-40B4-BE49-F238E27FC236}">
                  <a16:creationId xmlns:a16="http://schemas.microsoft.com/office/drawing/2014/main" id="{00000000-0008-0000-0300-00001A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26</xdr:col>
          <xdr:colOff>0</xdr:colOff>
          <xdr:row>20</xdr:row>
          <xdr:rowOff>142875</xdr:rowOff>
        </xdr:from>
        <xdr:to>
          <xdr:col>26</xdr:col>
          <xdr:colOff>0</xdr:colOff>
          <xdr:row>22</xdr:row>
          <xdr:rowOff>19050</xdr:rowOff>
        </xdr:to>
        <xdr:sp macro="" textlink="">
          <xdr:nvSpPr>
            <xdr:cNvPr id="16411" name="Check Box 27" hidden="1">
              <a:extLst>
                <a:ext uri="{63B3BB69-23CF-44E3-9099-C40C66FF867C}">
                  <a14:compatExt spid="_x0000_s16411"/>
                </a:ext>
                <a:ext uri="{FF2B5EF4-FFF2-40B4-BE49-F238E27FC236}">
                  <a16:creationId xmlns:a16="http://schemas.microsoft.com/office/drawing/2014/main" id="{00000000-0008-0000-0300-00001B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26</xdr:col>
          <xdr:colOff>0</xdr:colOff>
          <xdr:row>21</xdr:row>
          <xdr:rowOff>142875</xdr:rowOff>
        </xdr:from>
        <xdr:to>
          <xdr:col>26</xdr:col>
          <xdr:colOff>0</xdr:colOff>
          <xdr:row>23</xdr:row>
          <xdr:rowOff>19050</xdr:rowOff>
        </xdr:to>
        <xdr:sp macro="" textlink="">
          <xdr:nvSpPr>
            <xdr:cNvPr id="16412" name="Check Box 28" hidden="1">
              <a:extLst>
                <a:ext uri="{63B3BB69-23CF-44E3-9099-C40C66FF867C}">
                  <a14:compatExt spid="_x0000_s16412"/>
                </a:ext>
                <a:ext uri="{FF2B5EF4-FFF2-40B4-BE49-F238E27FC236}">
                  <a16:creationId xmlns:a16="http://schemas.microsoft.com/office/drawing/2014/main" id="{00000000-0008-0000-0300-00001C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26</xdr:col>
          <xdr:colOff>0</xdr:colOff>
          <xdr:row>22</xdr:row>
          <xdr:rowOff>142875</xdr:rowOff>
        </xdr:from>
        <xdr:to>
          <xdr:col>26</xdr:col>
          <xdr:colOff>0</xdr:colOff>
          <xdr:row>25</xdr:row>
          <xdr:rowOff>0</xdr:rowOff>
        </xdr:to>
        <xdr:sp macro="" textlink="">
          <xdr:nvSpPr>
            <xdr:cNvPr id="16413" name="Check Box 29" hidden="1">
              <a:extLst>
                <a:ext uri="{63B3BB69-23CF-44E3-9099-C40C66FF867C}">
                  <a14:compatExt spid="_x0000_s16413"/>
                </a:ext>
                <a:ext uri="{FF2B5EF4-FFF2-40B4-BE49-F238E27FC236}">
                  <a16:creationId xmlns:a16="http://schemas.microsoft.com/office/drawing/2014/main" id="{00000000-0008-0000-0300-00001D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26</xdr:col>
          <xdr:colOff>0</xdr:colOff>
          <xdr:row>23</xdr:row>
          <xdr:rowOff>142875</xdr:rowOff>
        </xdr:from>
        <xdr:to>
          <xdr:col>26</xdr:col>
          <xdr:colOff>0</xdr:colOff>
          <xdr:row>25</xdr:row>
          <xdr:rowOff>0</xdr:rowOff>
        </xdr:to>
        <xdr:sp macro="" textlink="">
          <xdr:nvSpPr>
            <xdr:cNvPr id="16414" name="Check Box 30" hidden="1">
              <a:extLst>
                <a:ext uri="{63B3BB69-23CF-44E3-9099-C40C66FF867C}">
                  <a14:compatExt spid="_x0000_s16414"/>
                </a:ext>
                <a:ext uri="{FF2B5EF4-FFF2-40B4-BE49-F238E27FC236}">
                  <a16:creationId xmlns:a16="http://schemas.microsoft.com/office/drawing/2014/main" id="{00000000-0008-0000-0300-00001E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26</xdr:col>
          <xdr:colOff>0</xdr:colOff>
          <xdr:row>25</xdr:row>
          <xdr:rowOff>0</xdr:rowOff>
        </xdr:from>
        <xdr:to>
          <xdr:col>26</xdr:col>
          <xdr:colOff>0</xdr:colOff>
          <xdr:row>25</xdr:row>
          <xdr:rowOff>0</xdr:rowOff>
        </xdr:to>
        <xdr:sp macro="" textlink="">
          <xdr:nvSpPr>
            <xdr:cNvPr id="16416" name="Check Box 32" hidden="1">
              <a:extLst>
                <a:ext uri="{63B3BB69-23CF-44E3-9099-C40C66FF867C}">
                  <a14:compatExt spid="_x0000_s16416"/>
                </a:ext>
                <a:ext uri="{FF2B5EF4-FFF2-40B4-BE49-F238E27FC236}">
                  <a16:creationId xmlns:a16="http://schemas.microsoft.com/office/drawing/2014/main" id="{00000000-0008-0000-0300-000020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26</xdr:col>
          <xdr:colOff>0</xdr:colOff>
          <xdr:row>25</xdr:row>
          <xdr:rowOff>0</xdr:rowOff>
        </xdr:from>
        <xdr:to>
          <xdr:col>26</xdr:col>
          <xdr:colOff>0</xdr:colOff>
          <xdr:row>25</xdr:row>
          <xdr:rowOff>0</xdr:rowOff>
        </xdr:to>
        <xdr:sp macro="" textlink="">
          <xdr:nvSpPr>
            <xdr:cNvPr id="16417" name="Check Box 33" hidden="1">
              <a:extLst>
                <a:ext uri="{63B3BB69-23CF-44E3-9099-C40C66FF867C}">
                  <a14:compatExt spid="_x0000_s16417"/>
                </a:ext>
                <a:ext uri="{FF2B5EF4-FFF2-40B4-BE49-F238E27FC236}">
                  <a16:creationId xmlns:a16="http://schemas.microsoft.com/office/drawing/2014/main" id="{00000000-0008-0000-0300-00002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26</xdr:col>
          <xdr:colOff>0</xdr:colOff>
          <xdr:row>18</xdr:row>
          <xdr:rowOff>161925</xdr:rowOff>
        </xdr:from>
        <xdr:to>
          <xdr:col>26</xdr:col>
          <xdr:colOff>0</xdr:colOff>
          <xdr:row>19</xdr:row>
          <xdr:rowOff>0</xdr:rowOff>
        </xdr:to>
        <xdr:sp macro="" textlink="">
          <xdr:nvSpPr>
            <xdr:cNvPr id="16418" name="Check Box 34" hidden="1">
              <a:extLst>
                <a:ext uri="{63B3BB69-23CF-44E3-9099-C40C66FF867C}">
                  <a14:compatExt spid="_x0000_s16418"/>
                </a:ext>
                <a:ext uri="{FF2B5EF4-FFF2-40B4-BE49-F238E27FC236}">
                  <a16:creationId xmlns:a16="http://schemas.microsoft.com/office/drawing/2014/main" id="{00000000-0008-0000-0300-00002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26</xdr:col>
          <xdr:colOff>0</xdr:colOff>
          <xdr:row>19</xdr:row>
          <xdr:rowOff>0</xdr:rowOff>
        </xdr:from>
        <xdr:to>
          <xdr:col>26</xdr:col>
          <xdr:colOff>0</xdr:colOff>
          <xdr:row>19</xdr:row>
          <xdr:rowOff>0</xdr:rowOff>
        </xdr:to>
        <xdr:sp macro="" textlink="">
          <xdr:nvSpPr>
            <xdr:cNvPr id="16419" name="Check Box 35" hidden="1">
              <a:extLst>
                <a:ext uri="{63B3BB69-23CF-44E3-9099-C40C66FF867C}">
                  <a14:compatExt spid="_x0000_s16419"/>
                </a:ext>
                <a:ext uri="{FF2B5EF4-FFF2-40B4-BE49-F238E27FC236}">
                  <a16:creationId xmlns:a16="http://schemas.microsoft.com/office/drawing/2014/main" id="{00000000-0008-0000-0300-00002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26</xdr:col>
          <xdr:colOff>0</xdr:colOff>
          <xdr:row>19</xdr:row>
          <xdr:rowOff>0</xdr:rowOff>
        </xdr:from>
        <xdr:to>
          <xdr:col>26</xdr:col>
          <xdr:colOff>0</xdr:colOff>
          <xdr:row>19</xdr:row>
          <xdr:rowOff>19050</xdr:rowOff>
        </xdr:to>
        <xdr:sp macro="" textlink="">
          <xdr:nvSpPr>
            <xdr:cNvPr id="16420" name="Check Box 36" hidden="1">
              <a:extLst>
                <a:ext uri="{63B3BB69-23CF-44E3-9099-C40C66FF867C}">
                  <a14:compatExt spid="_x0000_s16420"/>
                </a:ext>
                <a:ext uri="{FF2B5EF4-FFF2-40B4-BE49-F238E27FC236}">
                  <a16:creationId xmlns:a16="http://schemas.microsoft.com/office/drawing/2014/main" id="{00000000-0008-0000-0300-00002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26</xdr:col>
          <xdr:colOff>0</xdr:colOff>
          <xdr:row>19</xdr:row>
          <xdr:rowOff>0</xdr:rowOff>
        </xdr:from>
        <xdr:to>
          <xdr:col>26</xdr:col>
          <xdr:colOff>0</xdr:colOff>
          <xdr:row>20</xdr:row>
          <xdr:rowOff>19050</xdr:rowOff>
        </xdr:to>
        <xdr:sp macro="" textlink="">
          <xdr:nvSpPr>
            <xdr:cNvPr id="16421" name="Check Box 37" hidden="1">
              <a:extLst>
                <a:ext uri="{63B3BB69-23CF-44E3-9099-C40C66FF867C}">
                  <a14:compatExt spid="_x0000_s16421"/>
                </a:ext>
                <a:ext uri="{FF2B5EF4-FFF2-40B4-BE49-F238E27FC236}">
                  <a16:creationId xmlns:a16="http://schemas.microsoft.com/office/drawing/2014/main" id="{00000000-0008-0000-0300-000025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26</xdr:col>
          <xdr:colOff>0</xdr:colOff>
          <xdr:row>19</xdr:row>
          <xdr:rowOff>142875</xdr:rowOff>
        </xdr:from>
        <xdr:to>
          <xdr:col>26</xdr:col>
          <xdr:colOff>0</xdr:colOff>
          <xdr:row>21</xdr:row>
          <xdr:rowOff>9525</xdr:rowOff>
        </xdr:to>
        <xdr:sp macro="" textlink="">
          <xdr:nvSpPr>
            <xdr:cNvPr id="16422" name="Check Box 38" hidden="1">
              <a:extLst>
                <a:ext uri="{63B3BB69-23CF-44E3-9099-C40C66FF867C}">
                  <a14:compatExt spid="_x0000_s16422"/>
                </a:ext>
                <a:ext uri="{FF2B5EF4-FFF2-40B4-BE49-F238E27FC236}">
                  <a16:creationId xmlns:a16="http://schemas.microsoft.com/office/drawing/2014/main" id="{00000000-0008-0000-0300-000026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26</xdr:col>
          <xdr:colOff>0</xdr:colOff>
          <xdr:row>18</xdr:row>
          <xdr:rowOff>57150</xdr:rowOff>
        </xdr:from>
        <xdr:to>
          <xdr:col>26</xdr:col>
          <xdr:colOff>0</xdr:colOff>
          <xdr:row>19</xdr:row>
          <xdr:rowOff>0</xdr:rowOff>
        </xdr:to>
        <xdr:sp macro="" textlink="">
          <xdr:nvSpPr>
            <xdr:cNvPr id="16423" name="Check Box 39" hidden="1">
              <a:extLst>
                <a:ext uri="{63B3BB69-23CF-44E3-9099-C40C66FF867C}">
                  <a14:compatExt spid="_x0000_s16423"/>
                </a:ext>
                <a:ext uri="{FF2B5EF4-FFF2-40B4-BE49-F238E27FC236}">
                  <a16:creationId xmlns:a16="http://schemas.microsoft.com/office/drawing/2014/main" id="{00000000-0008-0000-0300-000027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26</xdr:col>
          <xdr:colOff>0</xdr:colOff>
          <xdr:row>19</xdr:row>
          <xdr:rowOff>0</xdr:rowOff>
        </xdr:from>
        <xdr:to>
          <xdr:col>26</xdr:col>
          <xdr:colOff>0</xdr:colOff>
          <xdr:row>19</xdr:row>
          <xdr:rowOff>0</xdr:rowOff>
        </xdr:to>
        <xdr:sp macro="" textlink="">
          <xdr:nvSpPr>
            <xdr:cNvPr id="16424" name="Check Box 40" hidden="1">
              <a:extLst>
                <a:ext uri="{63B3BB69-23CF-44E3-9099-C40C66FF867C}">
                  <a14:compatExt spid="_x0000_s16424"/>
                </a:ext>
                <a:ext uri="{FF2B5EF4-FFF2-40B4-BE49-F238E27FC236}">
                  <a16:creationId xmlns:a16="http://schemas.microsoft.com/office/drawing/2014/main" id="{00000000-0008-0000-0300-000028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26</xdr:col>
          <xdr:colOff>0</xdr:colOff>
          <xdr:row>19</xdr:row>
          <xdr:rowOff>0</xdr:rowOff>
        </xdr:from>
        <xdr:to>
          <xdr:col>26</xdr:col>
          <xdr:colOff>0</xdr:colOff>
          <xdr:row>19</xdr:row>
          <xdr:rowOff>19050</xdr:rowOff>
        </xdr:to>
        <xdr:sp macro="" textlink="">
          <xdr:nvSpPr>
            <xdr:cNvPr id="16425" name="Check Box 41" hidden="1">
              <a:extLst>
                <a:ext uri="{63B3BB69-23CF-44E3-9099-C40C66FF867C}">
                  <a14:compatExt spid="_x0000_s16425"/>
                </a:ext>
                <a:ext uri="{FF2B5EF4-FFF2-40B4-BE49-F238E27FC236}">
                  <a16:creationId xmlns:a16="http://schemas.microsoft.com/office/drawing/2014/main" id="{00000000-0008-0000-0300-000029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26</xdr:col>
          <xdr:colOff>0</xdr:colOff>
          <xdr:row>19</xdr:row>
          <xdr:rowOff>0</xdr:rowOff>
        </xdr:from>
        <xdr:to>
          <xdr:col>26</xdr:col>
          <xdr:colOff>0</xdr:colOff>
          <xdr:row>20</xdr:row>
          <xdr:rowOff>19050</xdr:rowOff>
        </xdr:to>
        <xdr:sp macro="" textlink="">
          <xdr:nvSpPr>
            <xdr:cNvPr id="16426" name="Check Box 42" hidden="1">
              <a:extLst>
                <a:ext uri="{63B3BB69-23CF-44E3-9099-C40C66FF867C}">
                  <a14:compatExt spid="_x0000_s16426"/>
                </a:ext>
                <a:ext uri="{FF2B5EF4-FFF2-40B4-BE49-F238E27FC236}">
                  <a16:creationId xmlns:a16="http://schemas.microsoft.com/office/drawing/2014/main" id="{00000000-0008-0000-0300-00002A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26</xdr:col>
          <xdr:colOff>0</xdr:colOff>
          <xdr:row>19</xdr:row>
          <xdr:rowOff>142875</xdr:rowOff>
        </xdr:from>
        <xdr:to>
          <xdr:col>26</xdr:col>
          <xdr:colOff>0</xdr:colOff>
          <xdr:row>21</xdr:row>
          <xdr:rowOff>9525</xdr:rowOff>
        </xdr:to>
        <xdr:sp macro="" textlink="">
          <xdr:nvSpPr>
            <xdr:cNvPr id="16427" name="Check Box 43" hidden="1">
              <a:extLst>
                <a:ext uri="{63B3BB69-23CF-44E3-9099-C40C66FF867C}">
                  <a14:compatExt spid="_x0000_s16427"/>
                </a:ext>
                <a:ext uri="{FF2B5EF4-FFF2-40B4-BE49-F238E27FC236}">
                  <a16:creationId xmlns:a16="http://schemas.microsoft.com/office/drawing/2014/main" id="{00000000-0008-0000-0300-00002B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26</xdr:col>
          <xdr:colOff>0</xdr:colOff>
          <xdr:row>15</xdr:row>
          <xdr:rowOff>142875</xdr:rowOff>
        </xdr:from>
        <xdr:to>
          <xdr:col>26</xdr:col>
          <xdr:colOff>0</xdr:colOff>
          <xdr:row>17</xdr:row>
          <xdr:rowOff>19050</xdr:rowOff>
        </xdr:to>
        <xdr:sp macro="" textlink="">
          <xdr:nvSpPr>
            <xdr:cNvPr id="16428" name="Check Box 44" hidden="1">
              <a:extLst>
                <a:ext uri="{63B3BB69-23CF-44E3-9099-C40C66FF867C}">
                  <a14:compatExt spid="_x0000_s16428"/>
                </a:ext>
                <a:ext uri="{FF2B5EF4-FFF2-40B4-BE49-F238E27FC236}">
                  <a16:creationId xmlns:a16="http://schemas.microsoft.com/office/drawing/2014/main" id="{00000000-0008-0000-0300-00002C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26</xdr:col>
          <xdr:colOff>0</xdr:colOff>
          <xdr:row>15</xdr:row>
          <xdr:rowOff>142875</xdr:rowOff>
        </xdr:from>
        <xdr:to>
          <xdr:col>26</xdr:col>
          <xdr:colOff>0</xdr:colOff>
          <xdr:row>17</xdr:row>
          <xdr:rowOff>19050</xdr:rowOff>
        </xdr:to>
        <xdr:sp macro="" textlink="">
          <xdr:nvSpPr>
            <xdr:cNvPr id="16429" name="Check Box 45" hidden="1">
              <a:extLst>
                <a:ext uri="{63B3BB69-23CF-44E3-9099-C40C66FF867C}">
                  <a14:compatExt spid="_x0000_s16429"/>
                </a:ext>
                <a:ext uri="{FF2B5EF4-FFF2-40B4-BE49-F238E27FC236}">
                  <a16:creationId xmlns:a16="http://schemas.microsoft.com/office/drawing/2014/main" id="{00000000-0008-0000-0300-00002D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26</xdr:col>
          <xdr:colOff>0</xdr:colOff>
          <xdr:row>51</xdr:row>
          <xdr:rowOff>152400</xdr:rowOff>
        </xdr:from>
        <xdr:to>
          <xdr:col>26</xdr:col>
          <xdr:colOff>0</xdr:colOff>
          <xdr:row>53</xdr:row>
          <xdr:rowOff>19050</xdr:rowOff>
        </xdr:to>
        <xdr:sp macro="" textlink="">
          <xdr:nvSpPr>
            <xdr:cNvPr id="16430" name="Check Box 46" hidden="1">
              <a:extLst>
                <a:ext uri="{63B3BB69-23CF-44E3-9099-C40C66FF867C}">
                  <a14:compatExt spid="_x0000_s16430"/>
                </a:ext>
                <a:ext uri="{FF2B5EF4-FFF2-40B4-BE49-F238E27FC236}">
                  <a16:creationId xmlns:a16="http://schemas.microsoft.com/office/drawing/2014/main" id="{00000000-0008-0000-0300-00002E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26</xdr:col>
          <xdr:colOff>0</xdr:colOff>
          <xdr:row>52</xdr:row>
          <xdr:rowOff>152400</xdr:rowOff>
        </xdr:from>
        <xdr:to>
          <xdr:col>26</xdr:col>
          <xdr:colOff>0</xdr:colOff>
          <xdr:row>54</xdr:row>
          <xdr:rowOff>19050</xdr:rowOff>
        </xdr:to>
        <xdr:sp macro="" textlink="">
          <xdr:nvSpPr>
            <xdr:cNvPr id="16431" name="Check Box 47" hidden="1">
              <a:extLst>
                <a:ext uri="{63B3BB69-23CF-44E3-9099-C40C66FF867C}">
                  <a14:compatExt spid="_x0000_s16431"/>
                </a:ext>
                <a:ext uri="{FF2B5EF4-FFF2-40B4-BE49-F238E27FC236}">
                  <a16:creationId xmlns:a16="http://schemas.microsoft.com/office/drawing/2014/main" id="{00000000-0008-0000-0300-00002F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26</xdr:col>
          <xdr:colOff>0</xdr:colOff>
          <xdr:row>5</xdr:row>
          <xdr:rowOff>266700</xdr:rowOff>
        </xdr:from>
        <xdr:to>
          <xdr:col>26</xdr:col>
          <xdr:colOff>0</xdr:colOff>
          <xdr:row>7</xdr:row>
          <xdr:rowOff>95250</xdr:rowOff>
        </xdr:to>
        <xdr:sp macro="" textlink="">
          <xdr:nvSpPr>
            <xdr:cNvPr id="16432" name="Check Box 48" hidden="1">
              <a:extLst>
                <a:ext uri="{63B3BB69-23CF-44E3-9099-C40C66FF867C}">
                  <a14:compatExt spid="_x0000_s16432"/>
                </a:ext>
                <a:ext uri="{FF2B5EF4-FFF2-40B4-BE49-F238E27FC236}">
                  <a16:creationId xmlns:a16="http://schemas.microsoft.com/office/drawing/2014/main" id="{00000000-0008-0000-0300-000030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26</xdr:col>
          <xdr:colOff>0</xdr:colOff>
          <xdr:row>6</xdr:row>
          <xdr:rowOff>142875</xdr:rowOff>
        </xdr:from>
        <xdr:to>
          <xdr:col>26</xdr:col>
          <xdr:colOff>0</xdr:colOff>
          <xdr:row>8</xdr:row>
          <xdr:rowOff>19050</xdr:rowOff>
        </xdr:to>
        <xdr:sp macro="" textlink="">
          <xdr:nvSpPr>
            <xdr:cNvPr id="16433" name="Check Box 49" hidden="1">
              <a:extLst>
                <a:ext uri="{63B3BB69-23CF-44E3-9099-C40C66FF867C}">
                  <a14:compatExt spid="_x0000_s16433"/>
                </a:ext>
                <a:ext uri="{FF2B5EF4-FFF2-40B4-BE49-F238E27FC236}">
                  <a16:creationId xmlns:a16="http://schemas.microsoft.com/office/drawing/2014/main" id="{00000000-0008-0000-0300-00003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26</xdr:col>
          <xdr:colOff>0</xdr:colOff>
          <xdr:row>3</xdr:row>
          <xdr:rowOff>57150</xdr:rowOff>
        </xdr:from>
        <xdr:to>
          <xdr:col>26</xdr:col>
          <xdr:colOff>0</xdr:colOff>
          <xdr:row>3</xdr:row>
          <xdr:rowOff>104775</xdr:rowOff>
        </xdr:to>
        <xdr:sp macro="" textlink="">
          <xdr:nvSpPr>
            <xdr:cNvPr id="16434" name="Check Box 50" hidden="1">
              <a:extLst>
                <a:ext uri="{63B3BB69-23CF-44E3-9099-C40C66FF867C}">
                  <a14:compatExt spid="_x0000_s16434"/>
                </a:ext>
                <a:ext uri="{FF2B5EF4-FFF2-40B4-BE49-F238E27FC236}">
                  <a16:creationId xmlns:a16="http://schemas.microsoft.com/office/drawing/2014/main" id="{00000000-0008-0000-0300-00003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26</xdr:col>
          <xdr:colOff>0</xdr:colOff>
          <xdr:row>3</xdr:row>
          <xdr:rowOff>57150</xdr:rowOff>
        </xdr:from>
        <xdr:to>
          <xdr:col>26</xdr:col>
          <xdr:colOff>0</xdr:colOff>
          <xdr:row>3</xdr:row>
          <xdr:rowOff>104775</xdr:rowOff>
        </xdr:to>
        <xdr:sp macro="" textlink="">
          <xdr:nvSpPr>
            <xdr:cNvPr id="16435" name="Check Box 51" hidden="1">
              <a:extLst>
                <a:ext uri="{63B3BB69-23CF-44E3-9099-C40C66FF867C}">
                  <a14:compatExt spid="_x0000_s16435"/>
                </a:ext>
                <a:ext uri="{FF2B5EF4-FFF2-40B4-BE49-F238E27FC236}">
                  <a16:creationId xmlns:a16="http://schemas.microsoft.com/office/drawing/2014/main" id="{00000000-0008-0000-0300-00003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26</xdr:col>
          <xdr:colOff>0</xdr:colOff>
          <xdr:row>3</xdr:row>
          <xdr:rowOff>57150</xdr:rowOff>
        </xdr:from>
        <xdr:to>
          <xdr:col>26</xdr:col>
          <xdr:colOff>0</xdr:colOff>
          <xdr:row>3</xdr:row>
          <xdr:rowOff>104775</xdr:rowOff>
        </xdr:to>
        <xdr:sp macro="" textlink="">
          <xdr:nvSpPr>
            <xdr:cNvPr id="16436" name="Check Box 52" hidden="1">
              <a:extLst>
                <a:ext uri="{63B3BB69-23CF-44E3-9099-C40C66FF867C}">
                  <a14:compatExt spid="_x0000_s16436"/>
                </a:ext>
                <a:ext uri="{FF2B5EF4-FFF2-40B4-BE49-F238E27FC236}">
                  <a16:creationId xmlns:a16="http://schemas.microsoft.com/office/drawing/2014/main" id="{00000000-0008-0000-0300-00003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26</xdr:col>
          <xdr:colOff>0</xdr:colOff>
          <xdr:row>18</xdr:row>
          <xdr:rowOff>142875</xdr:rowOff>
        </xdr:from>
        <xdr:to>
          <xdr:col>26</xdr:col>
          <xdr:colOff>0</xdr:colOff>
          <xdr:row>19</xdr:row>
          <xdr:rowOff>0</xdr:rowOff>
        </xdr:to>
        <xdr:sp macro="" textlink="">
          <xdr:nvSpPr>
            <xdr:cNvPr id="16437" name="Check Box 53" hidden="1">
              <a:extLst>
                <a:ext uri="{63B3BB69-23CF-44E3-9099-C40C66FF867C}">
                  <a14:compatExt spid="_x0000_s16437"/>
                </a:ext>
                <a:ext uri="{FF2B5EF4-FFF2-40B4-BE49-F238E27FC236}">
                  <a16:creationId xmlns:a16="http://schemas.microsoft.com/office/drawing/2014/main" id="{00000000-0008-0000-0300-000035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26</xdr:col>
          <xdr:colOff>0</xdr:colOff>
          <xdr:row>21</xdr:row>
          <xdr:rowOff>142875</xdr:rowOff>
        </xdr:from>
        <xdr:to>
          <xdr:col>26</xdr:col>
          <xdr:colOff>0</xdr:colOff>
          <xdr:row>23</xdr:row>
          <xdr:rowOff>19050</xdr:rowOff>
        </xdr:to>
        <xdr:sp macro="" textlink="">
          <xdr:nvSpPr>
            <xdr:cNvPr id="16438" name="Check Box 54" hidden="1">
              <a:extLst>
                <a:ext uri="{63B3BB69-23CF-44E3-9099-C40C66FF867C}">
                  <a14:compatExt spid="_x0000_s16438"/>
                </a:ext>
                <a:ext uri="{FF2B5EF4-FFF2-40B4-BE49-F238E27FC236}">
                  <a16:creationId xmlns:a16="http://schemas.microsoft.com/office/drawing/2014/main" id="{00000000-0008-0000-0300-000036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26</xdr:col>
          <xdr:colOff>0</xdr:colOff>
          <xdr:row>21</xdr:row>
          <xdr:rowOff>142875</xdr:rowOff>
        </xdr:from>
        <xdr:to>
          <xdr:col>26</xdr:col>
          <xdr:colOff>0</xdr:colOff>
          <xdr:row>23</xdr:row>
          <xdr:rowOff>19050</xdr:rowOff>
        </xdr:to>
        <xdr:sp macro="" textlink="">
          <xdr:nvSpPr>
            <xdr:cNvPr id="16439" name="Check Box 55" hidden="1">
              <a:extLst>
                <a:ext uri="{63B3BB69-23CF-44E3-9099-C40C66FF867C}">
                  <a14:compatExt spid="_x0000_s16439"/>
                </a:ext>
                <a:ext uri="{FF2B5EF4-FFF2-40B4-BE49-F238E27FC236}">
                  <a16:creationId xmlns:a16="http://schemas.microsoft.com/office/drawing/2014/main" id="{00000000-0008-0000-0300-000037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26</xdr:col>
          <xdr:colOff>0</xdr:colOff>
          <xdr:row>18</xdr:row>
          <xdr:rowOff>161925</xdr:rowOff>
        </xdr:from>
        <xdr:to>
          <xdr:col>26</xdr:col>
          <xdr:colOff>0</xdr:colOff>
          <xdr:row>19</xdr:row>
          <xdr:rowOff>0</xdr:rowOff>
        </xdr:to>
        <xdr:sp macro="" textlink="">
          <xdr:nvSpPr>
            <xdr:cNvPr id="16442" name="Check Box 58" hidden="1">
              <a:extLst>
                <a:ext uri="{63B3BB69-23CF-44E3-9099-C40C66FF867C}">
                  <a14:compatExt spid="_x0000_s16442"/>
                </a:ext>
                <a:ext uri="{FF2B5EF4-FFF2-40B4-BE49-F238E27FC236}">
                  <a16:creationId xmlns:a16="http://schemas.microsoft.com/office/drawing/2014/main" id="{00000000-0008-0000-0300-00003A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26</xdr:col>
          <xdr:colOff>0</xdr:colOff>
          <xdr:row>19</xdr:row>
          <xdr:rowOff>0</xdr:rowOff>
        </xdr:from>
        <xdr:to>
          <xdr:col>26</xdr:col>
          <xdr:colOff>0</xdr:colOff>
          <xdr:row>19</xdr:row>
          <xdr:rowOff>0</xdr:rowOff>
        </xdr:to>
        <xdr:sp macro="" textlink="">
          <xdr:nvSpPr>
            <xdr:cNvPr id="16443" name="Check Box 59" hidden="1">
              <a:extLst>
                <a:ext uri="{63B3BB69-23CF-44E3-9099-C40C66FF867C}">
                  <a14:compatExt spid="_x0000_s16443"/>
                </a:ext>
                <a:ext uri="{FF2B5EF4-FFF2-40B4-BE49-F238E27FC236}">
                  <a16:creationId xmlns:a16="http://schemas.microsoft.com/office/drawing/2014/main" id="{00000000-0008-0000-0300-00003B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26</xdr:col>
          <xdr:colOff>0</xdr:colOff>
          <xdr:row>19</xdr:row>
          <xdr:rowOff>0</xdr:rowOff>
        </xdr:from>
        <xdr:to>
          <xdr:col>26</xdr:col>
          <xdr:colOff>0</xdr:colOff>
          <xdr:row>19</xdr:row>
          <xdr:rowOff>19050</xdr:rowOff>
        </xdr:to>
        <xdr:sp macro="" textlink="">
          <xdr:nvSpPr>
            <xdr:cNvPr id="16444" name="Check Box 60" hidden="1">
              <a:extLst>
                <a:ext uri="{63B3BB69-23CF-44E3-9099-C40C66FF867C}">
                  <a14:compatExt spid="_x0000_s16444"/>
                </a:ext>
                <a:ext uri="{FF2B5EF4-FFF2-40B4-BE49-F238E27FC236}">
                  <a16:creationId xmlns:a16="http://schemas.microsoft.com/office/drawing/2014/main" id="{00000000-0008-0000-0300-00003C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26</xdr:col>
          <xdr:colOff>0</xdr:colOff>
          <xdr:row>19</xdr:row>
          <xdr:rowOff>0</xdr:rowOff>
        </xdr:from>
        <xdr:to>
          <xdr:col>26</xdr:col>
          <xdr:colOff>0</xdr:colOff>
          <xdr:row>20</xdr:row>
          <xdr:rowOff>19050</xdr:rowOff>
        </xdr:to>
        <xdr:sp macro="" textlink="">
          <xdr:nvSpPr>
            <xdr:cNvPr id="16445" name="Check Box 61" hidden="1">
              <a:extLst>
                <a:ext uri="{63B3BB69-23CF-44E3-9099-C40C66FF867C}">
                  <a14:compatExt spid="_x0000_s16445"/>
                </a:ext>
                <a:ext uri="{FF2B5EF4-FFF2-40B4-BE49-F238E27FC236}">
                  <a16:creationId xmlns:a16="http://schemas.microsoft.com/office/drawing/2014/main" id="{00000000-0008-0000-0300-00003D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26</xdr:col>
          <xdr:colOff>0</xdr:colOff>
          <xdr:row>19</xdr:row>
          <xdr:rowOff>142875</xdr:rowOff>
        </xdr:from>
        <xdr:to>
          <xdr:col>26</xdr:col>
          <xdr:colOff>0</xdr:colOff>
          <xdr:row>21</xdr:row>
          <xdr:rowOff>9525</xdr:rowOff>
        </xdr:to>
        <xdr:sp macro="" textlink="">
          <xdr:nvSpPr>
            <xdr:cNvPr id="16446" name="Check Box 62" hidden="1">
              <a:extLst>
                <a:ext uri="{63B3BB69-23CF-44E3-9099-C40C66FF867C}">
                  <a14:compatExt spid="_x0000_s16446"/>
                </a:ext>
                <a:ext uri="{FF2B5EF4-FFF2-40B4-BE49-F238E27FC236}">
                  <a16:creationId xmlns:a16="http://schemas.microsoft.com/office/drawing/2014/main" id="{00000000-0008-0000-0300-00003E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26</xdr:col>
          <xdr:colOff>0</xdr:colOff>
          <xdr:row>19</xdr:row>
          <xdr:rowOff>0</xdr:rowOff>
        </xdr:from>
        <xdr:to>
          <xdr:col>26</xdr:col>
          <xdr:colOff>0</xdr:colOff>
          <xdr:row>19</xdr:row>
          <xdr:rowOff>0</xdr:rowOff>
        </xdr:to>
        <xdr:sp macro="" textlink="">
          <xdr:nvSpPr>
            <xdr:cNvPr id="16447" name="Check Box 63" hidden="1">
              <a:extLst>
                <a:ext uri="{63B3BB69-23CF-44E3-9099-C40C66FF867C}">
                  <a14:compatExt spid="_x0000_s16447"/>
                </a:ext>
                <a:ext uri="{FF2B5EF4-FFF2-40B4-BE49-F238E27FC236}">
                  <a16:creationId xmlns:a16="http://schemas.microsoft.com/office/drawing/2014/main" id="{00000000-0008-0000-0300-00003F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26</xdr:col>
          <xdr:colOff>0</xdr:colOff>
          <xdr:row>19</xdr:row>
          <xdr:rowOff>0</xdr:rowOff>
        </xdr:from>
        <xdr:to>
          <xdr:col>26</xdr:col>
          <xdr:colOff>0</xdr:colOff>
          <xdr:row>19</xdr:row>
          <xdr:rowOff>19050</xdr:rowOff>
        </xdr:to>
        <xdr:sp macro="" textlink="">
          <xdr:nvSpPr>
            <xdr:cNvPr id="16448" name="Check Box 64" hidden="1">
              <a:extLst>
                <a:ext uri="{63B3BB69-23CF-44E3-9099-C40C66FF867C}">
                  <a14:compatExt spid="_x0000_s16448"/>
                </a:ext>
                <a:ext uri="{FF2B5EF4-FFF2-40B4-BE49-F238E27FC236}">
                  <a16:creationId xmlns:a16="http://schemas.microsoft.com/office/drawing/2014/main" id="{00000000-0008-0000-0300-000040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26</xdr:col>
          <xdr:colOff>0</xdr:colOff>
          <xdr:row>19</xdr:row>
          <xdr:rowOff>0</xdr:rowOff>
        </xdr:from>
        <xdr:to>
          <xdr:col>26</xdr:col>
          <xdr:colOff>0</xdr:colOff>
          <xdr:row>20</xdr:row>
          <xdr:rowOff>19050</xdr:rowOff>
        </xdr:to>
        <xdr:sp macro="" textlink="">
          <xdr:nvSpPr>
            <xdr:cNvPr id="16449" name="Check Box 65" hidden="1">
              <a:extLst>
                <a:ext uri="{63B3BB69-23CF-44E3-9099-C40C66FF867C}">
                  <a14:compatExt spid="_x0000_s16449"/>
                </a:ext>
                <a:ext uri="{FF2B5EF4-FFF2-40B4-BE49-F238E27FC236}">
                  <a16:creationId xmlns:a16="http://schemas.microsoft.com/office/drawing/2014/main" id="{00000000-0008-0000-0300-00004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26</xdr:col>
          <xdr:colOff>0</xdr:colOff>
          <xdr:row>19</xdr:row>
          <xdr:rowOff>142875</xdr:rowOff>
        </xdr:from>
        <xdr:to>
          <xdr:col>26</xdr:col>
          <xdr:colOff>0</xdr:colOff>
          <xdr:row>21</xdr:row>
          <xdr:rowOff>9525</xdr:rowOff>
        </xdr:to>
        <xdr:sp macro="" textlink="">
          <xdr:nvSpPr>
            <xdr:cNvPr id="16450" name="Check Box 66" hidden="1">
              <a:extLst>
                <a:ext uri="{63B3BB69-23CF-44E3-9099-C40C66FF867C}">
                  <a14:compatExt spid="_x0000_s16450"/>
                </a:ext>
                <a:ext uri="{FF2B5EF4-FFF2-40B4-BE49-F238E27FC236}">
                  <a16:creationId xmlns:a16="http://schemas.microsoft.com/office/drawing/2014/main" id="{00000000-0008-0000-0300-00004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3</xdr:row>
          <xdr:rowOff>114300</xdr:rowOff>
        </xdr:from>
        <xdr:to>
          <xdr:col>28</xdr:col>
          <xdr:colOff>19050</xdr:colOff>
          <xdr:row>4</xdr:row>
          <xdr:rowOff>66675</xdr:rowOff>
        </xdr:to>
        <xdr:sp macro="" textlink="">
          <xdr:nvSpPr>
            <xdr:cNvPr id="16451" name="Check Box 67" hidden="1">
              <a:extLst>
                <a:ext uri="{63B3BB69-23CF-44E3-9099-C40C66FF867C}">
                  <a14:compatExt spid="_x0000_s16451"/>
                </a:ext>
                <a:ext uri="{FF2B5EF4-FFF2-40B4-BE49-F238E27FC236}">
                  <a16:creationId xmlns:a16="http://schemas.microsoft.com/office/drawing/2014/main" id="{00000000-0008-0000-0300-00004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チェック 162</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76200</xdr:colOff>
          <xdr:row>3</xdr:row>
          <xdr:rowOff>9525</xdr:rowOff>
        </xdr:from>
        <xdr:to>
          <xdr:col>1</xdr:col>
          <xdr:colOff>104775</xdr:colOff>
          <xdr:row>3</xdr:row>
          <xdr:rowOff>228600</xdr:rowOff>
        </xdr:to>
        <xdr:sp macro="" textlink="">
          <xdr:nvSpPr>
            <xdr:cNvPr id="16452" name="Check Box 68" hidden="1">
              <a:extLst>
                <a:ext uri="{63B3BB69-23CF-44E3-9099-C40C66FF867C}">
                  <a14:compatExt spid="_x0000_s16452"/>
                </a:ext>
                <a:ext uri="{FF2B5EF4-FFF2-40B4-BE49-F238E27FC236}">
                  <a16:creationId xmlns:a16="http://schemas.microsoft.com/office/drawing/2014/main" id="{00000000-0008-0000-0300-00004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76200</xdr:colOff>
          <xdr:row>3</xdr:row>
          <xdr:rowOff>0</xdr:rowOff>
        </xdr:from>
        <xdr:to>
          <xdr:col>9</xdr:col>
          <xdr:colOff>104775</xdr:colOff>
          <xdr:row>3</xdr:row>
          <xdr:rowOff>219075</xdr:rowOff>
        </xdr:to>
        <xdr:sp macro="" textlink="">
          <xdr:nvSpPr>
            <xdr:cNvPr id="16453" name="Check Box 69" hidden="1">
              <a:extLst>
                <a:ext uri="{63B3BB69-23CF-44E3-9099-C40C66FF867C}">
                  <a14:compatExt spid="_x0000_s16453"/>
                </a:ext>
                <a:ext uri="{FF2B5EF4-FFF2-40B4-BE49-F238E27FC236}">
                  <a16:creationId xmlns:a16="http://schemas.microsoft.com/office/drawing/2014/main" id="{00000000-0008-0000-0300-000045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26</xdr:col>
          <xdr:colOff>76200</xdr:colOff>
          <xdr:row>3</xdr:row>
          <xdr:rowOff>9525</xdr:rowOff>
        </xdr:from>
        <xdr:to>
          <xdr:col>27</xdr:col>
          <xdr:colOff>104775</xdr:colOff>
          <xdr:row>3</xdr:row>
          <xdr:rowOff>228600</xdr:rowOff>
        </xdr:to>
        <xdr:sp macro="" textlink="">
          <xdr:nvSpPr>
            <xdr:cNvPr id="16456" name="Check Box 72" hidden="1">
              <a:extLst>
                <a:ext uri="{63B3BB69-23CF-44E3-9099-C40C66FF867C}">
                  <a14:compatExt spid="_x0000_s16456"/>
                </a:ext>
                <a:ext uri="{FF2B5EF4-FFF2-40B4-BE49-F238E27FC236}">
                  <a16:creationId xmlns:a16="http://schemas.microsoft.com/office/drawing/2014/main" id="{00000000-0008-0000-0300-000048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76200</xdr:colOff>
          <xdr:row>3</xdr:row>
          <xdr:rowOff>0</xdr:rowOff>
        </xdr:from>
        <xdr:to>
          <xdr:col>35</xdr:col>
          <xdr:colOff>104775</xdr:colOff>
          <xdr:row>3</xdr:row>
          <xdr:rowOff>219075</xdr:rowOff>
        </xdr:to>
        <xdr:sp macro="" textlink="">
          <xdr:nvSpPr>
            <xdr:cNvPr id="16457" name="Check Box 73" hidden="1">
              <a:extLst>
                <a:ext uri="{63B3BB69-23CF-44E3-9099-C40C66FF867C}">
                  <a14:compatExt spid="_x0000_s16457"/>
                </a:ext>
                <a:ext uri="{FF2B5EF4-FFF2-40B4-BE49-F238E27FC236}">
                  <a16:creationId xmlns:a16="http://schemas.microsoft.com/office/drawing/2014/main" id="{00000000-0008-0000-0300-000049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40</xdr:col>
          <xdr:colOff>85725</xdr:colOff>
          <xdr:row>14</xdr:row>
          <xdr:rowOff>0</xdr:rowOff>
        </xdr:from>
        <xdr:to>
          <xdr:col>41</xdr:col>
          <xdr:colOff>114300</xdr:colOff>
          <xdr:row>15</xdr:row>
          <xdr:rowOff>28575</xdr:rowOff>
        </xdr:to>
        <xdr:sp macro="" textlink="">
          <xdr:nvSpPr>
            <xdr:cNvPr id="16458" name="Check Box 74" hidden="1">
              <a:extLst>
                <a:ext uri="{63B3BB69-23CF-44E3-9099-C40C66FF867C}">
                  <a14:compatExt spid="_x0000_s16458"/>
                </a:ext>
                <a:ext uri="{FF2B5EF4-FFF2-40B4-BE49-F238E27FC236}">
                  <a16:creationId xmlns:a16="http://schemas.microsoft.com/office/drawing/2014/main" id="{00000000-0008-0000-0300-00004A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40</xdr:col>
          <xdr:colOff>85725</xdr:colOff>
          <xdr:row>14</xdr:row>
          <xdr:rowOff>152400</xdr:rowOff>
        </xdr:from>
        <xdr:to>
          <xdr:col>41</xdr:col>
          <xdr:colOff>114300</xdr:colOff>
          <xdr:row>16</xdr:row>
          <xdr:rowOff>38100</xdr:rowOff>
        </xdr:to>
        <xdr:sp macro="" textlink="">
          <xdr:nvSpPr>
            <xdr:cNvPr id="16459" name="Check Box 75" hidden="1">
              <a:extLst>
                <a:ext uri="{63B3BB69-23CF-44E3-9099-C40C66FF867C}">
                  <a14:compatExt spid="_x0000_s16459"/>
                </a:ext>
                <a:ext uri="{FF2B5EF4-FFF2-40B4-BE49-F238E27FC236}">
                  <a16:creationId xmlns:a16="http://schemas.microsoft.com/office/drawing/2014/main" id="{00000000-0008-0000-0300-00004B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28575</xdr:colOff>
          <xdr:row>13</xdr:row>
          <xdr:rowOff>228600</xdr:rowOff>
        </xdr:from>
        <xdr:to>
          <xdr:col>15</xdr:col>
          <xdr:colOff>57150</xdr:colOff>
          <xdr:row>15</xdr:row>
          <xdr:rowOff>19050</xdr:rowOff>
        </xdr:to>
        <xdr:sp macro="" textlink="">
          <xdr:nvSpPr>
            <xdr:cNvPr id="16460" name="Check Box 76" hidden="1">
              <a:extLst>
                <a:ext uri="{63B3BB69-23CF-44E3-9099-C40C66FF867C}">
                  <a14:compatExt spid="_x0000_s16460"/>
                </a:ext>
                <a:ext uri="{FF2B5EF4-FFF2-40B4-BE49-F238E27FC236}">
                  <a16:creationId xmlns:a16="http://schemas.microsoft.com/office/drawing/2014/main" id="{00000000-0008-0000-0300-00004C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28575</xdr:colOff>
          <xdr:row>14</xdr:row>
          <xdr:rowOff>142875</xdr:rowOff>
        </xdr:from>
        <xdr:to>
          <xdr:col>15</xdr:col>
          <xdr:colOff>57150</xdr:colOff>
          <xdr:row>16</xdr:row>
          <xdr:rowOff>28575</xdr:rowOff>
        </xdr:to>
        <xdr:sp macro="" textlink="">
          <xdr:nvSpPr>
            <xdr:cNvPr id="16461" name="Check Box 77" hidden="1">
              <a:extLst>
                <a:ext uri="{63B3BB69-23CF-44E3-9099-C40C66FF867C}">
                  <a14:compatExt spid="_x0000_s16461"/>
                </a:ext>
                <a:ext uri="{FF2B5EF4-FFF2-40B4-BE49-F238E27FC236}">
                  <a16:creationId xmlns:a16="http://schemas.microsoft.com/office/drawing/2014/main" id="{00000000-0008-0000-0300-00004D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33</xdr:col>
          <xdr:colOff>38100</xdr:colOff>
          <xdr:row>19</xdr:row>
          <xdr:rowOff>0</xdr:rowOff>
        </xdr:from>
        <xdr:to>
          <xdr:col>34</xdr:col>
          <xdr:colOff>66675</xdr:colOff>
          <xdr:row>20</xdr:row>
          <xdr:rowOff>19050</xdr:rowOff>
        </xdr:to>
        <xdr:sp macro="" textlink="">
          <xdr:nvSpPr>
            <xdr:cNvPr id="16852" name="Check Box 468" hidden="1">
              <a:extLst>
                <a:ext uri="{63B3BB69-23CF-44E3-9099-C40C66FF867C}">
                  <a14:compatExt spid="_x0000_s16852"/>
                </a:ext>
                <a:ext uri="{FF2B5EF4-FFF2-40B4-BE49-F238E27FC236}">
                  <a16:creationId xmlns:a16="http://schemas.microsoft.com/office/drawing/2014/main" id="{00000000-0008-0000-0300-0000D44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30</xdr:col>
          <xdr:colOff>47625</xdr:colOff>
          <xdr:row>19</xdr:row>
          <xdr:rowOff>0</xdr:rowOff>
        </xdr:from>
        <xdr:to>
          <xdr:col>31</xdr:col>
          <xdr:colOff>76200</xdr:colOff>
          <xdr:row>20</xdr:row>
          <xdr:rowOff>19050</xdr:rowOff>
        </xdr:to>
        <xdr:sp macro="" textlink="">
          <xdr:nvSpPr>
            <xdr:cNvPr id="16853" name="Check Box 469" hidden="1">
              <a:extLst>
                <a:ext uri="{63B3BB69-23CF-44E3-9099-C40C66FF867C}">
                  <a14:compatExt spid="_x0000_s16853"/>
                </a:ext>
                <a:ext uri="{FF2B5EF4-FFF2-40B4-BE49-F238E27FC236}">
                  <a16:creationId xmlns:a16="http://schemas.microsoft.com/office/drawing/2014/main" id="{00000000-0008-0000-0300-0000D54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31</xdr:col>
          <xdr:colOff>104775</xdr:colOff>
          <xdr:row>3</xdr:row>
          <xdr:rowOff>57150</xdr:rowOff>
        </xdr:from>
        <xdr:to>
          <xdr:col>32</xdr:col>
          <xdr:colOff>133350</xdr:colOff>
          <xdr:row>3</xdr:row>
          <xdr:rowOff>104775</xdr:rowOff>
        </xdr:to>
        <xdr:sp macro="" textlink="">
          <xdr:nvSpPr>
            <xdr:cNvPr id="16859" name="Check Box 475" hidden="1">
              <a:extLst>
                <a:ext uri="{63B3BB69-23CF-44E3-9099-C40C66FF867C}">
                  <a14:compatExt spid="_x0000_s16859"/>
                </a:ext>
                <a:ext uri="{FF2B5EF4-FFF2-40B4-BE49-F238E27FC236}">
                  <a16:creationId xmlns:a16="http://schemas.microsoft.com/office/drawing/2014/main" id="{00000000-0008-0000-0300-0000DB4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33</xdr:col>
          <xdr:colOff>38100</xdr:colOff>
          <xdr:row>19</xdr:row>
          <xdr:rowOff>0</xdr:rowOff>
        </xdr:from>
        <xdr:to>
          <xdr:col>34</xdr:col>
          <xdr:colOff>66675</xdr:colOff>
          <xdr:row>20</xdr:row>
          <xdr:rowOff>19050</xdr:rowOff>
        </xdr:to>
        <xdr:sp macro="" textlink="">
          <xdr:nvSpPr>
            <xdr:cNvPr id="16860" name="Check Box 476" hidden="1">
              <a:extLst>
                <a:ext uri="{63B3BB69-23CF-44E3-9099-C40C66FF867C}">
                  <a14:compatExt spid="_x0000_s16860"/>
                </a:ext>
                <a:ext uri="{FF2B5EF4-FFF2-40B4-BE49-F238E27FC236}">
                  <a16:creationId xmlns:a16="http://schemas.microsoft.com/office/drawing/2014/main" id="{00000000-0008-0000-0300-0000DC4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30</xdr:col>
          <xdr:colOff>47625</xdr:colOff>
          <xdr:row>19</xdr:row>
          <xdr:rowOff>0</xdr:rowOff>
        </xdr:from>
        <xdr:to>
          <xdr:col>31</xdr:col>
          <xdr:colOff>76200</xdr:colOff>
          <xdr:row>20</xdr:row>
          <xdr:rowOff>19050</xdr:rowOff>
        </xdr:to>
        <xdr:sp macro="" textlink="">
          <xdr:nvSpPr>
            <xdr:cNvPr id="16861" name="Check Box 477" hidden="1">
              <a:extLst>
                <a:ext uri="{63B3BB69-23CF-44E3-9099-C40C66FF867C}">
                  <a14:compatExt spid="_x0000_s16861"/>
                </a:ext>
                <a:ext uri="{FF2B5EF4-FFF2-40B4-BE49-F238E27FC236}">
                  <a16:creationId xmlns:a16="http://schemas.microsoft.com/office/drawing/2014/main" id="{00000000-0008-0000-0300-0000DD4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38100</xdr:colOff>
          <xdr:row>19</xdr:row>
          <xdr:rowOff>0</xdr:rowOff>
        </xdr:from>
        <xdr:to>
          <xdr:col>8</xdr:col>
          <xdr:colOff>66675</xdr:colOff>
          <xdr:row>20</xdr:row>
          <xdr:rowOff>19050</xdr:rowOff>
        </xdr:to>
        <xdr:sp macro="" textlink="">
          <xdr:nvSpPr>
            <xdr:cNvPr id="16864" name="Check Box 480" hidden="1">
              <a:extLst>
                <a:ext uri="{63B3BB69-23CF-44E3-9099-C40C66FF867C}">
                  <a14:compatExt spid="_x0000_s16864"/>
                </a:ext>
                <a:ext uri="{FF2B5EF4-FFF2-40B4-BE49-F238E27FC236}">
                  <a16:creationId xmlns:a16="http://schemas.microsoft.com/office/drawing/2014/main" id="{00000000-0008-0000-0300-0000E04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47625</xdr:colOff>
          <xdr:row>19</xdr:row>
          <xdr:rowOff>0</xdr:rowOff>
        </xdr:from>
        <xdr:to>
          <xdr:col>5</xdr:col>
          <xdr:colOff>76200</xdr:colOff>
          <xdr:row>20</xdr:row>
          <xdr:rowOff>19050</xdr:rowOff>
        </xdr:to>
        <xdr:sp macro="" textlink="">
          <xdr:nvSpPr>
            <xdr:cNvPr id="16865" name="Check Box 481" hidden="1">
              <a:extLst>
                <a:ext uri="{63B3BB69-23CF-44E3-9099-C40C66FF867C}">
                  <a14:compatExt spid="_x0000_s16865"/>
                </a:ext>
                <a:ext uri="{FF2B5EF4-FFF2-40B4-BE49-F238E27FC236}">
                  <a16:creationId xmlns:a16="http://schemas.microsoft.com/office/drawing/2014/main" id="{00000000-0008-0000-0300-0000E14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33</xdr:col>
          <xdr:colOff>38100</xdr:colOff>
          <xdr:row>19</xdr:row>
          <xdr:rowOff>0</xdr:rowOff>
        </xdr:from>
        <xdr:to>
          <xdr:col>34</xdr:col>
          <xdr:colOff>66675</xdr:colOff>
          <xdr:row>20</xdr:row>
          <xdr:rowOff>19050</xdr:rowOff>
        </xdr:to>
        <xdr:sp macro="" textlink="">
          <xdr:nvSpPr>
            <xdr:cNvPr id="16866" name="Check Box 482" hidden="1">
              <a:extLst>
                <a:ext uri="{63B3BB69-23CF-44E3-9099-C40C66FF867C}">
                  <a14:compatExt spid="_x0000_s16866"/>
                </a:ext>
                <a:ext uri="{FF2B5EF4-FFF2-40B4-BE49-F238E27FC236}">
                  <a16:creationId xmlns:a16="http://schemas.microsoft.com/office/drawing/2014/main" id="{00000000-0008-0000-0300-0000E24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30</xdr:col>
          <xdr:colOff>47625</xdr:colOff>
          <xdr:row>19</xdr:row>
          <xdr:rowOff>0</xdr:rowOff>
        </xdr:from>
        <xdr:to>
          <xdr:col>31</xdr:col>
          <xdr:colOff>76200</xdr:colOff>
          <xdr:row>20</xdr:row>
          <xdr:rowOff>19050</xdr:rowOff>
        </xdr:to>
        <xdr:sp macro="" textlink="">
          <xdr:nvSpPr>
            <xdr:cNvPr id="16867" name="Check Box 483" hidden="1">
              <a:extLst>
                <a:ext uri="{63B3BB69-23CF-44E3-9099-C40C66FF867C}">
                  <a14:compatExt spid="_x0000_s16867"/>
                </a:ext>
                <a:ext uri="{FF2B5EF4-FFF2-40B4-BE49-F238E27FC236}">
                  <a16:creationId xmlns:a16="http://schemas.microsoft.com/office/drawing/2014/main" id="{00000000-0008-0000-0300-0000E34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33</xdr:col>
          <xdr:colOff>38100</xdr:colOff>
          <xdr:row>19</xdr:row>
          <xdr:rowOff>0</xdr:rowOff>
        </xdr:from>
        <xdr:to>
          <xdr:col>34</xdr:col>
          <xdr:colOff>66675</xdr:colOff>
          <xdr:row>20</xdr:row>
          <xdr:rowOff>19050</xdr:rowOff>
        </xdr:to>
        <xdr:sp macro="" textlink="">
          <xdr:nvSpPr>
            <xdr:cNvPr id="16868" name="Check Box 484" hidden="1">
              <a:extLst>
                <a:ext uri="{63B3BB69-23CF-44E3-9099-C40C66FF867C}">
                  <a14:compatExt spid="_x0000_s16868"/>
                </a:ext>
                <a:ext uri="{FF2B5EF4-FFF2-40B4-BE49-F238E27FC236}">
                  <a16:creationId xmlns:a16="http://schemas.microsoft.com/office/drawing/2014/main" id="{00000000-0008-0000-0300-0000E44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30</xdr:col>
          <xdr:colOff>47625</xdr:colOff>
          <xdr:row>19</xdr:row>
          <xdr:rowOff>0</xdr:rowOff>
        </xdr:from>
        <xdr:to>
          <xdr:col>31</xdr:col>
          <xdr:colOff>76200</xdr:colOff>
          <xdr:row>20</xdr:row>
          <xdr:rowOff>19050</xdr:rowOff>
        </xdr:to>
        <xdr:sp macro="" textlink="">
          <xdr:nvSpPr>
            <xdr:cNvPr id="16869" name="Check Box 485" hidden="1">
              <a:extLst>
                <a:ext uri="{63B3BB69-23CF-44E3-9099-C40C66FF867C}">
                  <a14:compatExt spid="_x0000_s16869"/>
                </a:ext>
                <a:ext uri="{FF2B5EF4-FFF2-40B4-BE49-F238E27FC236}">
                  <a16:creationId xmlns:a16="http://schemas.microsoft.com/office/drawing/2014/main" id="{00000000-0008-0000-0300-0000E54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33</xdr:col>
          <xdr:colOff>38100</xdr:colOff>
          <xdr:row>19</xdr:row>
          <xdr:rowOff>0</xdr:rowOff>
        </xdr:from>
        <xdr:to>
          <xdr:col>34</xdr:col>
          <xdr:colOff>66675</xdr:colOff>
          <xdr:row>20</xdr:row>
          <xdr:rowOff>19050</xdr:rowOff>
        </xdr:to>
        <xdr:sp macro="" textlink="">
          <xdr:nvSpPr>
            <xdr:cNvPr id="16879" name="Check Box 495" hidden="1">
              <a:extLst>
                <a:ext uri="{63B3BB69-23CF-44E3-9099-C40C66FF867C}">
                  <a14:compatExt spid="_x0000_s16879"/>
                </a:ext>
                <a:ext uri="{FF2B5EF4-FFF2-40B4-BE49-F238E27FC236}">
                  <a16:creationId xmlns:a16="http://schemas.microsoft.com/office/drawing/2014/main" id="{00000000-0008-0000-0300-0000EF4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30</xdr:col>
          <xdr:colOff>47625</xdr:colOff>
          <xdr:row>19</xdr:row>
          <xdr:rowOff>0</xdr:rowOff>
        </xdr:from>
        <xdr:to>
          <xdr:col>31</xdr:col>
          <xdr:colOff>76200</xdr:colOff>
          <xdr:row>20</xdr:row>
          <xdr:rowOff>19050</xdr:rowOff>
        </xdr:to>
        <xdr:sp macro="" textlink="">
          <xdr:nvSpPr>
            <xdr:cNvPr id="16880" name="Check Box 496" hidden="1">
              <a:extLst>
                <a:ext uri="{63B3BB69-23CF-44E3-9099-C40C66FF867C}">
                  <a14:compatExt spid="_x0000_s16880"/>
                </a:ext>
                <a:ext uri="{FF2B5EF4-FFF2-40B4-BE49-F238E27FC236}">
                  <a16:creationId xmlns:a16="http://schemas.microsoft.com/office/drawing/2014/main" id="{00000000-0008-0000-0300-0000F04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33</xdr:col>
          <xdr:colOff>38100</xdr:colOff>
          <xdr:row>19</xdr:row>
          <xdr:rowOff>0</xdr:rowOff>
        </xdr:from>
        <xdr:to>
          <xdr:col>34</xdr:col>
          <xdr:colOff>66675</xdr:colOff>
          <xdr:row>20</xdr:row>
          <xdr:rowOff>19050</xdr:rowOff>
        </xdr:to>
        <xdr:sp macro="" textlink="">
          <xdr:nvSpPr>
            <xdr:cNvPr id="16881" name="Check Box 497" hidden="1">
              <a:extLst>
                <a:ext uri="{63B3BB69-23CF-44E3-9099-C40C66FF867C}">
                  <a14:compatExt spid="_x0000_s16881"/>
                </a:ext>
                <a:ext uri="{FF2B5EF4-FFF2-40B4-BE49-F238E27FC236}">
                  <a16:creationId xmlns:a16="http://schemas.microsoft.com/office/drawing/2014/main" id="{00000000-0008-0000-0300-0000F14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30</xdr:col>
          <xdr:colOff>47625</xdr:colOff>
          <xdr:row>19</xdr:row>
          <xdr:rowOff>0</xdr:rowOff>
        </xdr:from>
        <xdr:to>
          <xdr:col>31</xdr:col>
          <xdr:colOff>76200</xdr:colOff>
          <xdr:row>20</xdr:row>
          <xdr:rowOff>19050</xdr:rowOff>
        </xdr:to>
        <xdr:sp macro="" textlink="">
          <xdr:nvSpPr>
            <xdr:cNvPr id="16882" name="Check Box 498" hidden="1">
              <a:extLst>
                <a:ext uri="{63B3BB69-23CF-44E3-9099-C40C66FF867C}">
                  <a14:compatExt spid="_x0000_s16882"/>
                </a:ext>
                <a:ext uri="{FF2B5EF4-FFF2-40B4-BE49-F238E27FC236}">
                  <a16:creationId xmlns:a16="http://schemas.microsoft.com/office/drawing/2014/main" id="{00000000-0008-0000-0300-0000F24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38100</xdr:colOff>
          <xdr:row>19</xdr:row>
          <xdr:rowOff>0</xdr:rowOff>
        </xdr:from>
        <xdr:to>
          <xdr:col>8</xdr:col>
          <xdr:colOff>66675</xdr:colOff>
          <xdr:row>20</xdr:row>
          <xdr:rowOff>19050</xdr:rowOff>
        </xdr:to>
        <xdr:sp macro="" textlink="">
          <xdr:nvSpPr>
            <xdr:cNvPr id="16885" name="Check Box 501" hidden="1">
              <a:extLst>
                <a:ext uri="{63B3BB69-23CF-44E3-9099-C40C66FF867C}">
                  <a14:compatExt spid="_x0000_s16885"/>
                </a:ext>
                <a:ext uri="{FF2B5EF4-FFF2-40B4-BE49-F238E27FC236}">
                  <a16:creationId xmlns:a16="http://schemas.microsoft.com/office/drawing/2014/main" id="{00000000-0008-0000-0300-0000F54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47625</xdr:colOff>
          <xdr:row>19</xdr:row>
          <xdr:rowOff>0</xdr:rowOff>
        </xdr:from>
        <xdr:to>
          <xdr:col>5</xdr:col>
          <xdr:colOff>76200</xdr:colOff>
          <xdr:row>20</xdr:row>
          <xdr:rowOff>19050</xdr:rowOff>
        </xdr:to>
        <xdr:sp macro="" textlink="">
          <xdr:nvSpPr>
            <xdr:cNvPr id="16886" name="Check Box 502" hidden="1">
              <a:extLst>
                <a:ext uri="{63B3BB69-23CF-44E3-9099-C40C66FF867C}">
                  <a14:compatExt spid="_x0000_s16886"/>
                </a:ext>
                <a:ext uri="{FF2B5EF4-FFF2-40B4-BE49-F238E27FC236}">
                  <a16:creationId xmlns:a16="http://schemas.microsoft.com/office/drawing/2014/main" id="{00000000-0008-0000-0300-0000F64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38100</xdr:colOff>
          <xdr:row>19</xdr:row>
          <xdr:rowOff>0</xdr:rowOff>
        </xdr:from>
        <xdr:to>
          <xdr:col>8</xdr:col>
          <xdr:colOff>66675</xdr:colOff>
          <xdr:row>20</xdr:row>
          <xdr:rowOff>19050</xdr:rowOff>
        </xdr:to>
        <xdr:sp macro="" textlink="">
          <xdr:nvSpPr>
            <xdr:cNvPr id="16887" name="Check Box 503" hidden="1">
              <a:extLst>
                <a:ext uri="{63B3BB69-23CF-44E3-9099-C40C66FF867C}">
                  <a14:compatExt spid="_x0000_s16887"/>
                </a:ext>
                <a:ext uri="{FF2B5EF4-FFF2-40B4-BE49-F238E27FC236}">
                  <a16:creationId xmlns:a16="http://schemas.microsoft.com/office/drawing/2014/main" id="{00000000-0008-0000-0300-0000F74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47625</xdr:colOff>
          <xdr:row>19</xdr:row>
          <xdr:rowOff>0</xdr:rowOff>
        </xdr:from>
        <xdr:to>
          <xdr:col>5</xdr:col>
          <xdr:colOff>76200</xdr:colOff>
          <xdr:row>20</xdr:row>
          <xdr:rowOff>19050</xdr:rowOff>
        </xdr:to>
        <xdr:sp macro="" textlink="">
          <xdr:nvSpPr>
            <xdr:cNvPr id="16888" name="Check Box 504" hidden="1">
              <a:extLst>
                <a:ext uri="{63B3BB69-23CF-44E3-9099-C40C66FF867C}">
                  <a14:compatExt spid="_x0000_s16888"/>
                </a:ext>
                <a:ext uri="{FF2B5EF4-FFF2-40B4-BE49-F238E27FC236}">
                  <a16:creationId xmlns:a16="http://schemas.microsoft.com/office/drawing/2014/main" id="{00000000-0008-0000-0300-0000F84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33</xdr:col>
          <xdr:colOff>38100</xdr:colOff>
          <xdr:row>19</xdr:row>
          <xdr:rowOff>0</xdr:rowOff>
        </xdr:from>
        <xdr:to>
          <xdr:col>34</xdr:col>
          <xdr:colOff>66675</xdr:colOff>
          <xdr:row>20</xdr:row>
          <xdr:rowOff>19050</xdr:rowOff>
        </xdr:to>
        <xdr:sp macro="" textlink="">
          <xdr:nvSpPr>
            <xdr:cNvPr id="16889" name="Check Box 505" hidden="1">
              <a:extLst>
                <a:ext uri="{63B3BB69-23CF-44E3-9099-C40C66FF867C}">
                  <a14:compatExt spid="_x0000_s16889"/>
                </a:ext>
                <a:ext uri="{FF2B5EF4-FFF2-40B4-BE49-F238E27FC236}">
                  <a16:creationId xmlns:a16="http://schemas.microsoft.com/office/drawing/2014/main" id="{00000000-0008-0000-0300-0000F94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30</xdr:col>
          <xdr:colOff>47625</xdr:colOff>
          <xdr:row>19</xdr:row>
          <xdr:rowOff>0</xdr:rowOff>
        </xdr:from>
        <xdr:to>
          <xdr:col>31</xdr:col>
          <xdr:colOff>76200</xdr:colOff>
          <xdr:row>20</xdr:row>
          <xdr:rowOff>19050</xdr:rowOff>
        </xdr:to>
        <xdr:sp macro="" textlink="">
          <xdr:nvSpPr>
            <xdr:cNvPr id="16890" name="Check Box 506" hidden="1">
              <a:extLst>
                <a:ext uri="{63B3BB69-23CF-44E3-9099-C40C66FF867C}">
                  <a14:compatExt spid="_x0000_s16890"/>
                </a:ext>
                <a:ext uri="{FF2B5EF4-FFF2-40B4-BE49-F238E27FC236}">
                  <a16:creationId xmlns:a16="http://schemas.microsoft.com/office/drawing/2014/main" id="{00000000-0008-0000-0300-0000FA4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33</xdr:col>
          <xdr:colOff>38100</xdr:colOff>
          <xdr:row>19</xdr:row>
          <xdr:rowOff>0</xdr:rowOff>
        </xdr:from>
        <xdr:to>
          <xdr:col>34</xdr:col>
          <xdr:colOff>66675</xdr:colOff>
          <xdr:row>20</xdr:row>
          <xdr:rowOff>19050</xdr:rowOff>
        </xdr:to>
        <xdr:sp macro="" textlink="">
          <xdr:nvSpPr>
            <xdr:cNvPr id="16891" name="Check Box 507" hidden="1">
              <a:extLst>
                <a:ext uri="{63B3BB69-23CF-44E3-9099-C40C66FF867C}">
                  <a14:compatExt spid="_x0000_s16891"/>
                </a:ext>
                <a:ext uri="{FF2B5EF4-FFF2-40B4-BE49-F238E27FC236}">
                  <a16:creationId xmlns:a16="http://schemas.microsoft.com/office/drawing/2014/main" id="{00000000-0008-0000-0300-0000FB4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30</xdr:col>
          <xdr:colOff>47625</xdr:colOff>
          <xdr:row>19</xdr:row>
          <xdr:rowOff>0</xdr:rowOff>
        </xdr:from>
        <xdr:to>
          <xdr:col>31</xdr:col>
          <xdr:colOff>76200</xdr:colOff>
          <xdr:row>20</xdr:row>
          <xdr:rowOff>19050</xdr:rowOff>
        </xdr:to>
        <xdr:sp macro="" textlink="">
          <xdr:nvSpPr>
            <xdr:cNvPr id="16892" name="Check Box 508" hidden="1">
              <a:extLst>
                <a:ext uri="{63B3BB69-23CF-44E3-9099-C40C66FF867C}">
                  <a14:compatExt spid="_x0000_s16892"/>
                </a:ext>
                <a:ext uri="{FF2B5EF4-FFF2-40B4-BE49-F238E27FC236}">
                  <a16:creationId xmlns:a16="http://schemas.microsoft.com/office/drawing/2014/main" id="{00000000-0008-0000-0300-0000FC4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28</xdr:col>
      <xdr:colOff>217715</xdr:colOff>
      <xdr:row>44</xdr:row>
      <xdr:rowOff>32658</xdr:rowOff>
    </xdr:from>
    <xdr:to>
      <xdr:col>32</xdr:col>
      <xdr:colOff>224724</xdr:colOff>
      <xdr:row>46</xdr:row>
      <xdr:rowOff>1504</xdr:rowOff>
    </xdr:to>
    <xdr:pic>
      <xdr:nvPicPr>
        <xdr:cNvPr id="3" name="図 2">
          <a:extLst>
            <a:ext uri="{FF2B5EF4-FFF2-40B4-BE49-F238E27FC236}">
              <a16:creationId xmlns:a16="http://schemas.microsoft.com/office/drawing/2014/main" id="{6D70B8B8-DA35-3C01-8EB3-0C8194132236}"/>
            </a:ext>
          </a:extLst>
        </xdr:cNvPr>
        <xdr:cNvPicPr>
          <a:picLocks noChangeAspect="1"/>
        </xdr:cNvPicPr>
      </xdr:nvPicPr>
      <xdr:blipFill>
        <a:blip xmlns:r="http://schemas.openxmlformats.org/officeDocument/2006/relationships" r:embed="rId1"/>
        <a:stretch>
          <a:fillRect/>
        </a:stretch>
      </xdr:blipFill>
      <xdr:spPr>
        <a:xfrm>
          <a:off x="9688286" y="12148458"/>
          <a:ext cx="1476581" cy="29341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48</xdr:col>
      <xdr:colOff>247650</xdr:colOff>
      <xdr:row>0</xdr:row>
      <xdr:rowOff>28575</xdr:rowOff>
    </xdr:from>
    <xdr:to>
      <xdr:col>51</xdr:col>
      <xdr:colOff>238125</xdr:colOff>
      <xdr:row>0</xdr:row>
      <xdr:rowOff>288348</xdr:rowOff>
    </xdr:to>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14763750" y="28575"/>
          <a:ext cx="904875" cy="259773"/>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kumimoji="1" lang="ja-JP" altLang="en-US" sz="1100" b="1">
              <a:solidFill>
                <a:srgbClr val="FF0000"/>
              </a:solidFill>
            </a:rPr>
            <a:t>記入例</a:t>
          </a:r>
        </a:p>
      </xdr:txBody>
    </xdr:sp>
    <xdr:clientData/>
  </xdr:twoCellAnchor>
  <xdr:twoCellAnchor>
    <xdr:from>
      <xdr:col>48</xdr:col>
      <xdr:colOff>247650</xdr:colOff>
      <xdr:row>0</xdr:row>
      <xdr:rowOff>28575</xdr:rowOff>
    </xdr:from>
    <xdr:to>
      <xdr:col>51</xdr:col>
      <xdr:colOff>238125</xdr:colOff>
      <xdr:row>0</xdr:row>
      <xdr:rowOff>288348</xdr:rowOff>
    </xdr:to>
    <xdr:sp macro="" textlink="">
      <xdr:nvSpPr>
        <xdr:cNvPr id="4" name="テキスト ボックス 3">
          <a:extLst>
            <a:ext uri="{FF2B5EF4-FFF2-40B4-BE49-F238E27FC236}">
              <a16:creationId xmlns:a16="http://schemas.microsoft.com/office/drawing/2014/main" id="{00000000-0008-0000-0400-000004000000}"/>
            </a:ext>
          </a:extLst>
        </xdr:cNvPr>
        <xdr:cNvSpPr txBox="1"/>
      </xdr:nvSpPr>
      <xdr:spPr>
        <a:xfrm>
          <a:off x="14839950" y="28575"/>
          <a:ext cx="904875" cy="259773"/>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kumimoji="1" lang="ja-JP" altLang="en-US" sz="1100" b="1">
              <a:solidFill>
                <a:srgbClr val="FF0000"/>
              </a:solidFill>
              <a:latin typeface="BIZ UDPゴシック" panose="020B0400000000000000" pitchFamily="50" charset="-128"/>
              <a:ea typeface="BIZ UDPゴシック" panose="020B0400000000000000" pitchFamily="50" charset="-128"/>
            </a:rPr>
            <a:t>記入例</a:t>
          </a:r>
        </a:p>
      </xdr:txBody>
    </xdr:sp>
    <xdr:clientData/>
  </xdr:twoCellAnchor>
  <xdr:twoCellAnchor>
    <xdr:from>
      <xdr:col>37</xdr:col>
      <xdr:colOff>290541</xdr:colOff>
      <xdr:row>8</xdr:row>
      <xdr:rowOff>21895</xdr:rowOff>
    </xdr:from>
    <xdr:to>
      <xdr:col>46</xdr:col>
      <xdr:colOff>153276</xdr:colOff>
      <xdr:row>10</xdr:row>
      <xdr:rowOff>300936</xdr:rowOff>
    </xdr:to>
    <xdr:grpSp>
      <xdr:nvGrpSpPr>
        <xdr:cNvPr id="8" name="グループ化 7">
          <a:extLst>
            <a:ext uri="{FF2B5EF4-FFF2-40B4-BE49-F238E27FC236}">
              <a16:creationId xmlns:a16="http://schemas.microsoft.com/office/drawing/2014/main" id="{00000000-0008-0000-0400-000008000000}"/>
            </a:ext>
          </a:extLst>
        </xdr:cNvPr>
        <xdr:cNvGrpSpPr/>
      </xdr:nvGrpSpPr>
      <xdr:grpSpPr>
        <a:xfrm>
          <a:off x="11920566" y="2298370"/>
          <a:ext cx="2691660" cy="774341"/>
          <a:chOff x="8774906" y="7289006"/>
          <a:chExt cx="2967037" cy="1647823"/>
        </a:xfrm>
        <a:solidFill>
          <a:schemeClr val="bg1"/>
        </a:solidFill>
      </xdr:grpSpPr>
      <xdr:sp macro="" textlink="">
        <xdr:nvSpPr>
          <xdr:cNvPr id="9" name="四角形吹き出し 8">
            <a:extLst>
              <a:ext uri="{FF2B5EF4-FFF2-40B4-BE49-F238E27FC236}">
                <a16:creationId xmlns:a16="http://schemas.microsoft.com/office/drawing/2014/main" id="{00000000-0008-0000-0400-000009000000}"/>
              </a:ext>
            </a:extLst>
          </xdr:cNvPr>
          <xdr:cNvSpPr/>
        </xdr:nvSpPr>
        <xdr:spPr>
          <a:xfrm>
            <a:off x="8774906" y="7289006"/>
            <a:ext cx="2967037" cy="1647823"/>
          </a:xfrm>
          <a:prstGeom prst="wedgeRectCallout">
            <a:avLst>
              <a:gd name="adj1" fmla="val -53957"/>
              <a:gd name="adj2" fmla="val 265580"/>
            </a:avLst>
          </a:prstGeom>
          <a:grp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solidFill>
                <a:sysClr val="windowText" lastClr="000000"/>
              </a:solidFill>
            </a:endParaRPr>
          </a:p>
        </xdr:txBody>
      </xdr:sp>
      <xdr:sp macro="" textlink="">
        <xdr:nvSpPr>
          <xdr:cNvPr id="10" name="テキスト ボックス 9">
            <a:extLst>
              <a:ext uri="{FF2B5EF4-FFF2-40B4-BE49-F238E27FC236}">
                <a16:creationId xmlns:a16="http://schemas.microsoft.com/office/drawing/2014/main" id="{00000000-0008-0000-0400-00000A000000}"/>
              </a:ext>
            </a:extLst>
          </xdr:cNvPr>
          <xdr:cNvSpPr txBox="1"/>
        </xdr:nvSpPr>
        <xdr:spPr>
          <a:xfrm>
            <a:off x="8885465" y="7520940"/>
            <a:ext cx="2795587" cy="1174156"/>
          </a:xfrm>
          <a:prstGeom prst="rect">
            <a:avLst/>
          </a:prstGeom>
          <a:grp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700"/>
              </a:lnSpc>
            </a:pPr>
            <a:r>
              <a:rPr kumimoji="1" lang="ja-JP" altLang="en-US" sz="1400" b="1">
                <a:solidFill>
                  <a:sysClr val="windowText" lastClr="000000"/>
                </a:solidFill>
                <a:latin typeface="BIZ UDPゴシック" panose="020B0400000000000000" pitchFamily="50" charset="-128"/>
                <a:ea typeface="BIZ UDPゴシック" panose="020B0400000000000000" pitchFamily="50" charset="-128"/>
              </a:rPr>
              <a:t>「減免区分」は必ず、リストから選択してください。</a:t>
            </a:r>
            <a:endParaRPr kumimoji="1" lang="en-US" altLang="ja-JP" sz="1400" b="1" u="sng">
              <a:solidFill>
                <a:sysClr val="windowText" lastClr="000000"/>
              </a:solidFill>
              <a:latin typeface="BIZ UDPゴシック" panose="020B0400000000000000" pitchFamily="50" charset="-128"/>
              <a:ea typeface="BIZ UDPゴシック" panose="020B0400000000000000" pitchFamily="50" charset="-128"/>
            </a:endParaRPr>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73</xdr:col>
      <xdr:colOff>257175</xdr:colOff>
      <xdr:row>1</xdr:row>
      <xdr:rowOff>76200</xdr:rowOff>
    </xdr:from>
    <xdr:to>
      <xdr:col>75</xdr:col>
      <xdr:colOff>346076</xdr:colOff>
      <xdr:row>2</xdr:row>
      <xdr:rowOff>269215</xdr:rowOff>
    </xdr:to>
    <xdr:sp macro="" textlink="">
      <xdr:nvSpPr>
        <xdr:cNvPr id="41" name="テキスト ボックス 40">
          <a:extLst>
            <a:ext uri="{FF2B5EF4-FFF2-40B4-BE49-F238E27FC236}">
              <a16:creationId xmlns:a16="http://schemas.microsoft.com/office/drawing/2014/main" id="{00000000-0008-0000-0500-000029000000}"/>
            </a:ext>
          </a:extLst>
        </xdr:cNvPr>
        <xdr:cNvSpPr txBox="1"/>
      </xdr:nvSpPr>
      <xdr:spPr>
        <a:xfrm>
          <a:off x="10265327" y="16379135"/>
          <a:ext cx="1110423" cy="386276"/>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kumimoji="1" lang="ja-JP" altLang="en-US" sz="2000" b="1" baseline="0">
              <a:solidFill>
                <a:srgbClr val="FF0000"/>
              </a:solidFill>
              <a:latin typeface="BIZ UDPゴシック" panose="020B0400000000000000" pitchFamily="50" charset="-128"/>
              <a:ea typeface="BIZ UDPゴシック" panose="020B0400000000000000" pitchFamily="50" charset="-128"/>
            </a:rPr>
            <a:t>記入例</a:t>
          </a:r>
        </a:p>
      </xdr:txBody>
    </xdr:sp>
    <xdr:clientData/>
  </xdr:twoCellAnchor>
  <xdr:twoCellAnchor>
    <xdr:from>
      <xdr:col>86</xdr:col>
      <xdr:colOff>339744</xdr:colOff>
      <xdr:row>14</xdr:row>
      <xdr:rowOff>67806</xdr:rowOff>
    </xdr:from>
    <xdr:to>
      <xdr:col>97</xdr:col>
      <xdr:colOff>49530</xdr:colOff>
      <xdr:row>18</xdr:row>
      <xdr:rowOff>133350</xdr:rowOff>
    </xdr:to>
    <xdr:grpSp>
      <xdr:nvGrpSpPr>
        <xdr:cNvPr id="4" name="グループ化 3">
          <a:extLst>
            <a:ext uri="{FF2B5EF4-FFF2-40B4-BE49-F238E27FC236}">
              <a16:creationId xmlns:a16="http://schemas.microsoft.com/office/drawing/2014/main" id="{00000000-0008-0000-0500-000004000000}"/>
            </a:ext>
          </a:extLst>
        </xdr:cNvPr>
        <xdr:cNvGrpSpPr/>
      </xdr:nvGrpSpPr>
      <xdr:grpSpPr>
        <a:xfrm>
          <a:off x="44656971" y="4778351"/>
          <a:ext cx="4472286" cy="1450999"/>
          <a:chOff x="44386727" y="5096445"/>
          <a:chExt cx="3396073" cy="926718"/>
        </a:xfrm>
      </xdr:grpSpPr>
      <xdr:sp macro="" textlink="">
        <xdr:nvSpPr>
          <xdr:cNvPr id="59" name="四角形吹き出し 58">
            <a:extLst>
              <a:ext uri="{FF2B5EF4-FFF2-40B4-BE49-F238E27FC236}">
                <a16:creationId xmlns:a16="http://schemas.microsoft.com/office/drawing/2014/main" id="{00000000-0008-0000-0500-00003B000000}"/>
              </a:ext>
            </a:extLst>
          </xdr:cNvPr>
          <xdr:cNvSpPr/>
        </xdr:nvSpPr>
        <xdr:spPr>
          <a:xfrm>
            <a:off x="44386727" y="5096445"/>
            <a:ext cx="3396073" cy="926718"/>
          </a:xfrm>
          <a:prstGeom prst="wedgeRectCallout">
            <a:avLst>
              <a:gd name="adj1" fmla="val -85690"/>
              <a:gd name="adj2" fmla="val -248188"/>
            </a:avLst>
          </a:prstGeom>
          <a:solidFill>
            <a:schemeClr val="accent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sz="1200"/>
          </a:p>
        </xdr:txBody>
      </xdr:sp>
      <xdr:sp macro="" textlink="">
        <xdr:nvSpPr>
          <xdr:cNvPr id="60" name="テキスト ボックス 59">
            <a:extLst>
              <a:ext uri="{FF2B5EF4-FFF2-40B4-BE49-F238E27FC236}">
                <a16:creationId xmlns:a16="http://schemas.microsoft.com/office/drawing/2014/main" id="{00000000-0008-0000-0500-00003C000000}"/>
              </a:ext>
            </a:extLst>
          </xdr:cNvPr>
          <xdr:cNvSpPr txBox="1"/>
        </xdr:nvSpPr>
        <xdr:spPr>
          <a:xfrm>
            <a:off x="44472845" y="5225314"/>
            <a:ext cx="3179561" cy="7241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ct val="100000"/>
              </a:lnSpc>
            </a:pPr>
            <a:r>
              <a:rPr kumimoji="1" lang="en-US" altLang="ja-JP" sz="2000" b="1">
                <a:solidFill>
                  <a:schemeClr val="bg1"/>
                </a:solidFill>
              </a:rPr>
              <a:t>【</a:t>
            </a:r>
            <a:r>
              <a:rPr kumimoji="1" lang="ja-JP" altLang="en-US" sz="2000" b="1">
                <a:solidFill>
                  <a:schemeClr val="bg1"/>
                </a:solidFill>
              </a:rPr>
              <a:t>食事申込書</a:t>
            </a:r>
            <a:r>
              <a:rPr kumimoji="1" lang="en-US" altLang="ja-JP" sz="2000" b="1">
                <a:solidFill>
                  <a:schemeClr val="bg1"/>
                </a:solidFill>
              </a:rPr>
              <a:t>】</a:t>
            </a:r>
            <a:r>
              <a:rPr kumimoji="1" lang="ja-JP" altLang="en-US" sz="2000" b="1">
                <a:solidFill>
                  <a:schemeClr val="bg1"/>
                </a:solidFill>
              </a:rPr>
              <a:t>に入力した食数合計が自動的に反映されます。</a:t>
            </a:r>
            <a:endParaRPr kumimoji="1" lang="en-US" altLang="ja-JP" sz="2000" b="1">
              <a:solidFill>
                <a:schemeClr val="bg1"/>
              </a:solidFill>
            </a:endParaRPr>
          </a:p>
          <a:p>
            <a:pPr>
              <a:lnSpc>
                <a:spcPct val="100000"/>
              </a:lnSpc>
            </a:pPr>
            <a:r>
              <a:rPr kumimoji="1" lang="ja-JP" altLang="en-US" sz="2000" b="1">
                <a:solidFill>
                  <a:schemeClr val="bg1"/>
                </a:solidFill>
              </a:rPr>
              <a:t>領収書の内訳を、ご入力ください。</a:t>
            </a:r>
          </a:p>
        </xdr:txBody>
      </xdr:sp>
    </xdr:grpSp>
    <xdr:clientData/>
  </xdr:twoCellAnchor>
  <xdr:twoCellAnchor>
    <xdr:from>
      <xdr:col>73</xdr:col>
      <xdr:colOff>257175</xdr:colOff>
      <xdr:row>1</xdr:row>
      <xdr:rowOff>76200</xdr:rowOff>
    </xdr:from>
    <xdr:to>
      <xdr:col>75</xdr:col>
      <xdr:colOff>346076</xdr:colOff>
      <xdr:row>2</xdr:row>
      <xdr:rowOff>269215</xdr:rowOff>
    </xdr:to>
    <xdr:sp macro="" textlink="">
      <xdr:nvSpPr>
        <xdr:cNvPr id="32" name="テキスト ボックス 31">
          <a:extLst>
            <a:ext uri="{FF2B5EF4-FFF2-40B4-BE49-F238E27FC236}">
              <a16:creationId xmlns:a16="http://schemas.microsoft.com/office/drawing/2014/main" id="{00000000-0008-0000-0500-000020000000}"/>
            </a:ext>
          </a:extLst>
        </xdr:cNvPr>
        <xdr:cNvSpPr txBox="1"/>
      </xdr:nvSpPr>
      <xdr:spPr>
        <a:xfrm>
          <a:off x="37423725" y="371475"/>
          <a:ext cx="1108076" cy="364465"/>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kumimoji="1" lang="ja-JP" altLang="en-US" sz="2000" b="1" baseline="0">
              <a:solidFill>
                <a:srgbClr val="FF0000"/>
              </a:solidFill>
              <a:latin typeface="BIZ UDPゴシック" panose="020B0400000000000000" pitchFamily="50" charset="-128"/>
              <a:ea typeface="BIZ UDPゴシック" panose="020B0400000000000000" pitchFamily="50" charset="-128"/>
            </a:rPr>
            <a:t>記入例</a:t>
          </a:r>
        </a:p>
      </xdr:txBody>
    </xdr:sp>
    <xdr:clientData/>
  </xdr:twoCellAnchor>
  <xdr:twoCellAnchor>
    <xdr:from>
      <xdr:col>73</xdr:col>
      <xdr:colOff>330383</xdr:colOff>
      <xdr:row>14</xdr:row>
      <xdr:rowOff>111576</xdr:rowOff>
    </xdr:from>
    <xdr:to>
      <xdr:col>84</xdr:col>
      <xdr:colOff>171499</xdr:colOff>
      <xdr:row>19</xdr:row>
      <xdr:rowOff>280361</xdr:rowOff>
    </xdr:to>
    <xdr:grpSp>
      <xdr:nvGrpSpPr>
        <xdr:cNvPr id="33" name="グループ化 32">
          <a:extLst>
            <a:ext uri="{FF2B5EF4-FFF2-40B4-BE49-F238E27FC236}">
              <a16:creationId xmlns:a16="http://schemas.microsoft.com/office/drawing/2014/main" id="{00000000-0008-0000-0500-000021000000}"/>
            </a:ext>
          </a:extLst>
        </xdr:cNvPr>
        <xdr:cNvGrpSpPr/>
      </xdr:nvGrpSpPr>
      <xdr:grpSpPr>
        <a:xfrm>
          <a:off x="38846019" y="4822121"/>
          <a:ext cx="4776798" cy="1900604"/>
          <a:chOff x="34375039" y="8056631"/>
          <a:chExt cx="3264174" cy="1489365"/>
        </a:xfrm>
      </xdr:grpSpPr>
      <xdr:sp macro="" textlink="">
        <xdr:nvSpPr>
          <xdr:cNvPr id="34" name="四角形吹き出し 56">
            <a:extLst>
              <a:ext uri="{FF2B5EF4-FFF2-40B4-BE49-F238E27FC236}">
                <a16:creationId xmlns:a16="http://schemas.microsoft.com/office/drawing/2014/main" id="{00000000-0008-0000-0500-000022000000}"/>
              </a:ext>
            </a:extLst>
          </xdr:cNvPr>
          <xdr:cNvSpPr/>
        </xdr:nvSpPr>
        <xdr:spPr>
          <a:xfrm>
            <a:off x="34375039" y="8056631"/>
            <a:ext cx="3264174" cy="1473265"/>
          </a:xfrm>
          <a:prstGeom prst="wedgeRectCallout">
            <a:avLst>
              <a:gd name="adj1" fmla="val -6791"/>
              <a:gd name="adj2" fmla="val 122629"/>
            </a:avLst>
          </a:prstGeom>
          <a:solidFill>
            <a:schemeClr val="accent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sz="1800"/>
          </a:p>
        </xdr:txBody>
      </xdr:sp>
      <xdr:sp macro="" textlink="">
        <xdr:nvSpPr>
          <xdr:cNvPr id="35" name="テキスト ボックス 34">
            <a:extLst>
              <a:ext uri="{FF2B5EF4-FFF2-40B4-BE49-F238E27FC236}">
                <a16:creationId xmlns:a16="http://schemas.microsoft.com/office/drawing/2014/main" id="{00000000-0008-0000-0500-000023000000}"/>
              </a:ext>
            </a:extLst>
          </xdr:cNvPr>
          <xdr:cNvSpPr txBox="1"/>
        </xdr:nvSpPr>
        <xdr:spPr>
          <a:xfrm>
            <a:off x="34528419" y="8214970"/>
            <a:ext cx="3040757" cy="13310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ct val="100000"/>
              </a:lnSpc>
            </a:pPr>
            <a:r>
              <a:rPr kumimoji="1" lang="ja-JP" altLang="en-US" sz="1800" b="1">
                <a:solidFill>
                  <a:schemeClr val="bg1"/>
                </a:solidFill>
                <a:latin typeface="BIZ UDPゴシック" panose="020B0400000000000000" pitchFamily="50" charset="-128"/>
                <a:ea typeface="BIZ UDPゴシック" panose="020B0400000000000000" pitchFamily="50" charset="-128"/>
              </a:rPr>
              <a:t>クラフトは、事前準備の必要があるため、天候によって実施しない場合でも、種類・数量をご記入ください。そのうえで、実施した場合のみ料金を請求いたします。</a:t>
            </a:r>
          </a:p>
        </xdr:txBody>
      </xdr:sp>
    </xdr:grpSp>
    <xdr:clientData/>
  </xdr:twoCellAnchor>
  <mc:AlternateContent xmlns:mc="http://schemas.openxmlformats.org/markup-compatibility/2006">
    <mc:Choice xmlns:a14="http://schemas.microsoft.com/office/drawing/2010/main" Requires="a14">
      <xdr:twoCellAnchor editAs="oneCell">
        <xdr:from>
          <xdr:col>74</xdr:col>
          <xdr:colOff>104775</xdr:colOff>
          <xdr:row>8</xdr:row>
          <xdr:rowOff>304800</xdr:rowOff>
        </xdr:from>
        <xdr:to>
          <xdr:col>75</xdr:col>
          <xdr:colOff>123825</xdr:colOff>
          <xdr:row>10</xdr:row>
          <xdr:rowOff>66675</xdr:rowOff>
        </xdr:to>
        <xdr:sp macro="" textlink="">
          <xdr:nvSpPr>
            <xdr:cNvPr id="39567" name="Check Box 2703" hidden="1">
              <a:extLst>
                <a:ext uri="{63B3BB69-23CF-44E3-9099-C40C66FF867C}">
                  <a14:compatExt spid="_x0000_s39567"/>
                </a:ext>
                <a:ext uri="{FF2B5EF4-FFF2-40B4-BE49-F238E27FC236}">
                  <a16:creationId xmlns:a16="http://schemas.microsoft.com/office/drawing/2014/main" id="{00000000-0008-0000-0500-00008F9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9</xdr:row>
          <xdr:rowOff>304800</xdr:rowOff>
        </xdr:from>
        <xdr:to>
          <xdr:col>75</xdr:col>
          <xdr:colOff>123825</xdr:colOff>
          <xdr:row>11</xdr:row>
          <xdr:rowOff>66675</xdr:rowOff>
        </xdr:to>
        <xdr:sp macro="" textlink="">
          <xdr:nvSpPr>
            <xdr:cNvPr id="39568" name="Check Box 2704" hidden="1">
              <a:extLst>
                <a:ext uri="{63B3BB69-23CF-44E3-9099-C40C66FF867C}">
                  <a14:compatExt spid="_x0000_s39568"/>
                </a:ext>
                <a:ext uri="{FF2B5EF4-FFF2-40B4-BE49-F238E27FC236}">
                  <a16:creationId xmlns:a16="http://schemas.microsoft.com/office/drawing/2014/main" id="{00000000-0008-0000-0500-0000909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95250</xdr:colOff>
          <xdr:row>10</xdr:row>
          <xdr:rowOff>295275</xdr:rowOff>
        </xdr:from>
        <xdr:to>
          <xdr:col>75</xdr:col>
          <xdr:colOff>104775</xdr:colOff>
          <xdr:row>12</xdr:row>
          <xdr:rowOff>57150</xdr:rowOff>
        </xdr:to>
        <xdr:sp macro="" textlink="">
          <xdr:nvSpPr>
            <xdr:cNvPr id="39569" name="Check Box 2705" hidden="1">
              <a:extLst>
                <a:ext uri="{63B3BB69-23CF-44E3-9099-C40C66FF867C}">
                  <a14:compatExt spid="_x0000_s39569"/>
                </a:ext>
                <a:ext uri="{FF2B5EF4-FFF2-40B4-BE49-F238E27FC236}">
                  <a16:creationId xmlns:a16="http://schemas.microsoft.com/office/drawing/2014/main" id="{00000000-0008-0000-0500-0000919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11</xdr:row>
          <xdr:rowOff>314325</xdr:rowOff>
        </xdr:from>
        <xdr:to>
          <xdr:col>75</xdr:col>
          <xdr:colOff>123825</xdr:colOff>
          <xdr:row>13</xdr:row>
          <xdr:rowOff>76200</xdr:rowOff>
        </xdr:to>
        <xdr:sp macro="" textlink="">
          <xdr:nvSpPr>
            <xdr:cNvPr id="39570" name="Check Box 2706" hidden="1">
              <a:extLst>
                <a:ext uri="{63B3BB69-23CF-44E3-9099-C40C66FF867C}">
                  <a14:compatExt spid="_x0000_s39570"/>
                </a:ext>
                <a:ext uri="{FF2B5EF4-FFF2-40B4-BE49-F238E27FC236}">
                  <a16:creationId xmlns:a16="http://schemas.microsoft.com/office/drawing/2014/main" id="{00000000-0008-0000-0500-0000929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95250</xdr:colOff>
          <xdr:row>12</xdr:row>
          <xdr:rowOff>304800</xdr:rowOff>
        </xdr:from>
        <xdr:to>
          <xdr:col>75</xdr:col>
          <xdr:colOff>104775</xdr:colOff>
          <xdr:row>14</xdr:row>
          <xdr:rowOff>47625</xdr:rowOff>
        </xdr:to>
        <xdr:sp macro="" textlink="">
          <xdr:nvSpPr>
            <xdr:cNvPr id="39571" name="Check Box 2707" hidden="1">
              <a:extLst>
                <a:ext uri="{63B3BB69-23CF-44E3-9099-C40C66FF867C}">
                  <a14:compatExt spid="_x0000_s39571"/>
                </a:ext>
                <a:ext uri="{FF2B5EF4-FFF2-40B4-BE49-F238E27FC236}">
                  <a16:creationId xmlns:a16="http://schemas.microsoft.com/office/drawing/2014/main" id="{00000000-0008-0000-0500-0000939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114300</xdr:colOff>
          <xdr:row>9</xdr:row>
          <xdr:rowOff>57150</xdr:rowOff>
        </xdr:from>
        <xdr:to>
          <xdr:col>75</xdr:col>
          <xdr:colOff>0</xdr:colOff>
          <xdr:row>9</xdr:row>
          <xdr:rowOff>304800</xdr:rowOff>
        </xdr:to>
        <xdr:sp macro="" textlink="">
          <xdr:nvSpPr>
            <xdr:cNvPr id="39572" name="Check Box 2708" hidden="1">
              <a:extLst>
                <a:ext uri="{63B3BB69-23CF-44E3-9099-C40C66FF867C}">
                  <a14:compatExt spid="_x0000_s39572"/>
                </a:ext>
                <a:ext uri="{FF2B5EF4-FFF2-40B4-BE49-F238E27FC236}">
                  <a16:creationId xmlns:a16="http://schemas.microsoft.com/office/drawing/2014/main" id="{00000000-0008-0000-0500-0000949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276225</xdr:colOff>
          <xdr:row>10</xdr:row>
          <xdr:rowOff>342900</xdr:rowOff>
        </xdr:from>
        <xdr:to>
          <xdr:col>19</xdr:col>
          <xdr:colOff>638175</xdr:colOff>
          <xdr:row>11</xdr:row>
          <xdr:rowOff>333375</xdr:rowOff>
        </xdr:to>
        <xdr:sp macro="" textlink="">
          <xdr:nvSpPr>
            <xdr:cNvPr id="39606" name="Check Box 2742" hidden="1">
              <a:extLst>
                <a:ext uri="{63B3BB69-23CF-44E3-9099-C40C66FF867C}">
                  <a14:compatExt spid="_x0000_s39606"/>
                </a:ext>
                <a:ext uri="{FF2B5EF4-FFF2-40B4-BE49-F238E27FC236}">
                  <a16:creationId xmlns:a16="http://schemas.microsoft.com/office/drawing/2014/main" id="{00000000-0008-0000-0500-0000B69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276225</xdr:colOff>
          <xdr:row>12</xdr:row>
          <xdr:rowOff>19050</xdr:rowOff>
        </xdr:from>
        <xdr:to>
          <xdr:col>19</xdr:col>
          <xdr:colOff>742950</xdr:colOff>
          <xdr:row>13</xdr:row>
          <xdr:rowOff>47625</xdr:rowOff>
        </xdr:to>
        <xdr:sp macro="" textlink="">
          <xdr:nvSpPr>
            <xdr:cNvPr id="39607" name="Check Box 2743" hidden="1">
              <a:extLst>
                <a:ext uri="{63B3BB69-23CF-44E3-9099-C40C66FF867C}">
                  <a14:compatExt spid="_x0000_s39607"/>
                </a:ext>
                <a:ext uri="{FF2B5EF4-FFF2-40B4-BE49-F238E27FC236}">
                  <a16:creationId xmlns:a16="http://schemas.microsoft.com/office/drawing/2014/main" id="{00000000-0008-0000-0500-0000B79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257175</xdr:colOff>
          <xdr:row>12</xdr:row>
          <xdr:rowOff>314325</xdr:rowOff>
        </xdr:from>
        <xdr:to>
          <xdr:col>19</xdr:col>
          <xdr:colOff>762000</xdr:colOff>
          <xdr:row>14</xdr:row>
          <xdr:rowOff>76200</xdr:rowOff>
        </xdr:to>
        <xdr:sp macro="" textlink="">
          <xdr:nvSpPr>
            <xdr:cNvPr id="39608" name="Check Box 2744" hidden="1">
              <a:extLst>
                <a:ext uri="{63B3BB69-23CF-44E3-9099-C40C66FF867C}">
                  <a14:compatExt spid="_x0000_s39608"/>
                </a:ext>
                <a:ext uri="{FF2B5EF4-FFF2-40B4-BE49-F238E27FC236}">
                  <a16:creationId xmlns:a16="http://schemas.microsoft.com/office/drawing/2014/main" id="{00000000-0008-0000-0500-0000B89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266700</xdr:colOff>
          <xdr:row>13</xdr:row>
          <xdr:rowOff>342900</xdr:rowOff>
        </xdr:from>
        <xdr:to>
          <xdr:col>19</xdr:col>
          <xdr:colOff>733425</xdr:colOff>
          <xdr:row>15</xdr:row>
          <xdr:rowOff>47625</xdr:rowOff>
        </xdr:to>
        <xdr:sp macro="" textlink="">
          <xdr:nvSpPr>
            <xdr:cNvPr id="39609" name="Check Box 2745" hidden="1">
              <a:extLst>
                <a:ext uri="{63B3BB69-23CF-44E3-9099-C40C66FF867C}">
                  <a14:compatExt spid="_x0000_s39609"/>
                </a:ext>
                <a:ext uri="{FF2B5EF4-FFF2-40B4-BE49-F238E27FC236}">
                  <a16:creationId xmlns:a16="http://schemas.microsoft.com/office/drawing/2014/main" id="{00000000-0008-0000-0500-0000B99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238125</xdr:colOff>
          <xdr:row>14</xdr:row>
          <xdr:rowOff>323850</xdr:rowOff>
        </xdr:from>
        <xdr:to>
          <xdr:col>20</xdr:col>
          <xdr:colOff>28575</xdr:colOff>
          <xdr:row>16</xdr:row>
          <xdr:rowOff>47625</xdr:rowOff>
        </xdr:to>
        <xdr:sp macro="" textlink="">
          <xdr:nvSpPr>
            <xdr:cNvPr id="39610" name="Check Box 2746" hidden="1">
              <a:extLst>
                <a:ext uri="{63B3BB69-23CF-44E3-9099-C40C66FF867C}">
                  <a14:compatExt spid="_x0000_s39610"/>
                </a:ext>
                <a:ext uri="{FF2B5EF4-FFF2-40B4-BE49-F238E27FC236}">
                  <a16:creationId xmlns:a16="http://schemas.microsoft.com/office/drawing/2014/main" id="{00000000-0008-0000-0500-0000BA9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133350</xdr:colOff>
          <xdr:row>7</xdr:row>
          <xdr:rowOff>180975</xdr:rowOff>
        </xdr:from>
        <xdr:to>
          <xdr:col>20</xdr:col>
          <xdr:colOff>352425</xdr:colOff>
          <xdr:row>9</xdr:row>
          <xdr:rowOff>200025</xdr:rowOff>
        </xdr:to>
        <xdr:sp macro="" textlink="">
          <xdr:nvSpPr>
            <xdr:cNvPr id="39611" name="Check Box 2747" hidden="1">
              <a:extLst>
                <a:ext uri="{63B3BB69-23CF-44E3-9099-C40C66FF867C}">
                  <a14:compatExt spid="_x0000_s39611"/>
                </a:ext>
                <a:ext uri="{FF2B5EF4-FFF2-40B4-BE49-F238E27FC236}">
                  <a16:creationId xmlns:a16="http://schemas.microsoft.com/office/drawing/2014/main" id="{00000000-0008-0000-0500-0000BB9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276225</xdr:colOff>
          <xdr:row>10</xdr:row>
          <xdr:rowOff>342900</xdr:rowOff>
        </xdr:from>
        <xdr:to>
          <xdr:col>74</xdr:col>
          <xdr:colOff>104775</xdr:colOff>
          <xdr:row>11</xdr:row>
          <xdr:rowOff>333375</xdr:rowOff>
        </xdr:to>
        <xdr:sp macro="" textlink="">
          <xdr:nvSpPr>
            <xdr:cNvPr id="39612" name="Check Box 2748" hidden="1">
              <a:extLst>
                <a:ext uri="{63B3BB69-23CF-44E3-9099-C40C66FF867C}">
                  <a14:compatExt spid="_x0000_s39612"/>
                </a:ext>
                <a:ext uri="{FF2B5EF4-FFF2-40B4-BE49-F238E27FC236}">
                  <a16:creationId xmlns:a16="http://schemas.microsoft.com/office/drawing/2014/main" id="{00000000-0008-0000-0500-0000BC9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276225</xdr:colOff>
          <xdr:row>12</xdr:row>
          <xdr:rowOff>19050</xdr:rowOff>
        </xdr:from>
        <xdr:to>
          <xdr:col>74</xdr:col>
          <xdr:colOff>209550</xdr:colOff>
          <xdr:row>13</xdr:row>
          <xdr:rowOff>47625</xdr:rowOff>
        </xdr:to>
        <xdr:sp macro="" textlink="">
          <xdr:nvSpPr>
            <xdr:cNvPr id="39613" name="Check Box 2749" hidden="1">
              <a:extLst>
                <a:ext uri="{63B3BB69-23CF-44E3-9099-C40C66FF867C}">
                  <a14:compatExt spid="_x0000_s39613"/>
                </a:ext>
                <a:ext uri="{FF2B5EF4-FFF2-40B4-BE49-F238E27FC236}">
                  <a16:creationId xmlns:a16="http://schemas.microsoft.com/office/drawing/2014/main" id="{00000000-0008-0000-0500-0000BD9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257175</xdr:colOff>
          <xdr:row>12</xdr:row>
          <xdr:rowOff>314325</xdr:rowOff>
        </xdr:from>
        <xdr:to>
          <xdr:col>74</xdr:col>
          <xdr:colOff>228600</xdr:colOff>
          <xdr:row>14</xdr:row>
          <xdr:rowOff>76200</xdr:rowOff>
        </xdr:to>
        <xdr:sp macro="" textlink="">
          <xdr:nvSpPr>
            <xdr:cNvPr id="39614" name="Check Box 2750" hidden="1">
              <a:extLst>
                <a:ext uri="{63B3BB69-23CF-44E3-9099-C40C66FF867C}">
                  <a14:compatExt spid="_x0000_s39614"/>
                </a:ext>
                <a:ext uri="{FF2B5EF4-FFF2-40B4-BE49-F238E27FC236}">
                  <a16:creationId xmlns:a16="http://schemas.microsoft.com/office/drawing/2014/main" id="{00000000-0008-0000-0500-0000BE9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266700</xdr:colOff>
          <xdr:row>13</xdr:row>
          <xdr:rowOff>342900</xdr:rowOff>
        </xdr:from>
        <xdr:to>
          <xdr:col>74</xdr:col>
          <xdr:colOff>200025</xdr:colOff>
          <xdr:row>15</xdr:row>
          <xdr:rowOff>47625</xdr:rowOff>
        </xdr:to>
        <xdr:sp macro="" textlink="">
          <xdr:nvSpPr>
            <xdr:cNvPr id="39615" name="Check Box 2751" hidden="1">
              <a:extLst>
                <a:ext uri="{63B3BB69-23CF-44E3-9099-C40C66FF867C}">
                  <a14:compatExt spid="_x0000_s39615"/>
                </a:ext>
                <a:ext uri="{FF2B5EF4-FFF2-40B4-BE49-F238E27FC236}">
                  <a16:creationId xmlns:a16="http://schemas.microsoft.com/office/drawing/2014/main" id="{00000000-0008-0000-0500-0000BF9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238125</xdr:colOff>
          <xdr:row>14</xdr:row>
          <xdr:rowOff>323850</xdr:rowOff>
        </xdr:from>
        <xdr:to>
          <xdr:col>74</xdr:col>
          <xdr:colOff>323850</xdr:colOff>
          <xdr:row>16</xdr:row>
          <xdr:rowOff>47625</xdr:rowOff>
        </xdr:to>
        <xdr:sp macro="" textlink="">
          <xdr:nvSpPr>
            <xdr:cNvPr id="39616" name="Check Box 2752" hidden="1">
              <a:extLst>
                <a:ext uri="{63B3BB69-23CF-44E3-9099-C40C66FF867C}">
                  <a14:compatExt spid="_x0000_s39616"/>
                </a:ext>
                <a:ext uri="{FF2B5EF4-FFF2-40B4-BE49-F238E27FC236}">
                  <a16:creationId xmlns:a16="http://schemas.microsoft.com/office/drawing/2014/main" id="{00000000-0008-0000-0500-0000C09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19050</xdr:colOff>
          <xdr:row>7</xdr:row>
          <xdr:rowOff>228600</xdr:rowOff>
        </xdr:from>
        <xdr:to>
          <xdr:col>74</xdr:col>
          <xdr:colOff>95250</xdr:colOff>
          <xdr:row>9</xdr:row>
          <xdr:rowOff>76200</xdr:rowOff>
        </xdr:to>
        <xdr:sp macro="" textlink="">
          <xdr:nvSpPr>
            <xdr:cNvPr id="39617" name="Check Box 2753" hidden="1">
              <a:extLst>
                <a:ext uri="{63B3BB69-23CF-44E3-9099-C40C66FF867C}">
                  <a14:compatExt spid="_x0000_s39617"/>
                </a:ext>
                <a:ext uri="{FF2B5EF4-FFF2-40B4-BE49-F238E27FC236}">
                  <a16:creationId xmlns:a16="http://schemas.microsoft.com/office/drawing/2014/main" id="{00000000-0008-0000-0500-0000C19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a:t>
              </a:r>
            </a:p>
          </xdr:txBody>
        </xdr:sp>
        <xdr:clientData/>
      </xdr:twoCellAnchor>
    </mc:Choice>
    <mc:Fallback/>
  </mc:AlternateContent>
  <xdr:twoCellAnchor>
    <xdr:from>
      <xdr:col>61</xdr:col>
      <xdr:colOff>484908</xdr:colOff>
      <xdr:row>5</xdr:row>
      <xdr:rowOff>60961</xdr:rowOff>
    </xdr:from>
    <xdr:to>
      <xdr:col>67</xdr:col>
      <xdr:colOff>786688</xdr:colOff>
      <xdr:row>8</xdr:row>
      <xdr:rowOff>228599</xdr:rowOff>
    </xdr:to>
    <xdr:grpSp>
      <xdr:nvGrpSpPr>
        <xdr:cNvPr id="2" name="グループ化 1">
          <a:extLst>
            <a:ext uri="{FF2B5EF4-FFF2-40B4-BE49-F238E27FC236}">
              <a16:creationId xmlns:a16="http://schemas.microsoft.com/office/drawing/2014/main" id="{3917B437-ACA0-0016-B069-A491B5A5D0E9}"/>
            </a:ext>
          </a:extLst>
        </xdr:cNvPr>
        <xdr:cNvGrpSpPr/>
      </xdr:nvGrpSpPr>
      <xdr:grpSpPr>
        <a:xfrm>
          <a:off x="30722453" y="1654234"/>
          <a:ext cx="4388871" cy="1206729"/>
          <a:chOff x="28544520" y="3733801"/>
          <a:chExt cx="4519796" cy="1112519"/>
        </a:xfrm>
      </xdr:grpSpPr>
      <xdr:sp macro="" textlink="">
        <xdr:nvSpPr>
          <xdr:cNvPr id="3" name="四角形吹き出し 56">
            <a:extLst>
              <a:ext uri="{FF2B5EF4-FFF2-40B4-BE49-F238E27FC236}">
                <a16:creationId xmlns:a16="http://schemas.microsoft.com/office/drawing/2014/main" id="{2E59CF12-24AD-47B2-9D8E-A07B3277E2C3}"/>
              </a:ext>
            </a:extLst>
          </xdr:cNvPr>
          <xdr:cNvSpPr/>
        </xdr:nvSpPr>
        <xdr:spPr>
          <a:xfrm>
            <a:off x="28544520" y="3733801"/>
            <a:ext cx="4519796" cy="1112519"/>
          </a:xfrm>
          <a:prstGeom prst="wedgeRectCallout">
            <a:avLst>
              <a:gd name="adj1" fmla="val 126109"/>
              <a:gd name="adj2" fmla="val 37065"/>
            </a:avLst>
          </a:prstGeom>
          <a:solidFill>
            <a:schemeClr val="accent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sz="1800"/>
          </a:p>
        </xdr:txBody>
      </xdr:sp>
      <xdr:sp macro="" textlink="">
        <xdr:nvSpPr>
          <xdr:cNvPr id="5" name="テキスト ボックス 4">
            <a:extLst>
              <a:ext uri="{FF2B5EF4-FFF2-40B4-BE49-F238E27FC236}">
                <a16:creationId xmlns:a16="http://schemas.microsoft.com/office/drawing/2014/main" id="{4274FC7E-186F-4A9E-AE36-E16B8E6F063C}"/>
              </a:ext>
            </a:extLst>
          </xdr:cNvPr>
          <xdr:cNvSpPr txBox="1"/>
        </xdr:nvSpPr>
        <xdr:spPr>
          <a:xfrm>
            <a:off x="28651200" y="3855721"/>
            <a:ext cx="4282440" cy="74675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ct val="100000"/>
              </a:lnSpc>
            </a:pPr>
            <a:r>
              <a:rPr kumimoji="1" lang="en-US" altLang="ja-JP" sz="1800" b="1">
                <a:solidFill>
                  <a:schemeClr val="bg1"/>
                </a:solidFill>
                <a:latin typeface="BIZ UDPゴシック" panose="020B0400000000000000" pitchFamily="50" charset="-128"/>
                <a:ea typeface="BIZ UDPゴシック" panose="020B0400000000000000" pitchFamily="50" charset="-128"/>
              </a:rPr>
              <a:t>※</a:t>
            </a:r>
            <a:r>
              <a:rPr kumimoji="1" lang="ja-JP" altLang="en-US" sz="1800" b="1">
                <a:solidFill>
                  <a:schemeClr val="bg1"/>
                </a:solidFill>
                <a:latin typeface="BIZ UDPゴシック" panose="020B0400000000000000" pitchFamily="50" charset="-128"/>
                <a:ea typeface="BIZ UDPゴシック" panose="020B0400000000000000" pitchFamily="50" charset="-128"/>
              </a:rPr>
              <a:t>に該当する団体は☑を付けてください。</a:t>
            </a:r>
            <a:endParaRPr kumimoji="1" lang="en-US" altLang="ja-JP" sz="1800" b="1">
              <a:solidFill>
                <a:schemeClr val="bg1"/>
              </a:solidFill>
              <a:latin typeface="BIZ UDPゴシック" panose="020B0400000000000000" pitchFamily="50" charset="-128"/>
              <a:ea typeface="BIZ UDPゴシック" panose="020B0400000000000000" pitchFamily="50" charset="-128"/>
            </a:endParaRPr>
          </a:p>
          <a:p>
            <a:pPr>
              <a:lnSpc>
                <a:spcPct val="100000"/>
              </a:lnSpc>
            </a:pPr>
            <a:r>
              <a:rPr kumimoji="1" lang="ja-JP" altLang="en-US" sz="1800" b="1">
                <a:solidFill>
                  <a:schemeClr val="bg1"/>
                </a:solidFill>
                <a:latin typeface="BIZ UDPゴシック" panose="020B0400000000000000" pitchFamily="50" charset="-128"/>
                <a:ea typeface="BIZ UDPゴシック" panose="020B0400000000000000" pitchFamily="50" charset="-128"/>
              </a:rPr>
              <a:t>チェックがないと、宿泊税がかかります。</a:t>
            </a:r>
          </a:p>
        </xdr:txBody>
      </xdr:sp>
    </xdr:grpSp>
    <xdr:clientData/>
  </xdr:twoCellAnchor>
  <mc:AlternateContent xmlns:mc="http://schemas.openxmlformats.org/markup-compatibility/2006">
    <mc:Choice xmlns:a14="http://schemas.microsoft.com/office/drawing/2010/main" Requires="a14">
      <xdr:twoCellAnchor editAs="oneCell">
        <xdr:from>
          <xdr:col>19</xdr:col>
          <xdr:colOff>238125</xdr:colOff>
          <xdr:row>15</xdr:row>
          <xdr:rowOff>323850</xdr:rowOff>
        </xdr:from>
        <xdr:to>
          <xdr:col>20</xdr:col>
          <xdr:colOff>28575</xdr:colOff>
          <xdr:row>17</xdr:row>
          <xdr:rowOff>47625</xdr:rowOff>
        </xdr:to>
        <xdr:sp macro="" textlink="">
          <xdr:nvSpPr>
            <xdr:cNvPr id="39619" name="Check Box 2755" hidden="1">
              <a:extLst>
                <a:ext uri="{63B3BB69-23CF-44E3-9099-C40C66FF867C}">
                  <a14:compatExt spid="_x0000_s39619"/>
                </a:ext>
                <a:ext uri="{FF2B5EF4-FFF2-40B4-BE49-F238E27FC236}">
                  <a16:creationId xmlns:a16="http://schemas.microsoft.com/office/drawing/2014/main" id="{00000000-0008-0000-0500-0000C39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xdr:twoCellAnchor>
    <xdr:from>
      <xdr:col>48</xdr:col>
      <xdr:colOff>200025</xdr:colOff>
      <xdr:row>1</xdr:row>
      <xdr:rowOff>19050</xdr:rowOff>
    </xdr:from>
    <xdr:to>
      <xdr:col>51</xdr:col>
      <xdr:colOff>247650</xdr:colOff>
      <xdr:row>1</xdr:row>
      <xdr:rowOff>285750</xdr:rowOff>
    </xdr:to>
    <xdr:sp macro="" textlink="">
      <xdr:nvSpPr>
        <xdr:cNvPr id="2" name="テキスト ボックス 1">
          <a:extLst>
            <a:ext uri="{FF2B5EF4-FFF2-40B4-BE49-F238E27FC236}">
              <a16:creationId xmlns:a16="http://schemas.microsoft.com/office/drawing/2014/main" id="{00000000-0008-0000-0600-000002000000}"/>
            </a:ext>
          </a:extLst>
        </xdr:cNvPr>
        <xdr:cNvSpPr txBox="1"/>
      </xdr:nvSpPr>
      <xdr:spPr>
        <a:xfrm>
          <a:off x="13458825" y="200025"/>
          <a:ext cx="876300" cy="26670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kumimoji="1" lang="ja-JP" altLang="en-US" sz="1100" b="1">
              <a:solidFill>
                <a:srgbClr val="FF0000"/>
              </a:solidFill>
            </a:rPr>
            <a:t>記入例</a:t>
          </a:r>
        </a:p>
      </xdr:txBody>
    </xdr:sp>
    <xdr:clientData/>
  </xdr:twoCellAnchor>
  <xdr:twoCellAnchor>
    <xdr:from>
      <xdr:col>29</xdr:col>
      <xdr:colOff>0</xdr:colOff>
      <xdr:row>39</xdr:row>
      <xdr:rowOff>0</xdr:rowOff>
    </xdr:from>
    <xdr:to>
      <xdr:col>36</xdr:col>
      <xdr:colOff>219075</xdr:colOff>
      <xdr:row>43</xdr:row>
      <xdr:rowOff>57150</xdr:rowOff>
    </xdr:to>
    <xdr:sp macro="" textlink="">
      <xdr:nvSpPr>
        <xdr:cNvPr id="4" name="吹き出し: 角を丸めた四角形 3">
          <a:extLst>
            <a:ext uri="{FF2B5EF4-FFF2-40B4-BE49-F238E27FC236}">
              <a16:creationId xmlns:a16="http://schemas.microsoft.com/office/drawing/2014/main" id="{00000000-0008-0000-0600-000004000000}"/>
            </a:ext>
          </a:extLst>
        </xdr:cNvPr>
        <xdr:cNvSpPr/>
      </xdr:nvSpPr>
      <xdr:spPr>
        <a:xfrm>
          <a:off x="8315325" y="9791700"/>
          <a:ext cx="2152650" cy="781050"/>
        </a:xfrm>
        <a:prstGeom prst="wedgeRoundRectCallout">
          <a:avLst>
            <a:gd name="adj1" fmla="val 46866"/>
            <a:gd name="adj2" fmla="val 68883"/>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latin typeface="BIZ UDPゴシック" panose="020B0400000000000000" pitchFamily="50" charset="-128"/>
              <a:ea typeface="BIZ UDPゴシック" panose="020B0400000000000000" pitchFamily="50" charset="-128"/>
            </a:rPr>
            <a:t>この部分は、当館スタッフが記入します。未記入のままでご提出ください。</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55</xdr:col>
      <xdr:colOff>10887</xdr:colOff>
      <xdr:row>3</xdr:row>
      <xdr:rowOff>16327</xdr:rowOff>
    </xdr:from>
    <xdr:to>
      <xdr:col>66</xdr:col>
      <xdr:colOff>272144</xdr:colOff>
      <xdr:row>5</xdr:row>
      <xdr:rowOff>40821</xdr:rowOff>
    </xdr:to>
    <xdr:sp macro="" textlink="">
      <xdr:nvSpPr>
        <xdr:cNvPr id="4" name="テキスト ボックス 3">
          <a:extLst>
            <a:ext uri="{FF2B5EF4-FFF2-40B4-BE49-F238E27FC236}">
              <a16:creationId xmlns:a16="http://schemas.microsoft.com/office/drawing/2014/main" id="{7D111C98-7EE4-4840-AAB4-3D6C3260E981}"/>
            </a:ext>
          </a:extLst>
        </xdr:cNvPr>
        <xdr:cNvSpPr txBox="1"/>
      </xdr:nvSpPr>
      <xdr:spPr>
        <a:xfrm>
          <a:off x="14475280" y="996041"/>
          <a:ext cx="3554185" cy="650423"/>
        </a:xfrm>
        <a:prstGeom prst="rect">
          <a:avLst/>
        </a:prstGeom>
        <a:ln/>
      </xdr:spPr>
      <xdr:style>
        <a:lnRef idx="2">
          <a:schemeClr val="accent6"/>
        </a:lnRef>
        <a:fillRef idx="1">
          <a:schemeClr val="lt1"/>
        </a:fillRef>
        <a:effectRef idx="0">
          <a:schemeClr val="accent6"/>
        </a:effectRef>
        <a:fontRef idx="minor">
          <a:schemeClr val="dk1"/>
        </a:fontRef>
      </xdr:style>
      <xdr:txBody>
        <a:bodyPr vertOverflow="clip" horzOverflow="clip" wrap="square" rtlCol="0" anchor="ctr"/>
        <a:lstStyle/>
        <a:p>
          <a:r>
            <a:rPr kumimoji="1" lang="ja-JP" altLang="en-US" sz="1200" b="1">
              <a:solidFill>
                <a:sysClr val="windowText" lastClr="000000"/>
              </a:solidFill>
              <a:latin typeface="BIZ UDPゴシック" panose="020B0400000000000000" pitchFamily="50" charset="-128"/>
              <a:ea typeface="BIZ UDPゴシック" panose="020B0400000000000000" pitchFamily="50" charset="-128"/>
            </a:rPr>
            <a:t>１日目分と２日目分でシートが分かれています。</a:t>
          </a:r>
          <a:endParaRPr kumimoji="1" lang="en-US" altLang="ja-JP" sz="1200" b="1">
            <a:solidFill>
              <a:sysClr val="windowText" lastClr="000000"/>
            </a:solidFill>
            <a:latin typeface="BIZ UDPゴシック" panose="020B0400000000000000" pitchFamily="50" charset="-128"/>
            <a:ea typeface="BIZ UDPゴシック" panose="020B0400000000000000" pitchFamily="50" charset="-128"/>
          </a:endParaRPr>
        </a:p>
        <a:p>
          <a:r>
            <a:rPr kumimoji="1" lang="ja-JP" altLang="en-US" sz="1200" b="1">
              <a:solidFill>
                <a:sysClr val="windowText" lastClr="000000"/>
              </a:solidFill>
              <a:latin typeface="BIZ UDPゴシック" panose="020B0400000000000000" pitchFamily="50" charset="-128"/>
              <a:ea typeface="BIZ UDPゴシック" panose="020B0400000000000000" pitchFamily="50" charset="-128"/>
            </a:rPr>
            <a:t>それそれで入力をお願いします。</a:t>
          </a:r>
        </a:p>
      </xdr:txBody>
    </xdr:sp>
    <xdr:clientData/>
  </xdr:twoCellAnchor>
  <xdr:twoCellAnchor>
    <xdr:from>
      <xdr:col>68</xdr:col>
      <xdr:colOff>63954</xdr:colOff>
      <xdr:row>19</xdr:row>
      <xdr:rowOff>63952</xdr:rowOff>
    </xdr:from>
    <xdr:to>
      <xdr:col>80</xdr:col>
      <xdr:colOff>95252</xdr:colOff>
      <xdr:row>22</xdr:row>
      <xdr:rowOff>163284</xdr:rowOff>
    </xdr:to>
    <xdr:sp macro="" textlink="">
      <xdr:nvSpPr>
        <xdr:cNvPr id="2" name="テキスト ボックス 1">
          <a:extLst>
            <a:ext uri="{FF2B5EF4-FFF2-40B4-BE49-F238E27FC236}">
              <a16:creationId xmlns:a16="http://schemas.microsoft.com/office/drawing/2014/main" id="{7A5D92DA-4644-44B5-AD57-7FA0B131E06D}"/>
            </a:ext>
          </a:extLst>
        </xdr:cNvPr>
        <xdr:cNvSpPr txBox="1"/>
      </xdr:nvSpPr>
      <xdr:spPr>
        <a:xfrm>
          <a:off x="18419990" y="4894488"/>
          <a:ext cx="3623583" cy="793296"/>
        </a:xfrm>
        <a:prstGeom prst="rect">
          <a:avLst/>
        </a:prstGeom>
        <a:ln/>
      </xdr:spPr>
      <xdr:style>
        <a:lnRef idx="2">
          <a:schemeClr val="accent3">
            <a:shade val="15000"/>
          </a:schemeClr>
        </a:lnRef>
        <a:fillRef idx="1">
          <a:schemeClr val="accent3"/>
        </a:fillRef>
        <a:effectRef idx="0">
          <a:schemeClr val="accent3"/>
        </a:effectRef>
        <a:fontRef idx="minor">
          <a:schemeClr val="lt1"/>
        </a:fontRef>
      </xdr:style>
      <xdr:txBody>
        <a:bodyPr vertOverflow="clip" horzOverflow="clip" wrap="square" rtlCol="0" anchor="ctr"/>
        <a:lstStyle/>
        <a:p>
          <a:r>
            <a:rPr kumimoji="1" lang="ja-JP" altLang="en-US" sz="1200" b="1">
              <a:solidFill>
                <a:schemeClr val="bg1"/>
              </a:solidFill>
              <a:latin typeface="BIZ UDPゴシック" panose="020B0400000000000000" pitchFamily="50" charset="-128"/>
              <a:ea typeface="BIZ UDPゴシック" panose="020B0400000000000000" pitchFamily="50" charset="-128"/>
            </a:rPr>
            <a:t>送迎の方は、名前が不要です。台数を入力ください。</a:t>
          </a:r>
          <a:endParaRPr kumimoji="1" lang="en-US" altLang="ja-JP" sz="1200" b="1">
            <a:solidFill>
              <a:schemeClr val="bg1"/>
            </a:solidFill>
            <a:latin typeface="BIZ UDPゴシック" panose="020B0400000000000000" pitchFamily="50" charset="-128"/>
            <a:ea typeface="BIZ UDPゴシック" panose="020B0400000000000000" pitchFamily="50" charset="-128"/>
          </a:endParaRPr>
        </a:p>
        <a:p>
          <a:r>
            <a:rPr kumimoji="1" lang="ja-JP" altLang="en-US" sz="1200" b="1">
              <a:solidFill>
                <a:schemeClr val="bg1"/>
              </a:solidFill>
              <a:latin typeface="BIZ UDPゴシック" panose="020B0400000000000000" pitchFamily="50" charset="-128"/>
              <a:ea typeface="BIZ UDPゴシック" panose="020B0400000000000000" pitchFamily="50" charset="-128"/>
            </a:rPr>
            <a:t>公園内にいる時間は、</a:t>
          </a:r>
          <a:r>
            <a:rPr kumimoji="1" lang="en-US" altLang="ja-JP" sz="1200" b="1">
              <a:solidFill>
                <a:schemeClr val="bg1"/>
              </a:solidFill>
              <a:latin typeface="BIZ UDPゴシック" panose="020B0400000000000000" pitchFamily="50" charset="-128"/>
              <a:ea typeface="BIZ UDPゴシック" panose="020B0400000000000000" pitchFamily="50" charset="-128"/>
            </a:rPr>
            <a:t>30</a:t>
          </a:r>
          <a:r>
            <a:rPr kumimoji="1" lang="ja-JP" altLang="en-US" sz="1200" b="1">
              <a:solidFill>
                <a:schemeClr val="bg1"/>
              </a:solidFill>
              <a:latin typeface="BIZ UDPゴシック" panose="020B0400000000000000" pitchFamily="50" charset="-128"/>
              <a:ea typeface="BIZ UDPゴシック" panose="020B0400000000000000" pitchFamily="50" charset="-128"/>
            </a:rPr>
            <a:t>分です。</a:t>
          </a:r>
        </a:p>
      </xdr:txBody>
    </xdr:sp>
    <xdr:clientData/>
  </xdr:twoCellAnchor>
  <xdr:twoCellAnchor>
    <xdr:from>
      <xdr:col>53</xdr:col>
      <xdr:colOff>284390</xdr:colOff>
      <xdr:row>9</xdr:row>
      <xdr:rowOff>216354</xdr:rowOff>
    </xdr:from>
    <xdr:to>
      <xdr:col>64</xdr:col>
      <xdr:colOff>95251</xdr:colOff>
      <xdr:row>13</xdr:row>
      <xdr:rowOff>84364</xdr:rowOff>
    </xdr:to>
    <xdr:sp macro="" textlink="">
      <xdr:nvSpPr>
        <xdr:cNvPr id="3" name="テキスト ボックス 2">
          <a:extLst>
            <a:ext uri="{FF2B5EF4-FFF2-40B4-BE49-F238E27FC236}">
              <a16:creationId xmlns:a16="http://schemas.microsoft.com/office/drawing/2014/main" id="{2957F640-7592-430B-BF47-B8F9D4B67C17}"/>
            </a:ext>
          </a:extLst>
        </xdr:cNvPr>
        <xdr:cNvSpPr txBox="1"/>
      </xdr:nvSpPr>
      <xdr:spPr>
        <a:xfrm>
          <a:off x="14150069" y="2733675"/>
          <a:ext cx="3103789" cy="793296"/>
        </a:xfrm>
        <a:prstGeom prst="rect">
          <a:avLst/>
        </a:prstGeom>
        <a:ln/>
      </xdr:spPr>
      <xdr:style>
        <a:lnRef idx="3">
          <a:schemeClr val="lt1"/>
        </a:lnRef>
        <a:fillRef idx="1">
          <a:schemeClr val="accent1"/>
        </a:fillRef>
        <a:effectRef idx="1">
          <a:schemeClr val="accent1"/>
        </a:effectRef>
        <a:fontRef idx="minor">
          <a:schemeClr val="lt1"/>
        </a:fontRef>
      </xdr:style>
      <xdr:txBody>
        <a:bodyPr vertOverflow="clip" horzOverflow="clip" wrap="square" rtlCol="0" anchor="ctr"/>
        <a:lstStyle/>
        <a:p>
          <a:r>
            <a:rPr kumimoji="1" lang="ja-JP" altLang="en-US" sz="1200" b="1">
              <a:solidFill>
                <a:schemeClr val="bg1"/>
              </a:solidFill>
              <a:latin typeface="BIZ UDPゴシック" panose="020B0400000000000000" pitchFamily="50" charset="-128"/>
              <a:ea typeface="BIZ UDPゴシック" panose="020B0400000000000000" pitchFamily="50" charset="-128"/>
            </a:rPr>
            <a:t>宿泊者の方は、</a:t>
          </a:r>
          <a:r>
            <a:rPr kumimoji="1" lang="en-US" altLang="ja-JP" sz="1200" b="1">
              <a:solidFill>
                <a:schemeClr val="bg1"/>
              </a:solidFill>
              <a:latin typeface="BIZ UDPゴシック" panose="020B0400000000000000" pitchFamily="50" charset="-128"/>
              <a:ea typeface="BIZ UDPゴシック" panose="020B0400000000000000" pitchFamily="50" charset="-128"/>
            </a:rPr>
            <a:t>2</a:t>
          </a:r>
          <a:r>
            <a:rPr kumimoji="1" lang="ja-JP" altLang="en-US" sz="1200" b="1">
              <a:solidFill>
                <a:schemeClr val="bg1"/>
              </a:solidFill>
              <a:latin typeface="BIZ UDPゴシック" panose="020B0400000000000000" pitchFamily="50" charset="-128"/>
              <a:ea typeface="BIZ UDPゴシック" panose="020B0400000000000000" pitchFamily="50" charset="-128"/>
            </a:rPr>
            <a:t>日目に退園する時間を、</a:t>
          </a:r>
          <a:endParaRPr kumimoji="1" lang="en-US" altLang="ja-JP" sz="1200" b="1">
            <a:solidFill>
              <a:schemeClr val="bg1"/>
            </a:solidFill>
            <a:latin typeface="BIZ UDPゴシック" panose="020B0400000000000000" pitchFamily="50" charset="-128"/>
            <a:ea typeface="BIZ UDPゴシック" panose="020B0400000000000000" pitchFamily="50" charset="-128"/>
          </a:endParaRPr>
        </a:p>
        <a:p>
          <a:r>
            <a:rPr kumimoji="1" lang="en-US" altLang="ja-JP" sz="1200" b="1">
              <a:solidFill>
                <a:schemeClr val="bg1"/>
              </a:solidFill>
              <a:latin typeface="BIZ UDPゴシック" panose="020B0400000000000000" pitchFamily="50" charset="-128"/>
              <a:ea typeface="BIZ UDPゴシック" panose="020B0400000000000000" pitchFamily="50" charset="-128"/>
            </a:rPr>
            <a:t>1</a:t>
          </a:r>
          <a:r>
            <a:rPr kumimoji="1" lang="ja-JP" altLang="en-US" sz="1200" b="1">
              <a:solidFill>
                <a:schemeClr val="bg1"/>
              </a:solidFill>
              <a:latin typeface="BIZ UDPゴシック" panose="020B0400000000000000" pitchFamily="50" charset="-128"/>
              <a:ea typeface="BIZ UDPゴシック" panose="020B0400000000000000" pitchFamily="50" charset="-128"/>
            </a:rPr>
            <a:t>日目のシートにご入力ください。</a:t>
          </a:r>
        </a:p>
      </xdr:txBody>
    </xdr:sp>
    <xdr:clientData/>
  </xdr:twoCellAnchor>
  <xdr:twoCellAnchor>
    <xdr:from>
      <xdr:col>45</xdr:col>
      <xdr:colOff>287111</xdr:colOff>
      <xdr:row>24</xdr:row>
      <xdr:rowOff>83003</xdr:rowOff>
    </xdr:from>
    <xdr:to>
      <xdr:col>56</xdr:col>
      <xdr:colOff>97971</xdr:colOff>
      <xdr:row>29</xdr:row>
      <xdr:rowOff>95248</xdr:rowOff>
    </xdr:to>
    <xdr:sp macro="" textlink="">
      <xdr:nvSpPr>
        <xdr:cNvPr id="5" name="テキスト ボックス 4">
          <a:extLst>
            <a:ext uri="{FF2B5EF4-FFF2-40B4-BE49-F238E27FC236}">
              <a16:creationId xmlns:a16="http://schemas.microsoft.com/office/drawing/2014/main" id="{F6A17A83-33C9-4C76-96E4-7FA1A285E14F}"/>
            </a:ext>
          </a:extLst>
        </xdr:cNvPr>
        <xdr:cNvSpPr txBox="1"/>
      </xdr:nvSpPr>
      <xdr:spPr>
        <a:xfrm>
          <a:off x="11757932" y="6070146"/>
          <a:ext cx="3103789" cy="1046388"/>
        </a:xfrm>
        <a:prstGeom prst="rect">
          <a:avLst/>
        </a:prstGeom>
        <a:solidFill>
          <a:schemeClr val="accent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200" b="1">
              <a:solidFill>
                <a:schemeClr val="bg1"/>
              </a:solidFill>
              <a:latin typeface="BIZ UDPゴシック" panose="020B0400000000000000" pitchFamily="50" charset="-128"/>
              <a:ea typeface="BIZ UDPゴシック" panose="020B0400000000000000" pitchFamily="50" charset="-128"/>
            </a:rPr>
            <a:t>公園の開園時間内に入園される方は、料金所でお支払いください。</a:t>
          </a:r>
          <a:endParaRPr kumimoji="1" lang="en-US" altLang="ja-JP" sz="1200" b="1">
            <a:solidFill>
              <a:schemeClr val="bg1"/>
            </a:solidFill>
            <a:latin typeface="BIZ UDPゴシック" panose="020B0400000000000000" pitchFamily="50" charset="-128"/>
            <a:ea typeface="BIZ UDPゴシック" panose="020B0400000000000000" pitchFamily="50" charset="-128"/>
          </a:endParaRPr>
        </a:p>
        <a:p>
          <a:r>
            <a:rPr kumimoji="1" lang="ja-JP" altLang="en-US" sz="1200" b="1">
              <a:solidFill>
                <a:schemeClr val="bg1"/>
              </a:solidFill>
              <a:latin typeface="BIZ UDPゴシック" panose="020B0400000000000000" pitchFamily="50" charset="-128"/>
              <a:ea typeface="BIZ UDPゴシック" panose="020B0400000000000000" pitchFamily="50" charset="-128"/>
            </a:rPr>
            <a:t>公園の閉園時間は、山の家の事務室にて</a:t>
          </a:r>
          <a:endParaRPr kumimoji="1" lang="en-US" altLang="ja-JP" sz="1200" b="1">
            <a:solidFill>
              <a:schemeClr val="bg1"/>
            </a:solidFill>
            <a:latin typeface="BIZ UDPゴシック" panose="020B0400000000000000" pitchFamily="50" charset="-128"/>
            <a:ea typeface="BIZ UDPゴシック" panose="020B0400000000000000" pitchFamily="50" charset="-128"/>
          </a:endParaRPr>
        </a:p>
        <a:p>
          <a:r>
            <a:rPr kumimoji="1" lang="ja-JP" altLang="en-US" sz="1200" b="1">
              <a:solidFill>
                <a:schemeClr val="bg1"/>
              </a:solidFill>
              <a:latin typeface="BIZ UDPゴシック" panose="020B0400000000000000" pitchFamily="50" charset="-128"/>
              <a:ea typeface="BIZ UDPゴシック" panose="020B0400000000000000" pitchFamily="50" charset="-128"/>
            </a:rPr>
            <a:t>駐車料金をお支払いください。</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48</xdr:col>
      <xdr:colOff>238125</xdr:colOff>
      <xdr:row>1</xdr:row>
      <xdr:rowOff>28575</xdr:rowOff>
    </xdr:from>
    <xdr:to>
      <xdr:col>51</xdr:col>
      <xdr:colOff>247650</xdr:colOff>
      <xdr:row>1</xdr:row>
      <xdr:rowOff>288348</xdr:rowOff>
    </xdr:to>
    <xdr:sp macro="" textlink="">
      <xdr:nvSpPr>
        <xdr:cNvPr id="2" name="テキスト ボックス 1">
          <a:extLst>
            <a:ext uri="{FF2B5EF4-FFF2-40B4-BE49-F238E27FC236}">
              <a16:creationId xmlns:a16="http://schemas.microsoft.com/office/drawing/2014/main" id="{00000000-0008-0000-0800-000002000000}"/>
            </a:ext>
          </a:extLst>
        </xdr:cNvPr>
        <xdr:cNvSpPr txBox="1"/>
      </xdr:nvSpPr>
      <xdr:spPr>
        <a:xfrm>
          <a:off x="13496925" y="390525"/>
          <a:ext cx="838200" cy="259773"/>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kumimoji="1" lang="ja-JP" altLang="en-US" sz="1100" b="1">
              <a:solidFill>
                <a:srgbClr val="FF0000"/>
              </a:solidFill>
              <a:latin typeface="BIZ UDPゴシック" panose="020B0400000000000000" pitchFamily="50" charset="-128"/>
              <a:ea typeface="BIZ UDPゴシック" panose="020B0400000000000000" pitchFamily="50" charset="-128"/>
            </a:rPr>
            <a:t>記入例</a:t>
          </a:r>
        </a:p>
      </xdr:txBody>
    </xdr:sp>
    <xdr:clientData/>
  </xdr:twoCellAnchor>
  <mc:AlternateContent xmlns:mc="http://schemas.openxmlformats.org/markup-compatibility/2006">
    <mc:Choice xmlns:a14="http://schemas.microsoft.com/office/drawing/2010/main" Requires="a14">
      <xdr:twoCellAnchor editAs="oneCell">
        <xdr:from>
          <xdr:col>6</xdr:col>
          <xdr:colOff>85725</xdr:colOff>
          <xdr:row>16</xdr:row>
          <xdr:rowOff>76200</xdr:rowOff>
        </xdr:from>
        <xdr:to>
          <xdr:col>7</xdr:col>
          <xdr:colOff>114300</xdr:colOff>
          <xdr:row>16</xdr:row>
          <xdr:rowOff>323850</xdr:rowOff>
        </xdr:to>
        <xdr:sp macro="" textlink="">
          <xdr:nvSpPr>
            <xdr:cNvPr id="44034" name="Check Box 2" hidden="1">
              <a:extLst>
                <a:ext uri="{63B3BB69-23CF-44E3-9099-C40C66FF867C}">
                  <a14:compatExt spid="_x0000_s44034"/>
                </a:ext>
                <a:ext uri="{FF2B5EF4-FFF2-40B4-BE49-F238E27FC236}">
                  <a16:creationId xmlns:a16="http://schemas.microsoft.com/office/drawing/2014/main" id="{00000000-0008-0000-0800-000002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17</xdr:row>
          <xdr:rowOff>38100</xdr:rowOff>
        </xdr:from>
        <xdr:to>
          <xdr:col>7</xdr:col>
          <xdr:colOff>104775</xdr:colOff>
          <xdr:row>17</xdr:row>
          <xdr:rowOff>323850</xdr:rowOff>
        </xdr:to>
        <xdr:sp macro="" textlink="">
          <xdr:nvSpPr>
            <xdr:cNvPr id="44035" name="Check Box 3" hidden="1">
              <a:extLst>
                <a:ext uri="{63B3BB69-23CF-44E3-9099-C40C66FF867C}">
                  <a14:compatExt spid="_x0000_s44035"/>
                </a:ext>
                <a:ext uri="{FF2B5EF4-FFF2-40B4-BE49-F238E27FC236}">
                  <a16:creationId xmlns:a16="http://schemas.microsoft.com/office/drawing/2014/main" id="{00000000-0008-0000-0800-000003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erver_n\&#20849;&#26377;\&#20196;&#21644;4&#24180;&#24230;(2022&#24180;&#24230;)\03&#30456;&#35527;&#12539;&#20107;&#26989;\00.&#30456;&#35527;\07.&#30003;&#35531;&#26360;&#39006;\&#20196;&#21644;4&#24180;&#29992;\01R4&#30003;&#35531;&#26360;&#39006;&#65288;&#26413;&#24140;&#24066;&#20869;&#23567;&#20013;&#23398;&#26657;&#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erver_n\&#20849;&#26377;\&#20196;&#21644;2&#24180;&#24230;(2020&#24180;&#24230;)\03%20&#30456;&#35527;\&#9679;R2&#12288;&#30003;&#35531;&#26360;&#39006;\&#25913;&#33391;&#29256;&#65288;&#33276;&#20117;&#20316;&#25104;&#65289;\&#19968;&#33324;&#22243;&#20307;&#29992;&#65288;ver1.1&#12525;&#12483;&#12463;&#12354;&#12426;&#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2-2 利用計画書 (冬季)"/>
      <sheetName val="※必ずはじめにお読みください※"/>
      <sheetName val="01 使用承認申請書"/>
      <sheetName val="02-1 利用計画書"/>
      <sheetName val="03 食事申込書"/>
      <sheetName val="04 食物アレルギー確認書"/>
      <sheetName val="05 利用者名簿"/>
      <sheetName val="06-1　人数報告用紙（4.20～11.10用）"/>
      <sheetName val="06-2　人数報告用紙（11.11~4.19用）"/>
      <sheetName val="07 使用料減免申請書"/>
      <sheetName val="08-1 補助的指導者（使用申込書）"/>
      <sheetName val="08-2 補助的指導者（駐車カード）"/>
      <sheetName val="09　歩くスキー事前調査票"/>
      <sheetName val="8 車両同行報告書 (2)"/>
      <sheetName val="11 利用日変更（取消）報告書"/>
    </sheetNames>
    <sheetDataSet>
      <sheetData sheetId="0"/>
      <sheetData sheetId="1"/>
      <sheetData sheetId="2">
        <row r="13">
          <cell r="Q13" t="str">
            <v/>
          </cell>
        </row>
      </sheetData>
      <sheetData sheetId="3"/>
      <sheetData sheetId="4">
        <row r="56">
          <cell r="BK56" t="str">
            <v>朝　食</v>
          </cell>
        </row>
        <row r="57">
          <cell r="BK57" t="str">
            <v>昼　食</v>
          </cell>
        </row>
        <row r="58">
          <cell r="BK58" t="str">
            <v>夕　食</v>
          </cell>
        </row>
      </sheetData>
      <sheetData sheetId="5"/>
      <sheetData sheetId="6">
        <row r="260">
          <cell r="A260" t="str">
            <v>小</v>
          </cell>
          <cell r="B260" t="str">
            <v>中</v>
          </cell>
          <cell r="C260" t="str">
            <v>引</v>
          </cell>
          <cell r="D260" t="str">
            <v>一</v>
          </cell>
        </row>
      </sheetData>
      <sheetData sheetId="7"/>
      <sheetData sheetId="8"/>
      <sheetData sheetId="9"/>
      <sheetData sheetId="10"/>
      <sheetData sheetId="11"/>
      <sheetData sheetId="12"/>
      <sheetData sheetId="13"/>
      <sheetData sheetId="1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必ずはじめにお読みください※"/>
      <sheetName val="01 使用承認申請書"/>
      <sheetName val="02 利用計画書"/>
      <sheetName val="03 食事申込書"/>
      <sheetName val="04 食物アレルギー確認書"/>
      <sheetName val="05 利用者名簿"/>
      <sheetName val="06　人数報告用紙"/>
      <sheetName val="07 使用料減免申請書"/>
      <sheetName val="08 車両動向報告書"/>
      <sheetName val="09 利用日変更（取消）報告書"/>
    </sheetNames>
    <sheetDataSet>
      <sheetData sheetId="0"/>
      <sheetData sheetId="1">
        <row r="14">
          <cell r="AC14" t="str">
            <v>10</v>
          </cell>
        </row>
        <row r="16">
          <cell r="AC16" t="str">
            <v>10</v>
          </cell>
        </row>
      </sheetData>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xDef>
      <a:spPr>
        <a:noFill/>
        <a:ln w="9525" cmpd="sng">
          <a:noFill/>
        </a:ln>
      </a:spPr>
      <a:bodyPr vertOverflow="clip" horzOverflow="clip" wrap="square" rtlCol="0" anchor="t"/>
      <a:lstStyle>
        <a:defPPr algn="l">
          <a:lnSpc>
            <a:spcPts val="1700"/>
          </a:lnSpc>
          <a:defRPr kumimoji="1" sz="1800" b="1">
            <a:solidFill>
              <a:schemeClr val="bg1"/>
            </a:solidFill>
          </a:defRPr>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yama@syaa.jp" TargetMode="Externa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omments" Target="../comments1.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8" Type="http://schemas.openxmlformats.org/officeDocument/2006/relationships/ctrlProp" Target="../ctrlProps/ctrlProp5.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6" Type="http://schemas.openxmlformats.org/officeDocument/2006/relationships/ctrlProp" Target="../ctrlProps/ctrlProp55.xml"/><Relationship Id="rId21" Type="http://schemas.openxmlformats.org/officeDocument/2006/relationships/ctrlProp" Target="../ctrlProps/ctrlProp50.xml"/><Relationship Id="rId42" Type="http://schemas.openxmlformats.org/officeDocument/2006/relationships/ctrlProp" Target="../ctrlProps/ctrlProp71.xml"/><Relationship Id="rId47" Type="http://schemas.openxmlformats.org/officeDocument/2006/relationships/ctrlProp" Target="../ctrlProps/ctrlProp76.xml"/><Relationship Id="rId63" Type="http://schemas.openxmlformats.org/officeDocument/2006/relationships/ctrlProp" Target="../ctrlProps/ctrlProp92.xml"/><Relationship Id="rId68" Type="http://schemas.openxmlformats.org/officeDocument/2006/relationships/ctrlProp" Target="../ctrlProps/ctrlProp97.xml"/><Relationship Id="rId84" Type="http://schemas.openxmlformats.org/officeDocument/2006/relationships/ctrlProp" Target="../ctrlProps/ctrlProp113.xml"/><Relationship Id="rId89" Type="http://schemas.openxmlformats.org/officeDocument/2006/relationships/ctrlProp" Target="../ctrlProps/ctrlProp118.xml"/><Relationship Id="rId16" Type="http://schemas.openxmlformats.org/officeDocument/2006/relationships/ctrlProp" Target="../ctrlProps/ctrlProp45.xml"/><Relationship Id="rId11" Type="http://schemas.openxmlformats.org/officeDocument/2006/relationships/ctrlProp" Target="../ctrlProps/ctrlProp40.xml"/><Relationship Id="rId32" Type="http://schemas.openxmlformats.org/officeDocument/2006/relationships/ctrlProp" Target="../ctrlProps/ctrlProp61.xml"/><Relationship Id="rId37" Type="http://schemas.openxmlformats.org/officeDocument/2006/relationships/ctrlProp" Target="../ctrlProps/ctrlProp66.xml"/><Relationship Id="rId53" Type="http://schemas.openxmlformats.org/officeDocument/2006/relationships/ctrlProp" Target="../ctrlProps/ctrlProp82.xml"/><Relationship Id="rId58" Type="http://schemas.openxmlformats.org/officeDocument/2006/relationships/ctrlProp" Target="../ctrlProps/ctrlProp87.xml"/><Relationship Id="rId74" Type="http://schemas.openxmlformats.org/officeDocument/2006/relationships/ctrlProp" Target="../ctrlProps/ctrlProp103.xml"/><Relationship Id="rId79" Type="http://schemas.openxmlformats.org/officeDocument/2006/relationships/ctrlProp" Target="../ctrlProps/ctrlProp108.xml"/><Relationship Id="rId5" Type="http://schemas.openxmlformats.org/officeDocument/2006/relationships/ctrlProp" Target="../ctrlProps/ctrlProp34.xml"/><Relationship Id="rId90" Type="http://schemas.openxmlformats.org/officeDocument/2006/relationships/ctrlProp" Target="../ctrlProps/ctrlProp119.xml"/><Relationship Id="rId95" Type="http://schemas.openxmlformats.org/officeDocument/2006/relationships/ctrlProp" Target="../ctrlProps/ctrlProp124.xml"/><Relationship Id="rId22" Type="http://schemas.openxmlformats.org/officeDocument/2006/relationships/ctrlProp" Target="../ctrlProps/ctrlProp51.xml"/><Relationship Id="rId27" Type="http://schemas.openxmlformats.org/officeDocument/2006/relationships/ctrlProp" Target="../ctrlProps/ctrlProp56.xml"/><Relationship Id="rId43" Type="http://schemas.openxmlformats.org/officeDocument/2006/relationships/ctrlProp" Target="../ctrlProps/ctrlProp72.xml"/><Relationship Id="rId48" Type="http://schemas.openxmlformats.org/officeDocument/2006/relationships/ctrlProp" Target="../ctrlProps/ctrlProp77.xml"/><Relationship Id="rId64" Type="http://schemas.openxmlformats.org/officeDocument/2006/relationships/ctrlProp" Target="../ctrlProps/ctrlProp93.xml"/><Relationship Id="rId69" Type="http://schemas.openxmlformats.org/officeDocument/2006/relationships/ctrlProp" Target="../ctrlProps/ctrlProp98.xml"/><Relationship Id="rId80" Type="http://schemas.openxmlformats.org/officeDocument/2006/relationships/ctrlProp" Target="../ctrlProps/ctrlProp109.xml"/><Relationship Id="rId85" Type="http://schemas.openxmlformats.org/officeDocument/2006/relationships/ctrlProp" Target="../ctrlProps/ctrlProp114.xml"/><Relationship Id="rId3" Type="http://schemas.openxmlformats.org/officeDocument/2006/relationships/vmlDrawing" Target="../drawings/vmlDrawing2.vml"/><Relationship Id="rId12" Type="http://schemas.openxmlformats.org/officeDocument/2006/relationships/ctrlProp" Target="../ctrlProps/ctrlProp41.xml"/><Relationship Id="rId17" Type="http://schemas.openxmlformats.org/officeDocument/2006/relationships/ctrlProp" Target="../ctrlProps/ctrlProp46.xml"/><Relationship Id="rId25" Type="http://schemas.openxmlformats.org/officeDocument/2006/relationships/ctrlProp" Target="../ctrlProps/ctrlProp54.xml"/><Relationship Id="rId33" Type="http://schemas.openxmlformats.org/officeDocument/2006/relationships/ctrlProp" Target="../ctrlProps/ctrlProp62.xml"/><Relationship Id="rId38" Type="http://schemas.openxmlformats.org/officeDocument/2006/relationships/ctrlProp" Target="../ctrlProps/ctrlProp67.xml"/><Relationship Id="rId46" Type="http://schemas.openxmlformats.org/officeDocument/2006/relationships/ctrlProp" Target="../ctrlProps/ctrlProp75.xml"/><Relationship Id="rId59" Type="http://schemas.openxmlformats.org/officeDocument/2006/relationships/ctrlProp" Target="../ctrlProps/ctrlProp88.xml"/><Relationship Id="rId67" Type="http://schemas.openxmlformats.org/officeDocument/2006/relationships/ctrlProp" Target="../ctrlProps/ctrlProp96.xml"/><Relationship Id="rId20" Type="http://schemas.openxmlformats.org/officeDocument/2006/relationships/ctrlProp" Target="../ctrlProps/ctrlProp49.xml"/><Relationship Id="rId41" Type="http://schemas.openxmlformats.org/officeDocument/2006/relationships/ctrlProp" Target="../ctrlProps/ctrlProp70.xml"/><Relationship Id="rId54" Type="http://schemas.openxmlformats.org/officeDocument/2006/relationships/ctrlProp" Target="../ctrlProps/ctrlProp83.xml"/><Relationship Id="rId62" Type="http://schemas.openxmlformats.org/officeDocument/2006/relationships/ctrlProp" Target="../ctrlProps/ctrlProp91.xml"/><Relationship Id="rId70" Type="http://schemas.openxmlformats.org/officeDocument/2006/relationships/ctrlProp" Target="../ctrlProps/ctrlProp99.xml"/><Relationship Id="rId75" Type="http://schemas.openxmlformats.org/officeDocument/2006/relationships/ctrlProp" Target="../ctrlProps/ctrlProp104.xml"/><Relationship Id="rId83" Type="http://schemas.openxmlformats.org/officeDocument/2006/relationships/ctrlProp" Target="../ctrlProps/ctrlProp112.xml"/><Relationship Id="rId88" Type="http://schemas.openxmlformats.org/officeDocument/2006/relationships/ctrlProp" Target="../ctrlProps/ctrlProp117.xml"/><Relationship Id="rId91" Type="http://schemas.openxmlformats.org/officeDocument/2006/relationships/ctrlProp" Target="../ctrlProps/ctrlProp120.xml"/><Relationship Id="rId96" Type="http://schemas.openxmlformats.org/officeDocument/2006/relationships/ctrlProp" Target="../ctrlProps/ctrlProp125.xml"/><Relationship Id="rId1" Type="http://schemas.openxmlformats.org/officeDocument/2006/relationships/printerSettings" Target="../printerSettings/printerSettings4.bin"/><Relationship Id="rId6" Type="http://schemas.openxmlformats.org/officeDocument/2006/relationships/ctrlProp" Target="../ctrlProps/ctrlProp35.xml"/><Relationship Id="rId15" Type="http://schemas.openxmlformats.org/officeDocument/2006/relationships/ctrlProp" Target="../ctrlProps/ctrlProp44.xml"/><Relationship Id="rId23" Type="http://schemas.openxmlformats.org/officeDocument/2006/relationships/ctrlProp" Target="../ctrlProps/ctrlProp52.xml"/><Relationship Id="rId28" Type="http://schemas.openxmlformats.org/officeDocument/2006/relationships/ctrlProp" Target="../ctrlProps/ctrlProp57.xml"/><Relationship Id="rId36" Type="http://schemas.openxmlformats.org/officeDocument/2006/relationships/ctrlProp" Target="../ctrlProps/ctrlProp65.xml"/><Relationship Id="rId49" Type="http://schemas.openxmlformats.org/officeDocument/2006/relationships/ctrlProp" Target="../ctrlProps/ctrlProp78.xml"/><Relationship Id="rId57" Type="http://schemas.openxmlformats.org/officeDocument/2006/relationships/ctrlProp" Target="../ctrlProps/ctrlProp86.xml"/><Relationship Id="rId10" Type="http://schemas.openxmlformats.org/officeDocument/2006/relationships/ctrlProp" Target="../ctrlProps/ctrlProp39.xml"/><Relationship Id="rId31" Type="http://schemas.openxmlformats.org/officeDocument/2006/relationships/ctrlProp" Target="../ctrlProps/ctrlProp60.xml"/><Relationship Id="rId44" Type="http://schemas.openxmlformats.org/officeDocument/2006/relationships/ctrlProp" Target="../ctrlProps/ctrlProp73.xml"/><Relationship Id="rId52" Type="http://schemas.openxmlformats.org/officeDocument/2006/relationships/ctrlProp" Target="../ctrlProps/ctrlProp81.xml"/><Relationship Id="rId60" Type="http://schemas.openxmlformats.org/officeDocument/2006/relationships/ctrlProp" Target="../ctrlProps/ctrlProp89.xml"/><Relationship Id="rId65" Type="http://schemas.openxmlformats.org/officeDocument/2006/relationships/ctrlProp" Target="../ctrlProps/ctrlProp94.xml"/><Relationship Id="rId73" Type="http://schemas.openxmlformats.org/officeDocument/2006/relationships/ctrlProp" Target="../ctrlProps/ctrlProp102.xml"/><Relationship Id="rId78" Type="http://schemas.openxmlformats.org/officeDocument/2006/relationships/ctrlProp" Target="../ctrlProps/ctrlProp107.xml"/><Relationship Id="rId81" Type="http://schemas.openxmlformats.org/officeDocument/2006/relationships/ctrlProp" Target="../ctrlProps/ctrlProp110.xml"/><Relationship Id="rId86" Type="http://schemas.openxmlformats.org/officeDocument/2006/relationships/ctrlProp" Target="../ctrlProps/ctrlProp115.xml"/><Relationship Id="rId94" Type="http://schemas.openxmlformats.org/officeDocument/2006/relationships/ctrlProp" Target="../ctrlProps/ctrlProp123.xml"/><Relationship Id="rId4" Type="http://schemas.openxmlformats.org/officeDocument/2006/relationships/ctrlProp" Target="../ctrlProps/ctrlProp33.xml"/><Relationship Id="rId9" Type="http://schemas.openxmlformats.org/officeDocument/2006/relationships/ctrlProp" Target="../ctrlProps/ctrlProp38.xml"/><Relationship Id="rId13" Type="http://schemas.openxmlformats.org/officeDocument/2006/relationships/ctrlProp" Target="../ctrlProps/ctrlProp42.xml"/><Relationship Id="rId18" Type="http://schemas.openxmlformats.org/officeDocument/2006/relationships/ctrlProp" Target="../ctrlProps/ctrlProp47.xml"/><Relationship Id="rId39" Type="http://schemas.openxmlformats.org/officeDocument/2006/relationships/ctrlProp" Target="../ctrlProps/ctrlProp68.xml"/><Relationship Id="rId34" Type="http://schemas.openxmlformats.org/officeDocument/2006/relationships/ctrlProp" Target="../ctrlProps/ctrlProp63.xml"/><Relationship Id="rId50" Type="http://schemas.openxmlformats.org/officeDocument/2006/relationships/ctrlProp" Target="../ctrlProps/ctrlProp79.xml"/><Relationship Id="rId55" Type="http://schemas.openxmlformats.org/officeDocument/2006/relationships/ctrlProp" Target="../ctrlProps/ctrlProp84.xml"/><Relationship Id="rId76" Type="http://schemas.openxmlformats.org/officeDocument/2006/relationships/ctrlProp" Target="../ctrlProps/ctrlProp105.xml"/><Relationship Id="rId97" Type="http://schemas.openxmlformats.org/officeDocument/2006/relationships/ctrlProp" Target="../ctrlProps/ctrlProp126.xml"/><Relationship Id="rId7" Type="http://schemas.openxmlformats.org/officeDocument/2006/relationships/ctrlProp" Target="../ctrlProps/ctrlProp36.xml"/><Relationship Id="rId71" Type="http://schemas.openxmlformats.org/officeDocument/2006/relationships/ctrlProp" Target="../ctrlProps/ctrlProp100.xml"/><Relationship Id="rId92" Type="http://schemas.openxmlformats.org/officeDocument/2006/relationships/ctrlProp" Target="../ctrlProps/ctrlProp121.xml"/><Relationship Id="rId2" Type="http://schemas.openxmlformats.org/officeDocument/2006/relationships/drawing" Target="../drawings/drawing3.xml"/><Relationship Id="rId29" Type="http://schemas.openxmlformats.org/officeDocument/2006/relationships/ctrlProp" Target="../ctrlProps/ctrlProp58.xml"/><Relationship Id="rId24" Type="http://schemas.openxmlformats.org/officeDocument/2006/relationships/ctrlProp" Target="../ctrlProps/ctrlProp53.xml"/><Relationship Id="rId40" Type="http://schemas.openxmlformats.org/officeDocument/2006/relationships/ctrlProp" Target="../ctrlProps/ctrlProp69.xml"/><Relationship Id="rId45" Type="http://schemas.openxmlformats.org/officeDocument/2006/relationships/ctrlProp" Target="../ctrlProps/ctrlProp74.xml"/><Relationship Id="rId66" Type="http://schemas.openxmlformats.org/officeDocument/2006/relationships/ctrlProp" Target="../ctrlProps/ctrlProp95.xml"/><Relationship Id="rId87" Type="http://schemas.openxmlformats.org/officeDocument/2006/relationships/ctrlProp" Target="../ctrlProps/ctrlProp116.xml"/><Relationship Id="rId61" Type="http://schemas.openxmlformats.org/officeDocument/2006/relationships/ctrlProp" Target="../ctrlProps/ctrlProp90.xml"/><Relationship Id="rId82" Type="http://schemas.openxmlformats.org/officeDocument/2006/relationships/ctrlProp" Target="../ctrlProps/ctrlProp111.xml"/><Relationship Id="rId19" Type="http://schemas.openxmlformats.org/officeDocument/2006/relationships/ctrlProp" Target="../ctrlProps/ctrlProp48.xml"/><Relationship Id="rId14" Type="http://schemas.openxmlformats.org/officeDocument/2006/relationships/ctrlProp" Target="../ctrlProps/ctrlProp43.xml"/><Relationship Id="rId30" Type="http://schemas.openxmlformats.org/officeDocument/2006/relationships/ctrlProp" Target="../ctrlProps/ctrlProp59.xml"/><Relationship Id="rId35" Type="http://schemas.openxmlformats.org/officeDocument/2006/relationships/ctrlProp" Target="../ctrlProps/ctrlProp64.xml"/><Relationship Id="rId56" Type="http://schemas.openxmlformats.org/officeDocument/2006/relationships/ctrlProp" Target="../ctrlProps/ctrlProp85.xml"/><Relationship Id="rId77" Type="http://schemas.openxmlformats.org/officeDocument/2006/relationships/ctrlProp" Target="../ctrlProps/ctrlProp106.xml"/><Relationship Id="rId8" Type="http://schemas.openxmlformats.org/officeDocument/2006/relationships/ctrlProp" Target="../ctrlProps/ctrlProp37.xml"/><Relationship Id="rId51" Type="http://schemas.openxmlformats.org/officeDocument/2006/relationships/ctrlProp" Target="../ctrlProps/ctrlProp80.xml"/><Relationship Id="rId72" Type="http://schemas.openxmlformats.org/officeDocument/2006/relationships/ctrlProp" Target="../ctrlProps/ctrlProp101.xml"/><Relationship Id="rId93" Type="http://schemas.openxmlformats.org/officeDocument/2006/relationships/ctrlProp" Target="../ctrlProps/ctrlProp122.xml"/><Relationship Id="rId98"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131.xml"/><Relationship Id="rId13" Type="http://schemas.openxmlformats.org/officeDocument/2006/relationships/ctrlProp" Target="../ctrlProps/ctrlProp136.xml"/><Relationship Id="rId18" Type="http://schemas.openxmlformats.org/officeDocument/2006/relationships/ctrlProp" Target="../ctrlProps/ctrlProp141.xml"/><Relationship Id="rId3" Type="http://schemas.openxmlformats.org/officeDocument/2006/relationships/vmlDrawing" Target="../drawings/vmlDrawing4.vml"/><Relationship Id="rId21" Type="http://schemas.openxmlformats.org/officeDocument/2006/relationships/ctrlProp" Target="../ctrlProps/ctrlProp144.xml"/><Relationship Id="rId7" Type="http://schemas.openxmlformats.org/officeDocument/2006/relationships/ctrlProp" Target="../ctrlProps/ctrlProp130.xml"/><Relationship Id="rId12" Type="http://schemas.openxmlformats.org/officeDocument/2006/relationships/ctrlProp" Target="../ctrlProps/ctrlProp135.xml"/><Relationship Id="rId17" Type="http://schemas.openxmlformats.org/officeDocument/2006/relationships/ctrlProp" Target="../ctrlProps/ctrlProp140.xml"/><Relationship Id="rId2" Type="http://schemas.openxmlformats.org/officeDocument/2006/relationships/drawing" Target="../drawings/drawing5.xml"/><Relationship Id="rId16" Type="http://schemas.openxmlformats.org/officeDocument/2006/relationships/ctrlProp" Target="../ctrlProps/ctrlProp139.xml"/><Relationship Id="rId20" Type="http://schemas.openxmlformats.org/officeDocument/2006/relationships/ctrlProp" Target="../ctrlProps/ctrlProp143.xml"/><Relationship Id="rId1" Type="http://schemas.openxmlformats.org/officeDocument/2006/relationships/printerSettings" Target="../printerSettings/printerSettings6.bin"/><Relationship Id="rId6" Type="http://schemas.openxmlformats.org/officeDocument/2006/relationships/ctrlProp" Target="../ctrlProps/ctrlProp129.xml"/><Relationship Id="rId11" Type="http://schemas.openxmlformats.org/officeDocument/2006/relationships/ctrlProp" Target="../ctrlProps/ctrlProp134.xml"/><Relationship Id="rId5" Type="http://schemas.openxmlformats.org/officeDocument/2006/relationships/ctrlProp" Target="../ctrlProps/ctrlProp128.xml"/><Relationship Id="rId15" Type="http://schemas.openxmlformats.org/officeDocument/2006/relationships/ctrlProp" Target="../ctrlProps/ctrlProp138.xml"/><Relationship Id="rId23" Type="http://schemas.openxmlformats.org/officeDocument/2006/relationships/comments" Target="../comments4.xml"/><Relationship Id="rId10" Type="http://schemas.openxmlformats.org/officeDocument/2006/relationships/ctrlProp" Target="../ctrlProps/ctrlProp133.xml"/><Relationship Id="rId19" Type="http://schemas.openxmlformats.org/officeDocument/2006/relationships/ctrlProp" Target="../ctrlProps/ctrlProp142.xml"/><Relationship Id="rId4" Type="http://schemas.openxmlformats.org/officeDocument/2006/relationships/ctrlProp" Target="../ctrlProps/ctrlProp127.xml"/><Relationship Id="rId9" Type="http://schemas.openxmlformats.org/officeDocument/2006/relationships/ctrlProp" Target="../ctrlProps/ctrlProp132.xml"/><Relationship Id="rId14" Type="http://schemas.openxmlformats.org/officeDocument/2006/relationships/ctrlProp" Target="../ctrlProps/ctrlProp137.xml"/><Relationship Id="rId22" Type="http://schemas.openxmlformats.org/officeDocument/2006/relationships/ctrlProp" Target="../ctrlProps/ctrlProp145.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8.xml"/><Relationship Id="rId1" Type="http://schemas.openxmlformats.org/officeDocument/2006/relationships/printerSettings" Target="../printerSettings/printerSettings9.bin"/><Relationship Id="rId5" Type="http://schemas.openxmlformats.org/officeDocument/2006/relationships/ctrlProp" Target="../ctrlProps/ctrlProp147.xml"/><Relationship Id="rId4" Type="http://schemas.openxmlformats.org/officeDocument/2006/relationships/ctrlProp" Target="../ctrlProps/ctrlProp14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0"/>
  <dimension ref="A1:AC34"/>
  <sheetViews>
    <sheetView tabSelected="1" view="pageBreakPreview" topLeftCell="A2" zoomScaleNormal="100" zoomScaleSheetLayoutView="100" workbookViewId="0">
      <selection activeCell="AB8" sqref="AB8"/>
    </sheetView>
  </sheetViews>
  <sheetFormatPr defaultColWidth="9" defaultRowHeight="13.5"/>
  <cols>
    <col min="1" max="26" width="3.625" style="297" customWidth="1"/>
    <col min="27" max="16384" width="9" style="297"/>
  </cols>
  <sheetData>
    <row r="1" spans="1:26" hidden="1"/>
    <row r="2" spans="1:26" ht="20.100000000000001" customHeight="1">
      <c r="A2" s="1001" t="s">
        <v>228</v>
      </c>
      <c r="B2" s="1001"/>
      <c r="C2" s="1001"/>
      <c r="D2" s="1001"/>
      <c r="E2" s="1001"/>
      <c r="F2" s="1001"/>
      <c r="G2" s="1001"/>
      <c r="H2" s="1001"/>
      <c r="I2" s="1001"/>
      <c r="J2" s="1001"/>
      <c r="K2" s="1001"/>
      <c r="L2" s="1001"/>
      <c r="M2" s="1001"/>
      <c r="N2" s="1001"/>
      <c r="O2" s="1001"/>
      <c r="P2" s="1001"/>
      <c r="Q2" s="1001"/>
      <c r="R2" s="1001"/>
      <c r="S2" s="1001"/>
      <c r="T2" s="1001"/>
      <c r="U2" s="1001"/>
      <c r="V2" s="1001"/>
      <c r="W2" s="1001"/>
      <c r="X2" s="1001"/>
      <c r="Y2" s="1001"/>
      <c r="Z2" s="1001"/>
    </row>
    <row r="3" spans="1:26" ht="20.100000000000001" customHeight="1">
      <c r="A3" s="490"/>
      <c r="B3" s="491"/>
      <c r="C3" s="491"/>
      <c r="D3" s="491"/>
      <c r="E3" s="491"/>
      <c r="F3" s="491"/>
      <c r="G3" s="491"/>
      <c r="H3" s="491"/>
      <c r="I3" s="491"/>
      <c r="J3" s="491"/>
      <c r="K3" s="491"/>
      <c r="L3" s="491"/>
      <c r="M3" s="491"/>
      <c r="N3" s="491"/>
      <c r="O3" s="491"/>
      <c r="P3" s="491"/>
      <c r="Q3" s="491"/>
      <c r="R3" s="491"/>
      <c r="S3" s="491"/>
      <c r="T3" s="491"/>
      <c r="U3" s="491"/>
      <c r="V3" s="1004" t="s">
        <v>962</v>
      </c>
      <c r="W3" s="1004"/>
      <c r="X3" s="1004"/>
      <c r="Y3" s="1004"/>
      <c r="Z3" s="1004"/>
    </row>
    <row r="4" spans="1:26" ht="20.100000000000001" customHeight="1">
      <c r="A4" s="1003"/>
      <c r="B4" s="1003"/>
      <c r="C4" s="1003"/>
      <c r="D4" s="1003"/>
      <c r="E4" s="1003"/>
      <c r="F4" s="1003"/>
      <c r="G4" s="1003"/>
      <c r="H4" s="1003"/>
      <c r="I4" s="1002" t="s">
        <v>1</v>
      </c>
      <c r="J4" s="1002"/>
      <c r="K4" s="1002"/>
      <c r="L4" s="1002"/>
      <c r="M4" s="1002"/>
      <c r="N4" s="1002"/>
      <c r="O4" s="1002"/>
      <c r="P4" s="1002"/>
      <c r="Q4" s="1002"/>
      <c r="R4" s="1002"/>
      <c r="S4" s="1003"/>
      <c r="T4" s="1003"/>
      <c r="U4" s="1003"/>
      <c r="V4" s="1003"/>
      <c r="W4" s="1003"/>
      <c r="X4" s="1003"/>
      <c r="Y4" s="1003"/>
      <c r="Z4" s="1003"/>
    </row>
    <row r="5" spans="1:26" ht="20.100000000000001" customHeight="1">
      <c r="A5" s="990"/>
      <c r="B5" s="990"/>
      <c r="C5" s="990"/>
      <c r="D5" s="990"/>
      <c r="E5" s="990"/>
      <c r="F5" s="990"/>
      <c r="G5" s="990"/>
      <c r="H5" s="990"/>
      <c r="I5" s="990"/>
      <c r="J5" s="990"/>
      <c r="K5" s="990"/>
      <c r="L5" s="990"/>
      <c r="M5" s="990"/>
      <c r="N5" s="990"/>
      <c r="O5" s="990"/>
      <c r="P5" s="990"/>
      <c r="Q5" s="990"/>
      <c r="R5" s="990"/>
      <c r="S5" s="990"/>
      <c r="T5" s="990"/>
      <c r="U5" s="990"/>
      <c r="V5" s="990"/>
      <c r="W5" s="990"/>
      <c r="X5" s="990"/>
      <c r="Y5" s="990"/>
      <c r="Z5" s="990"/>
    </row>
    <row r="6" spans="1:26" ht="20.100000000000001" customHeight="1">
      <c r="A6" s="991" t="s">
        <v>4</v>
      </c>
      <c r="B6" s="992"/>
      <c r="C6" s="992"/>
      <c r="D6" s="992"/>
      <c r="E6" s="992"/>
      <c r="F6" s="992"/>
      <c r="G6" s="992"/>
      <c r="H6" s="992"/>
      <c r="I6" s="992"/>
      <c r="J6" s="992"/>
      <c r="K6" s="992"/>
      <c r="L6" s="992"/>
      <c r="M6" s="992"/>
      <c r="N6" s="992"/>
      <c r="O6" s="992"/>
      <c r="P6" s="992"/>
      <c r="Q6" s="992"/>
      <c r="R6" s="992"/>
      <c r="S6" s="992"/>
      <c r="T6" s="992"/>
      <c r="U6" s="992"/>
      <c r="V6" s="992"/>
      <c r="W6" s="992"/>
      <c r="X6" s="992"/>
      <c r="Y6" s="992"/>
      <c r="Z6" s="992"/>
    </row>
    <row r="7" spans="1:26" ht="20.100000000000001" customHeight="1">
      <c r="A7" s="992"/>
      <c r="B7" s="992"/>
      <c r="C7" s="992"/>
      <c r="D7" s="992"/>
      <c r="E7" s="992"/>
      <c r="F7" s="992"/>
      <c r="G7" s="992"/>
      <c r="H7" s="992"/>
      <c r="I7" s="992"/>
      <c r="J7" s="992"/>
      <c r="K7" s="992"/>
      <c r="L7" s="992"/>
      <c r="M7" s="992"/>
      <c r="N7" s="992"/>
      <c r="O7" s="992"/>
      <c r="P7" s="992"/>
      <c r="Q7" s="992"/>
      <c r="R7" s="992"/>
      <c r="S7" s="992"/>
      <c r="T7" s="992"/>
      <c r="U7" s="992"/>
      <c r="V7" s="992"/>
      <c r="W7" s="992"/>
      <c r="X7" s="992"/>
      <c r="Y7" s="992"/>
      <c r="Z7" s="992"/>
    </row>
    <row r="8" spans="1:26" ht="20.100000000000001" customHeight="1">
      <c r="A8" s="991" t="s">
        <v>2</v>
      </c>
      <c r="B8" s="992"/>
      <c r="C8" s="992"/>
      <c r="D8" s="992"/>
      <c r="E8" s="992"/>
      <c r="F8" s="992"/>
      <c r="G8" s="992"/>
      <c r="H8" s="992"/>
      <c r="I8" s="992"/>
      <c r="J8" s="992"/>
      <c r="K8" s="992"/>
      <c r="L8" s="992"/>
      <c r="M8" s="992"/>
      <c r="N8" s="992"/>
      <c r="O8" s="992"/>
      <c r="P8" s="992"/>
      <c r="Q8" s="992"/>
      <c r="R8" s="992"/>
      <c r="S8" s="992"/>
      <c r="T8" s="992"/>
      <c r="U8" s="992"/>
      <c r="V8" s="992"/>
      <c r="W8" s="992"/>
      <c r="X8" s="992"/>
      <c r="Y8" s="992"/>
      <c r="Z8" s="992"/>
    </row>
    <row r="9" spans="1:26" ht="20.100000000000001" customHeight="1">
      <c r="A9" s="992" t="s">
        <v>229</v>
      </c>
      <c r="B9" s="992"/>
      <c r="C9" s="992"/>
      <c r="D9" s="992"/>
      <c r="E9" s="992"/>
      <c r="F9" s="1005" t="s">
        <v>746</v>
      </c>
      <c r="G9" s="1005"/>
      <c r="H9" s="1005"/>
      <c r="I9" s="492" t="s">
        <v>614</v>
      </c>
      <c r="J9" s="492"/>
      <c r="K9" s="492"/>
      <c r="L9" s="492"/>
      <c r="M9" s="492"/>
      <c r="N9" s="492"/>
      <c r="O9" s="492"/>
      <c r="P9" s="492"/>
      <c r="Q9" s="492"/>
      <c r="R9" s="492"/>
      <c r="S9" s="492"/>
      <c r="T9" s="492"/>
      <c r="U9" s="492"/>
      <c r="V9" s="492"/>
      <c r="W9" s="492"/>
      <c r="X9" s="492"/>
      <c r="Y9" s="492"/>
      <c r="Z9" s="492"/>
    </row>
    <row r="10" spans="1:26" ht="20.100000000000001" customHeight="1">
      <c r="A10" s="1006" t="s">
        <v>586</v>
      </c>
      <c r="B10" s="1006"/>
      <c r="C10" s="1006"/>
      <c r="D10" s="1006"/>
      <c r="E10" s="1006"/>
      <c r="F10" s="1006"/>
      <c r="G10" s="1006"/>
      <c r="H10" s="1006"/>
      <c r="I10" s="1006"/>
      <c r="J10" s="1006"/>
      <c r="K10" s="1006"/>
      <c r="L10" s="1006"/>
      <c r="M10" s="1006"/>
      <c r="N10" s="1006"/>
      <c r="O10" s="1006"/>
      <c r="P10" s="1006"/>
      <c r="Q10" s="1006"/>
      <c r="R10" s="1006"/>
      <c r="S10" s="1006"/>
      <c r="T10" s="1006"/>
      <c r="U10" s="1006"/>
      <c r="V10" s="1006"/>
      <c r="W10" s="1006"/>
      <c r="X10" s="1006"/>
      <c r="Y10" s="1006"/>
      <c r="Z10" s="1006"/>
    </row>
    <row r="11" spans="1:26">
      <c r="A11" s="1006"/>
      <c r="B11" s="1006"/>
      <c r="C11" s="1006"/>
      <c r="D11" s="1006"/>
      <c r="E11" s="1006"/>
      <c r="F11" s="1006"/>
      <c r="G11" s="1006"/>
      <c r="H11" s="1006"/>
      <c r="I11" s="1006"/>
      <c r="J11" s="1006"/>
      <c r="K11" s="1006"/>
      <c r="L11" s="1006"/>
      <c r="M11" s="1006"/>
      <c r="N11" s="1006"/>
      <c r="O11" s="1006"/>
      <c r="P11" s="1006"/>
      <c r="Q11" s="1006"/>
      <c r="R11" s="1006"/>
      <c r="S11" s="1006"/>
      <c r="T11" s="1006"/>
      <c r="U11" s="1006"/>
      <c r="V11" s="1006"/>
      <c r="W11" s="1006"/>
      <c r="X11" s="1006"/>
      <c r="Y11" s="1006"/>
      <c r="Z11" s="1006"/>
    </row>
    <row r="12" spans="1:26" ht="20.100000000000001" customHeight="1">
      <c r="A12" s="992" t="s">
        <v>585</v>
      </c>
      <c r="B12" s="992"/>
      <c r="C12" s="992"/>
      <c r="D12" s="992"/>
      <c r="E12" s="992"/>
      <c r="F12" s="992"/>
      <c r="G12" s="992"/>
      <c r="H12" s="992"/>
      <c r="I12" s="992"/>
      <c r="J12" s="992"/>
      <c r="K12" s="992"/>
      <c r="L12" s="992"/>
      <c r="M12" s="992"/>
      <c r="N12" s="992"/>
      <c r="O12" s="992"/>
      <c r="P12" s="992"/>
      <c r="Q12" s="992"/>
      <c r="R12" s="992"/>
      <c r="S12" s="992"/>
      <c r="T12" s="992"/>
      <c r="U12" s="992"/>
      <c r="V12" s="992"/>
      <c r="W12" s="992"/>
      <c r="X12" s="992"/>
      <c r="Y12" s="992"/>
      <c r="Z12" s="992"/>
    </row>
    <row r="13" spans="1:26" ht="20.100000000000001" customHeight="1"/>
    <row r="14" spans="1:26" ht="20.100000000000001" customHeight="1">
      <c r="A14" s="991" t="s">
        <v>3</v>
      </c>
      <c r="B14" s="992"/>
      <c r="C14" s="992"/>
      <c r="D14" s="992"/>
      <c r="E14" s="992"/>
      <c r="F14" s="992"/>
      <c r="G14" s="992"/>
      <c r="H14" s="992"/>
      <c r="I14" s="992"/>
      <c r="J14" s="992"/>
      <c r="K14" s="992"/>
      <c r="L14" s="992"/>
      <c r="M14" s="992"/>
      <c r="N14" s="992"/>
      <c r="O14" s="992"/>
      <c r="P14" s="992"/>
      <c r="Q14" s="992"/>
      <c r="R14" s="992"/>
      <c r="S14" s="992"/>
      <c r="T14" s="992"/>
      <c r="U14" s="992"/>
      <c r="V14" s="992"/>
      <c r="W14" s="992"/>
      <c r="X14" s="992"/>
      <c r="Y14" s="992"/>
      <c r="Z14" s="992"/>
    </row>
    <row r="15" spans="1:26" ht="20.100000000000001" customHeight="1">
      <c r="A15" s="493"/>
      <c r="B15" s="981" t="s">
        <v>734</v>
      </c>
      <c r="C15" s="982"/>
      <c r="D15" s="982"/>
      <c r="E15" s="982"/>
      <c r="F15" s="982"/>
      <c r="G15" s="982"/>
      <c r="H15" s="983"/>
      <c r="I15" s="981" t="s">
        <v>735</v>
      </c>
      <c r="J15" s="982"/>
      <c r="K15" s="982"/>
      <c r="L15" s="982"/>
      <c r="M15" s="982"/>
      <c r="N15" s="982"/>
      <c r="O15" s="983"/>
      <c r="P15" s="701"/>
      <c r="Q15" s="493"/>
      <c r="R15" s="493"/>
      <c r="S15" s="493"/>
      <c r="T15" s="493"/>
      <c r="U15" s="493"/>
      <c r="V15" s="493"/>
      <c r="W15" s="493"/>
      <c r="X15" s="493"/>
      <c r="Y15" s="493"/>
      <c r="Z15" s="493"/>
    </row>
    <row r="16" spans="1:26" ht="20.100000000000001" customHeight="1">
      <c r="A16" s="494"/>
      <c r="B16" s="984" t="s">
        <v>736</v>
      </c>
      <c r="C16" s="985"/>
      <c r="D16" s="985"/>
      <c r="E16" s="985"/>
      <c r="F16" s="985"/>
      <c r="G16" s="985"/>
      <c r="H16" s="986"/>
      <c r="I16" s="963" t="s">
        <v>737</v>
      </c>
      <c r="J16" s="964"/>
      <c r="K16" s="964"/>
      <c r="L16" s="964"/>
      <c r="M16" s="964"/>
      <c r="N16" s="964"/>
      <c r="O16" s="965"/>
      <c r="P16" s="701"/>
      <c r="Q16" s="493"/>
      <c r="R16" s="493"/>
      <c r="S16" s="493"/>
      <c r="T16" s="493"/>
      <c r="U16" s="493"/>
      <c r="V16" s="493"/>
      <c r="W16" s="493"/>
      <c r="X16" s="493"/>
      <c r="Y16" s="493"/>
      <c r="Z16" s="493"/>
    </row>
    <row r="17" spans="1:29" ht="20.100000000000001" customHeight="1">
      <c r="A17" s="492"/>
      <c r="B17" s="984" t="s">
        <v>738</v>
      </c>
      <c r="C17" s="985"/>
      <c r="D17" s="985"/>
      <c r="E17" s="985"/>
      <c r="F17" s="985"/>
      <c r="G17" s="985"/>
      <c r="H17" s="986"/>
      <c r="I17" s="966"/>
      <c r="J17" s="967"/>
      <c r="K17" s="967"/>
      <c r="L17" s="967"/>
      <c r="M17" s="967"/>
      <c r="N17" s="967"/>
      <c r="O17" s="968"/>
      <c r="P17" s="701"/>
      <c r="Q17" s="493"/>
      <c r="R17" s="493"/>
      <c r="S17" s="493"/>
      <c r="T17" s="493"/>
      <c r="U17" s="493"/>
      <c r="V17" s="493"/>
      <c r="W17" s="493"/>
      <c r="X17" s="493"/>
      <c r="Y17" s="493"/>
      <c r="Z17" s="493"/>
      <c r="AC17" s="489"/>
    </row>
    <row r="18" spans="1:29" ht="20.100000000000001" customHeight="1">
      <c r="A18" s="494"/>
      <c r="B18" s="984" t="s">
        <v>739</v>
      </c>
      <c r="C18" s="985"/>
      <c r="D18" s="985"/>
      <c r="E18" s="985"/>
      <c r="F18" s="985"/>
      <c r="G18" s="985"/>
      <c r="H18" s="986"/>
      <c r="I18" s="969"/>
      <c r="J18" s="970"/>
      <c r="K18" s="970"/>
      <c r="L18" s="970"/>
      <c r="M18" s="970"/>
      <c r="N18" s="970"/>
      <c r="O18" s="971"/>
      <c r="P18" s="701"/>
      <c r="Q18" s="493"/>
      <c r="R18" s="493"/>
      <c r="S18" s="493"/>
      <c r="T18" s="493"/>
      <c r="U18" s="493"/>
      <c r="V18" s="493"/>
      <c r="W18" s="493"/>
      <c r="X18" s="493"/>
      <c r="Y18" s="493"/>
      <c r="Z18" s="493"/>
    </row>
    <row r="19" spans="1:29" ht="20.100000000000001" customHeight="1">
      <c r="A19" s="492"/>
      <c r="B19" s="960" t="s">
        <v>740</v>
      </c>
      <c r="C19" s="961"/>
      <c r="D19" s="961"/>
      <c r="E19" s="961"/>
      <c r="F19" s="961"/>
      <c r="G19" s="961"/>
      <c r="H19" s="962"/>
      <c r="I19" s="972" t="s">
        <v>766</v>
      </c>
      <c r="J19" s="973"/>
      <c r="K19" s="973"/>
      <c r="L19" s="973"/>
      <c r="M19" s="973"/>
      <c r="N19" s="973"/>
      <c r="O19" s="974"/>
      <c r="P19" s="701"/>
      <c r="Q19" s="493"/>
      <c r="R19" s="493"/>
      <c r="S19" s="493"/>
      <c r="T19" s="493"/>
      <c r="U19" s="493"/>
      <c r="V19" s="493"/>
      <c r="W19" s="493"/>
      <c r="X19" s="493"/>
      <c r="Y19" s="493"/>
      <c r="Z19" s="493"/>
    </row>
    <row r="20" spans="1:29" ht="20.100000000000001" customHeight="1">
      <c r="A20" s="492"/>
      <c r="B20" s="960" t="s">
        <v>741</v>
      </c>
      <c r="C20" s="961"/>
      <c r="D20" s="961"/>
      <c r="E20" s="961"/>
      <c r="F20" s="961"/>
      <c r="G20" s="961"/>
      <c r="H20" s="962"/>
      <c r="I20" s="975"/>
      <c r="J20" s="976"/>
      <c r="K20" s="976"/>
      <c r="L20" s="976"/>
      <c r="M20" s="976"/>
      <c r="N20" s="976"/>
      <c r="O20" s="977"/>
      <c r="P20" s="701"/>
      <c r="Q20" s="493"/>
      <c r="R20" s="493"/>
      <c r="S20" s="493"/>
      <c r="T20" s="493"/>
      <c r="U20" s="493"/>
      <c r="V20" s="493"/>
      <c r="W20" s="493"/>
      <c r="X20" s="493"/>
      <c r="Y20" s="493"/>
      <c r="Z20" s="493"/>
    </row>
    <row r="21" spans="1:29" ht="20.100000000000001" customHeight="1">
      <c r="A21" s="494"/>
      <c r="B21" s="960" t="s">
        <v>742</v>
      </c>
      <c r="C21" s="961"/>
      <c r="D21" s="961"/>
      <c r="E21" s="961"/>
      <c r="F21" s="961"/>
      <c r="G21" s="961"/>
      <c r="H21" s="962"/>
      <c r="I21" s="975"/>
      <c r="J21" s="976"/>
      <c r="K21" s="976"/>
      <c r="L21" s="976"/>
      <c r="M21" s="976"/>
      <c r="N21" s="976"/>
      <c r="O21" s="977"/>
      <c r="P21" s="701"/>
      <c r="Q21" s="493"/>
      <c r="R21" s="493"/>
      <c r="S21" s="493"/>
      <c r="T21" s="493"/>
      <c r="U21" s="493"/>
      <c r="V21" s="493"/>
      <c r="W21" s="493"/>
      <c r="X21" s="493"/>
      <c r="Y21" s="493"/>
      <c r="Z21" s="493"/>
    </row>
    <row r="22" spans="1:29" ht="20.100000000000001" customHeight="1">
      <c r="A22" s="494"/>
      <c r="B22" s="960" t="s">
        <v>744</v>
      </c>
      <c r="C22" s="961"/>
      <c r="D22" s="961"/>
      <c r="E22" s="961"/>
      <c r="F22" s="961"/>
      <c r="G22" s="961"/>
      <c r="H22" s="962"/>
      <c r="I22" s="978"/>
      <c r="J22" s="979"/>
      <c r="K22" s="979"/>
      <c r="L22" s="979"/>
      <c r="M22" s="979"/>
      <c r="N22" s="979"/>
      <c r="O22" s="980"/>
      <c r="P22" s="701"/>
      <c r="Q22" s="493"/>
      <c r="R22" s="493"/>
      <c r="S22" s="493"/>
      <c r="T22" s="493"/>
      <c r="U22" s="493"/>
      <c r="V22" s="493"/>
      <c r="W22" s="493"/>
      <c r="X22" s="493"/>
      <c r="Y22" s="493"/>
      <c r="Z22" s="493"/>
    </row>
    <row r="23" spans="1:29" ht="20.100000000000001" customHeight="1">
      <c r="A23" s="492"/>
      <c r="B23" s="697" t="s">
        <v>745</v>
      </c>
      <c r="C23" s="698"/>
      <c r="D23" s="698"/>
      <c r="E23" s="698"/>
      <c r="F23" s="698"/>
      <c r="G23" s="698"/>
      <c r="H23" s="699"/>
      <c r="I23" s="987" t="s">
        <v>743</v>
      </c>
      <c r="J23" s="988"/>
      <c r="K23" s="988"/>
      <c r="L23" s="988"/>
      <c r="M23" s="988"/>
      <c r="N23" s="988"/>
      <c r="O23" s="989"/>
      <c r="P23" s="695"/>
      <c r="Q23" s="696"/>
      <c r="R23" s="696"/>
      <c r="S23" s="696"/>
      <c r="T23" s="696"/>
      <c r="U23" s="696"/>
      <c r="V23" s="696"/>
      <c r="W23" s="696"/>
      <c r="X23" s="696"/>
      <c r="Y23" s="696"/>
      <c r="Z23" s="696"/>
    </row>
    <row r="24" spans="1:29" ht="20.100000000000001" customHeight="1">
      <c r="A24" s="492"/>
      <c r="B24" s="702"/>
      <c r="C24" s="702"/>
      <c r="D24" s="702"/>
      <c r="E24" s="702"/>
      <c r="F24" s="702"/>
      <c r="G24" s="702"/>
      <c r="H24" s="702"/>
      <c r="I24" s="696"/>
      <c r="J24" s="696"/>
      <c r="K24" s="696"/>
      <c r="L24" s="696"/>
      <c r="M24" s="696"/>
      <c r="N24" s="696"/>
      <c r="O24" s="696"/>
      <c r="P24" s="696"/>
      <c r="Q24" s="696"/>
      <c r="R24" s="696"/>
      <c r="S24" s="696"/>
      <c r="T24" s="696"/>
      <c r="U24" s="696"/>
      <c r="V24" s="696"/>
      <c r="W24" s="696"/>
      <c r="X24" s="696"/>
      <c r="Y24" s="696"/>
      <c r="Z24" s="696"/>
    </row>
    <row r="25" spans="1:29" ht="20.100000000000001" customHeight="1" thickBot="1">
      <c r="A25" s="991" t="s">
        <v>5</v>
      </c>
      <c r="B25" s="992"/>
      <c r="C25" s="992"/>
      <c r="D25" s="992"/>
      <c r="E25" s="992"/>
      <c r="F25" s="992"/>
      <c r="G25" s="992"/>
      <c r="H25" s="992"/>
      <c r="I25" s="992"/>
      <c r="J25" s="992"/>
      <c r="K25" s="992"/>
      <c r="L25" s="992"/>
      <c r="M25" s="992"/>
      <c r="N25" s="992"/>
      <c r="O25" s="992"/>
      <c r="P25" s="992"/>
      <c r="Q25" s="992"/>
      <c r="R25" s="992"/>
      <c r="S25" s="992"/>
      <c r="T25" s="992"/>
      <c r="U25" s="992"/>
      <c r="V25" s="992"/>
      <c r="W25" s="992"/>
      <c r="X25" s="992"/>
      <c r="Y25" s="992"/>
      <c r="Z25" s="992"/>
    </row>
    <row r="26" spans="1:29" ht="20.100000000000001" customHeight="1" thickBot="1">
      <c r="A26" s="494"/>
      <c r="B26" s="993"/>
      <c r="C26" s="993"/>
      <c r="D26" s="994" t="s">
        <v>0</v>
      </c>
      <c r="E26" s="995"/>
      <c r="F26" s="997" t="s">
        <v>613</v>
      </c>
      <c r="G26" s="998"/>
      <c r="H26" s="998"/>
      <c r="I26" s="998"/>
      <c r="J26" s="998"/>
      <c r="K26" s="998"/>
      <c r="L26" s="998"/>
      <c r="M26" s="998"/>
      <c r="N26" s="998"/>
      <c r="O26" s="998"/>
      <c r="P26" s="998"/>
      <c r="Q26" s="998"/>
      <c r="R26" s="998"/>
      <c r="S26" s="998"/>
      <c r="T26" s="998"/>
      <c r="U26" s="998"/>
      <c r="V26" s="998"/>
      <c r="W26" s="998"/>
      <c r="X26" s="998"/>
      <c r="Y26" s="998"/>
      <c r="Z26" s="999"/>
    </row>
    <row r="27" spans="1:29" ht="20.100000000000001" customHeight="1">
      <c r="A27" s="1000" t="s">
        <v>972</v>
      </c>
      <c r="B27" s="1000"/>
      <c r="C27" s="1000"/>
      <c r="D27" s="1000"/>
      <c r="E27" s="1000"/>
      <c r="F27" s="1000"/>
      <c r="G27" s="1000"/>
      <c r="H27" s="1000"/>
      <c r="I27" s="1000"/>
      <c r="J27" s="1000"/>
      <c r="K27" s="1000"/>
      <c r="L27" s="1000"/>
      <c r="M27" s="1000"/>
      <c r="N27" s="1000"/>
      <c r="O27" s="1000"/>
      <c r="P27" s="1000"/>
      <c r="Q27" s="1000"/>
      <c r="R27" s="1000"/>
      <c r="S27" s="1000"/>
      <c r="T27" s="1000"/>
      <c r="U27" s="1000"/>
      <c r="V27" s="1000"/>
      <c r="W27" s="1000"/>
      <c r="X27" s="1000"/>
      <c r="Y27" s="1000"/>
      <c r="Z27" s="1000"/>
    </row>
    <row r="28" spans="1:29" ht="20.100000000000001" customHeight="1">
      <c r="A28" s="1000"/>
      <c r="B28" s="1000"/>
      <c r="C28" s="1000"/>
      <c r="D28" s="1000"/>
      <c r="E28" s="1000"/>
      <c r="F28" s="1000"/>
      <c r="G28" s="1000"/>
      <c r="H28" s="1000"/>
      <c r="I28" s="1000"/>
      <c r="J28" s="1000"/>
      <c r="K28" s="1000"/>
      <c r="L28" s="1000"/>
      <c r="M28" s="1000"/>
      <c r="N28" s="1000"/>
      <c r="O28" s="1000"/>
      <c r="P28" s="1000"/>
      <c r="Q28" s="1000"/>
      <c r="R28" s="1000"/>
      <c r="S28" s="1000"/>
      <c r="T28" s="1000"/>
      <c r="U28" s="1000"/>
      <c r="V28" s="1000"/>
      <c r="W28" s="1000"/>
      <c r="X28" s="1000"/>
      <c r="Y28" s="1000"/>
      <c r="Z28" s="1000"/>
    </row>
    <row r="29" spans="1:29" ht="20.100000000000001" customHeight="1">
      <c r="A29" s="996"/>
      <c r="B29" s="996"/>
      <c r="C29" s="996"/>
      <c r="D29" s="996"/>
      <c r="E29" s="996"/>
      <c r="F29" s="996"/>
      <c r="G29" s="996"/>
      <c r="H29" s="996"/>
      <c r="I29" s="996"/>
      <c r="J29" s="996"/>
      <c r="K29" s="996"/>
      <c r="L29" s="996"/>
      <c r="M29" s="996"/>
      <c r="N29" s="996"/>
      <c r="O29" s="996"/>
      <c r="P29" s="996"/>
      <c r="Q29" s="996"/>
      <c r="R29" s="996"/>
      <c r="S29" s="996"/>
      <c r="T29" s="996"/>
      <c r="U29" s="996"/>
      <c r="V29" s="996"/>
      <c r="W29" s="996"/>
      <c r="X29" s="996"/>
      <c r="Y29" s="996"/>
      <c r="Z29" s="996"/>
    </row>
    <row r="30" spans="1:29" ht="20.100000000000001" customHeight="1">
      <c r="A30" s="996"/>
      <c r="B30" s="996"/>
      <c r="C30" s="996"/>
      <c r="D30" s="996"/>
      <c r="E30" s="996"/>
      <c r="F30" s="996"/>
      <c r="G30" s="996"/>
      <c r="H30" s="996"/>
      <c r="I30" s="996"/>
      <c r="J30" s="996"/>
      <c r="K30" s="996"/>
      <c r="L30" s="996"/>
      <c r="M30" s="996"/>
      <c r="N30" s="996"/>
      <c r="O30" s="996"/>
      <c r="P30" s="996"/>
      <c r="Q30" s="996"/>
      <c r="R30" s="996"/>
      <c r="S30" s="996"/>
      <c r="T30" s="996"/>
      <c r="U30" s="996"/>
      <c r="V30" s="996"/>
      <c r="W30" s="996"/>
      <c r="X30" s="996"/>
      <c r="Y30" s="996"/>
      <c r="Z30" s="996"/>
    </row>
    <row r="31" spans="1:29" ht="20.100000000000001" customHeight="1">
      <c r="A31" s="996"/>
      <c r="B31" s="996"/>
      <c r="C31" s="996"/>
      <c r="D31" s="996"/>
      <c r="E31" s="996"/>
      <c r="F31" s="996"/>
      <c r="G31" s="996"/>
      <c r="H31" s="996"/>
      <c r="I31" s="996"/>
      <c r="J31" s="996"/>
      <c r="K31" s="996"/>
      <c r="L31" s="996"/>
      <c r="M31" s="996"/>
      <c r="N31" s="996"/>
      <c r="O31" s="996"/>
      <c r="P31" s="996"/>
      <c r="Q31" s="996"/>
      <c r="R31" s="996"/>
      <c r="S31" s="996"/>
      <c r="T31" s="996"/>
      <c r="U31" s="996"/>
      <c r="V31" s="996"/>
      <c r="W31" s="996"/>
      <c r="X31" s="996"/>
      <c r="Y31" s="996"/>
      <c r="Z31" s="996"/>
    </row>
    <row r="32" spans="1:29" ht="20.100000000000001" customHeight="1">
      <c r="A32" s="996"/>
      <c r="B32" s="996"/>
      <c r="C32" s="996"/>
      <c r="D32" s="996"/>
      <c r="E32" s="996"/>
      <c r="F32" s="996"/>
      <c r="G32" s="996"/>
      <c r="H32" s="996"/>
      <c r="I32" s="996"/>
      <c r="J32" s="996"/>
      <c r="K32" s="996"/>
      <c r="L32" s="996"/>
      <c r="M32" s="996"/>
      <c r="N32" s="996"/>
      <c r="O32" s="996"/>
      <c r="P32" s="996"/>
      <c r="Q32" s="996"/>
      <c r="R32" s="996"/>
      <c r="S32" s="996"/>
      <c r="T32" s="996"/>
      <c r="U32" s="996"/>
      <c r="V32" s="996"/>
      <c r="W32" s="996"/>
      <c r="X32" s="996"/>
      <c r="Y32" s="996"/>
      <c r="Z32" s="996"/>
    </row>
    <row r="33" spans="1:26" ht="20.100000000000001" customHeight="1">
      <c r="A33" s="990"/>
      <c r="B33" s="990"/>
      <c r="C33" s="990"/>
      <c r="D33" s="990"/>
      <c r="E33" s="990"/>
      <c r="F33" s="990"/>
      <c r="G33" s="990"/>
      <c r="H33" s="990"/>
      <c r="I33" s="990"/>
      <c r="J33" s="990"/>
      <c r="K33" s="990"/>
      <c r="L33" s="990"/>
      <c r="M33" s="990"/>
      <c r="N33" s="990"/>
      <c r="O33" s="990"/>
      <c r="P33" s="990"/>
      <c r="Q33" s="990"/>
      <c r="R33" s="990"/>
      <c r="S33" s="990"/>
      <c r="T33" s="990"/>
      <c r="U33" s="990"/>
      <c r="V33" s="990"/>
      <c r="W33" s="990"/>
      <c r="X33" s="990"/>
      <c r="Y33" s="990"/>
      <c r="Z33" s="990"/>
    </row>
    <row r="34" spans="1:26" ht="20.100000000000001" customHeight="1">
      <c r="A34" s="990"/>
      <c r="B34" s="990"/>
      <c r="C34" s="990"/>
      <c r="D34" s="990"/>
      <c r="E34" s="990"/>
      <c r="F34" s="990"/>
      <c r="G34" s="990"/>
      <c r="H34" s="990"/>
      <c r="I34" s="990"/>
      <c r="J34" s="990"/>
      <c r="K34" s="990"/>
      <c r="L34" s="990"/>
      <c r="M34" s="990"/>
      <c r="N34" s="990"/>
      <c r="O34" s="990"/>
      <c r="P34" s="990"/>
      <c r="Q34" s="990"/>
      <c r="R34" s="990"/>
      <c r="S34" s="990"/>
      <c r="T34" s="990"/>
      <c r="U34" s="990"/>
      <c r="V34" s="990"/>
      <c r="W34" s="990"/>
      <c r="X34" s="990"/>
      <c r="Y34" s="990"/>
      <c r="Z34" s="990"/>
    </row>
  </sheetData>
  <sheetProtection selectLockedCells="1" selectUnlockedCells="1"/>
  <mergeCells count="33">
    <mergeCell ref="A9:E9"/>
    <mergeCell ref="F9:H9"/>
    <mergeCell ref="A10:Z11"/>
    <mergeCell ref="A12:Z12"/>
    <mergeCell ref="A14:Z14"/>
    <mergeCell ref="A2:Z2"/>
    <mergeCell ref="A6:Z6"/>
    <mergeCell ref="A5:Z5"/>
    <mergeCell ref="A7:Z7"/>
    <mergeCell ref="A8:Z8"/>
    <mergeCell ref="I4:R4"/>
    <mergeCell ref="A4:H4"/>
    <mergeCell ref="S4:Z4"/>
    <mergeCell ref="V3:Z3"/>
    <mergeCell ref="I23:O23"/>
    <mergeCell ref="A34:Z34"/>
    <mergeCell ref="A25:Z25"/>
    <mergeCell ref="B26:C26"/>
    <mergeCell ref="D26:E26"/>
    <mergeCell ref="A32:Z32"/>
    <mergeCell ref="A30:Z30"/>
    <mergeCell ref="A33:Z33"/>
    <mergeCell ref="A29:Z29"/>
    <mergeCell ref="A31:Z31"/>
    <mergeCell ref="F26:Z26"/>
    <mergeCell ref="A27:Z28"/>
    <mergeCell ref="I16:O18"/>
    <mergeCell ref="I19:O22"/>
    <mergeCell ref="I15:O15"/>
    <mergeCell ref="B18:H18"/>
    <mergeCell ref="B17:H17"/>
    <mergeCell ref="B16:H16"/>
    <mergeCell ref="B15:H15"/>
  </mergeCells>
  <phoneticPr fontId="4"/>
  <hyperlinks>
    <hyperlink ref="F26" r:id="rId1" xr:uid="{3C49FA6A-40A1-44A8-8612-DD645774603E}"/>
  </hyperlinks>
  <printOptions horizontalCentered="1"/>
  <pageMargins left="0.39370078740157483" right="0.39370078740157483" top="0.39370078740157483" bottom="0.59055118110236227" header="0" footer="0"/>
  <pageSetup paperSize="9" scale="95" orientation="portrait"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rgb="FF00B0F0"/>
  </sheetPr>
  <dimension ref="A1:ADG205"/>
  <sheetViews>
    <sheetView view="pageBreakPreview" zoomScale="85" zoomScaleNormal="70" zoomScaleSheetLayoutView="85" workbookViewId="0">
      <selection activeCell="D10" sqref="D10:N10"/>
    </sheetView>
  </sheetViews>
  <sheetFormatPr defaultRowHeight="13.5"/>
  <cols>
    <col min="1" max="17" width="3.625" customWidth="1"/>
    <col min="18" max="19" width="4.125" customWidth="1"/>
    <col min="20" max="20" width="3.625" customWidth="1"/>
    <col min="21" max="21" width="3.875" customWidth="1"/>
    <col min="22" max="52" width="3.625" customWidth="1"/>
    <col min="53" max="53" width="1.375" customWidth="1"/>
    <col min="54" max="54" width="9" customWidth="1"/>
    <col min="57" max="787" width="15.875" bestFit="1" customWidth="1"/>
  </cols>
  <sheetData>
    <row r="1" spans="1:787" ht="24.95" customHeight="1">
      <c r="A1" s="1185" t="s">
        <v>67</v>
      </c>
      <c r="B1" s="1185"/>
      <c r="C1" s="1185"/>
      <c r="D1" s="1185"/>
      <c r="E1" s="1185"/>
      <c r="F1" s="1185"/>
      <c r="G1" s="1185"/>
      <c r="H1" s="1185"/>
      <c r="I1" s="1185"/>
      <c r="J1" s="1185"/>
      <c r="K1" s="1185"/>
      <c r="L1" s="1185"/>
      <c r="M1" s="1185"/>
      <c r="N1" s="1185"/>
      <c r="O1" s="1185"/>
      <c r="P1" s="1185"/>
      <c r="Q1" s="1185"/>
      <c r="R1" s="1185"/>
      <c r="S1" s="1185"/>
      <c r="T1" s="1185"/>
      <c r="U1" s="1185"/>
      <c r="V1" s="1185"/>
      <c r="W1" s="1185"/>
      <c r="X1" s="1185"/>
      <c r="Y1" s="1185"/>
      <c r="Z1" s="1185"/>
      <c r="AA1" s="1185" t="s">
        <v>67</v>
      </c>
      <c r="AB1" s="1185"/>
      <c r="AC1" s="1185"/>
      <c r="AD1" s="1185"/>
      <c r="AE1" s="1185"/>
      <c r="AF1" s="1185"/>
      <c r="AG1" s="1185"/>
      <c r="AH1" s="1185"/>
      <c r="AI1" s="1185"/>
      <c r="AJ1" s="1185"/>
      <c r="AK1" s="1185"/>
      <c r="AL1" s="1185"/>
      <c r="AM1" s="1185"/>
      <c r="AN1" s="1185"/>
      <c r="AO1" s="1185"/>
      <c r="AP1" s="1185"/>
      <c r="AQ1" s="1185"/>
      <c r="AR1" s="1185"/>
      <c r="AS1" s="1185"/>
      <c r="AT1" s="1185"/>
      <c r="AU1" s="1185"/>
      <c r="AV1" s="1185"/>
      <c r="AW1" s="1185"/>
      <c r="AX1" s="1185"/>
      <c r="AY1" s="1185"/>
      <c r="AZ1" s="1185"/>
      <c r="BA1" s="50">
        <v>1</v>
      </c>
      <c r="BB1" s="52" t="s">
        <v>796</v>
      </c>
    </row>
    <row r="2" spans="1:787" ht="12.6" customHeight="1">
      <c r="A2" s="306"/>
      <c r="B2" s="306"/>
      <c r="C2" s="306"/>
      <c r="D2" s="306"/>
      <c r="E2" s="306"/>
      <c r="F2" s="306"/>
      <c r="G2" s="306"/>
      <c r="H2" s="306"/>
      <c r="I2" s="306"/>
      <c r="J2" s="306"/>
      <c r="K2" s="306"/>
      <c r="L2" s="306"/>
      <c r="M2" s="306"/>
      <c r="N2" s="306"/>
      <c r="O2" s="306"/>
      <c r="P2" s="307"/>
      <c r="Q2" s="307"/>
      <c r="R2" s="307"/>
      <c r="S2" s="307"/>
      <c r="T2" s="307"/>
      <c r="U2" s="307"/>
      <c r="V2" s="307"/>
      <c r="W2" s="307"/>
      <c r="X2" s="307"/>
      <c r="Y2" s="307"/>
      <c r="Z2" s="307"/>
      <c r="AA2" s="1185"/>
      <c r="AB2" s="1185"/>
      <c r="AC2" s="1185"/>
      <c r="AD2" s="1185"/>
      <c r="AE2" s="1185"/>
      <c r="AF2" s="1185"/>
      <c r="AG2" s="1185"/>
      <c r="AH2" s="1185"/>
      <c r="AI2" s="1185"/>
      <c r="AJ2" s="1185"/>
      <c r="AK2" s="1185"/>
      <c r="AL2" s="1185"/>
      <c r="AM2" s="1185"/>
      <c r="AN2" s="1185"/>
      <c r="AO2" s="1185"/>
      <c r="AP2" s="1185"/>
      <c r="AQ2" s="1185"/>
      <c r="AR2" s="1185"/>
      <c r="AS2" s="1185"/>
      <c r="AT2" s="1185"/>
      <c r="AU2" s="1185"/>
      <c r="AV2" s="1185"/>
      <c r="AW2" s="1185"/>
      <c r="AX2" s="1185"/>
      <c r="AY2" s="1185"/>
      <c r="AZ2" s="1185"/>
      <c r="BA2" s="50">
        <v>2</v>
      </c>
      <c r="BB2" s="52" t="s">
        <v>868</v>
      </c>
    </row>
    <row r="3" spans="1:787" ht="12.6" customHeight="1">
      <c r="A3" s="1047" t="s">
        <v>611</v>
      </c>
      <c r="B3" s="1187" t="s">
        <v>64</v>
      </c>
      <c r="C3" s="1187"/>
      <c r="D3" s="1196"/>
      <c r="E3" s="1196"/>
      <c r="F3" s="1196"/>
      <c r="G3" s="1196"/>
      <c r="H3" s="1196"/>
      <c r="I3" s="1196"/>
      <c r="J3" s="1196"/>
      <c r="K3" s="1196"/>
      <c r="L3" s="1196"/>
      <c r="M3" s="1196"/>
      <c r="N3" s="1196"/>
      <c r="O3" s="1196"/>
      <c r="P3" s="1196"/>
      <c r="Q3" s="1196"/>
      <c r="R3" s="1196"/>
      <c r="S3" s="1196"/>
      <c r="T3" s="1196"/>
      <c r="U3" s="1196"/>
      <c r="V3" s="1196"/>
      <c r="W3" s="1196"/>
      <c r="X3" s="1196"/>
      <c r="Y3" s="1196"/>
      <c r="Z3" s="1197"/>
      <c r="AA3" s="1047" t="s">
        <v>66</v>
      </c>
      <c r="AB3" s="1187" t="s">
        <v>60</v>
      </c>
      <c r="AC3" s="1187"/>
      <c r="AD3" s="1187" t="s">
        <v>541</v>
      </c>
      <c r="AE3" s="1187"/>
      <c r="AF3" s="1187"/>
      <c r="AG3" s="1187"/>
      <c r="AH3" s="1187"/>
      <c r="AI3" s="1187"/>
      <c r="AJ3" s="1187"/>
      <c r="AK3" s="1187"/>
      <c r="AL3" s="1187"/>
      <c r="AM3" s="1187"/>
      <c r="AN3" s="1187"/>
      <c r="AO3" s="1187"/>
      <c r="AP3" s="1187"/>
      <c r="AQ3" s="1187"/>
      <c r="AR3" s="1187"/>
      <c r="AS3" s="1187"/>
      <c r="AT3" s="1187"/>
      <c r="AU3" s="1187"/>
      <c r="AV3" s="1187"/>
      <c r="AW3" s="1187"/>
      <c r="AX3" s="1187"/>
      <c r="AY3" s="1187"/>
      <c r="AZ3" s="1190"/>
      <c r="BA3" s="50">
        <v>3</v>
      </c>
      <c r="BB3" s="52" t="s">
        <v>417</v>
      </c>
    </row>
    <row r="4" spans="1:787" ht="37.5" customHeight="1">
      <c r="A4" s="1186"/>
      <c r="B4" s="1191" t="s">
        <v>220</v>
      </c>
      <c r="C4" s="1191"/>
      <c r="D4" s="1198"/>
      <c r="E4" s="1198"/>
      <c r="F4" s="1198"/>
      <c r="G4" s="1198"/>
      <c r="H4" s="1198"/>
      <c r="I4" s="1198"/>
      <c r="J4" s="1198"/>
      <c r="K4" s="1198"/>
      <c r="L4" s="1198"/>
      <c r="M4" s="1198"/>
      <c r="N4" s="1198"/>
      <c r="O4" s="1198"/>
      <c r="P4" s="1198"/>
      <c r="Q4" s="1198"/>
      <c r="R4" s="1198"/>
      <c r="S4" s="1198"/>
      <c r="T4" s="1198"/>
      <c r="U4" s="1198"/>
      <c r="V4" s="1198"/>
      <c r="W4" s="1198"/>
      <c r="X4" s="1198"/>
      <c r="Y4" s="1198"/>
      <c r="Z4" s="1199"/>
      <c r="AA4" s="1186"/>
      <c r="AB4" s="1191" t="s">
        <v>65</v>
      </c>
      <c r="AC4" s="1191"/>
      <c r="AD4" s="1192" t="s">
        <v>540</v>
      </c>
      <c r="AE4" s="1192"/>
      <c r="AF4" s="1192"/>
      <c r="AG4" s="1192"/>
      <c r="AH4" s="1192"/>
      <c r="AI4" s="1192"/>
      <c r="AJ4" s="1192"/>
      <c r="AK4" s="1192"/>
      <c r="AL4" s="1192"/>
      <c r="AM4" s="1192"/>
      <c r="AN4" s="1192"/>
      <c r="AO4" s="1192"/>
      <c r="AP4" s="1192"/>
      <c r="AQ4" s="1192"/>
      <c r="AR4" s="1192"/>
      <c r="AS4" s="1192"/>
      <c r="AT4" s="1192"/>
      <c r="AU4" s="1192"/>
      <c r="AV4" s="1192"/>
      <c r="AW4" s="1192"/>
      <c r="AX4" s="1192"/>
      <c r="AY4" s="1192"/>
      <c r="AZ4" s="1193"/>
      <c r="BA4" s="50">
        <v>4</v>
      </c>
      <c r="BB4" s="52" t="s">
        <v>418</v>
      </c>
    </row>
    <row r="5" spans="1:787" ht="12.6" customHeight="1">
      <c r="A5" s="1194" t="s">
        <v>63</v>
      </c>
      <c r="B5" s="1161" t="s">
        <v>64</v>
      </c>
      <c r="C5" s="1161"/>
      <c r="D5" s="1188"/>
      <c r="E5" s="1188"/>
      <c r="F5" s="1188"/>
      <c r="G5" s="1188"/>
      <c r="H5" s="1188"/>
      <c r="I5" s="1188"/>
      <c r="J5" s="1188"/>
      <c r="K5" s="1188"/>
      <c r="L5" s="1188"/>
      <c r="M5" s="1189"/>
      <c r="N5" s="1180" t="s">
        <v>538</v>
      </c>
      <c r="O5" s="1181"/>
      <c r="P5" s="1182"/>
      <c r="Q5" s="1161" t="s">
        <v>64</v>
      </c>
      <c r="R5" s="1161"/>
      <c r="S5" s="1188"/>
      <c r="T5" s="1188"/>
      <c r="U5" s="1188"/>
      <c r="V5" s="1188"/>
      <c r="W5" s="1188"/>
      <c r="X5" s="1188"/>
      <c r="Y5" s="1188"/>
      <c r="Z5" s="1189"/>
      <c r="AA5" s="1113" t="s">
        <v>63</v>
      </c>
      <c r="AB5" s="1161" t="s">
        <v>60</v>
      </c>
      <c r="AC5" s="1161"/>
      <c r="AD5" s="1161" t="s">
        <v>62</v>
      </c>
      <c r="AE5" s="1161"/>
      <c r="AF5" s="1161"/>
      <c r="AG5" s="1161"/>
      <c r="AH5" s="1161"/>
      <c r="AI5" s="1161"/>
      <c r="AJ5" s="1161"/>
      <c r="AK5" s="1161"/>
      <c r="AL5" s="1161"/>
      <c r="AM5" s="1165"/>
      <c r="AN5" s="1180" t="s">
        <v>61</v>
      </c>
      <c r="AO5" s="1181"/>
      <c r="AP5" s="1182"/>
      <c r="AQ5" s="1161" t="s">
        <v>60</v>
      </c>
      <c r="AR5" s="1161"/>
      <c r="AS5" s="1161" t="s">
        <v>59</v>
      </c>
      <c r="AT5" s="1161"/>
      <c r="AU5" s="1161"/>
      <c r="AV5" s="1161"/>
      <c r="AW5" s="1161"/>
      <c r="AX5" s="1161"/>
      <c r="AY5" s="1161"/>
      <c r="AZ5" s="1165"/>
      <c r="BA5" s="50">
        <v>5</v>
      </c>
      <c r="BB5" s="52" t="s">
        <v>419</v>
      </c>
    </row>
    <row r="6" spans="1:787" ht="24.95" customHeight="1">
      <c r="A6" s="1113"/>
      <c r="B6" s="1166" t="s">
        <v>57</v>
      </c>
      <c r="C6" s="1166"/>
      <c r="D6" s="1200"/>
      <c r="E6" s="1200"/>
      <c r="F6" s="1200"/>
      <c r="G6" s="1200"/>
      <c r="H6" s="1200"/>
      <c r="I6" s="1200"/>
      <c r="J6" s="1200"/>
      <c r="K6" s="1200"/>
      <c r="L6" s="1200"/>
      <c r="M6" s="1201"/>
      <c r="N6" s="1183"/>
      <c r="O6" s="1183"/>
      <c r="P6" s="1184"/>
      <c r="Q6" s="1143" t="s">
        <v>57</v>
      </c>
      <c r="R6" s="1143"/>
      <c r="S6" s="1208"/>
      <c r="T6" s="1208"/>
      <c r="U6" s="1208"/>
      <c r="V6" s="1208"/>
      <c r="W6" s="1208"/>
      <c r="X6" s="1208"/>
      <c r="Y6" s="1208"/>
      <c r="Z6" s="1209"/>
      <c r="AA6" s="1113"/>
      <c r="AB6" s="1166" t="s">
        <v>57</v>
      </c>
      <c r="AC6" s="1166"/>
      <c r="AD6" s="1107" t="s">
        <v>58</v>
      </c>
      <c r="AE6" s="1107"/>
      <c r="AF6" s="1107"/>
      <c r="AG6" s="1107"/>
      <c r="AH6" s="1107"/>
      <c r="AI6" s="1107"/>
      <c r="AJ6" s="1107"/>
      <c r="AK6" s="1107"/>
      <c r="AL6" s="1107"/>
      <c r="AM6" s="1167"/>
      <c r="AN6" s="1183"/>
      <c r="AO6" s="1183"/>
      <c r="AP6" s="1184"/>
      <c r="AQ6" s="1143" t="s">
        <v>57</v>
      </c>
      <c r="AR6" s="1143"/>
      <c r="AS6" s="1178" t="s">
        <v>56</v>
      </c>
      <c r="AT6" s="1178"/>
      <c r="AU6" s="1178"/>
      <c r="AV6" s="1178"/>
      <c r="AW6" s="1178"/>
      <c r="AX6" s="1178"/>
      <c r="AY6" s="1178"/>
      <c r="AZ6" s="1179"/>
      <c r="BA6" s="50">
        <v>6</v>
      </c>
      <c r="BB6" s="52" t="s">
        <v>420</v>
      </c>
      <c r="BE6" s="957">
        <v>46113</v>
      </c>
      <c r="BF6" s="957">
        <v>46114</v>
      </c>
      <c r="BG6" s="957">
        <v>46115</v>
      </c>
      <c r="BH6" s="957">
        <v>46116</v>
      </c>
      <c r="BI6" s="957">
        <v>46117</v>
      </c>
      <c r="BJ6" s="957">
        <v>46118</v>
      </c>
      <c r="BK6" s="957">
        <v>46119</v>
      </c>
      <c r="BL6" s="957">
        <v>46120</v>
      </c>
      <c r="BM6" s="957">
        <v>46121</v>
      </c>
      <c r="BN6" s="957">
        <v>46122</v>
      </c>
      <c r="BO6" s="957">
        <v>46123</v>
      </c>
      <c r="BP6" s="957">
        <v>46124</v>
      </c>
      <c r="BQ6" s="957">
        <v>46125</v>
      </c>
      <c r="BR6" s="957">
        <v>46126</v>
      </c>
      <c r="BS6" s="957">
        <v>46127</v>
      </c>
      <c r="BT6" s="957">
        <v>46128</v>
      </c>
      <c r="BU6" s="957">
        <v>46129</v>
      </c>
      <c r="BV6" s="957">
        <v>46130</v>
      </c>
      <c r="BW6" s="957">
        <v>46131</v>
      </c>
      <c r="BX6" s="957">
        <v>46132</v>
      </c>
      <c r="BY6" s="957">
        <v>46133</v>
      </c>
      <c r="BZ6" s="957">
        <v>46134</v>
      </c>
      <c r="CA6" s="957">
        <v>46135</v>
      </c>
      <c r="CB6" s="957">
        <v>46136</v>
      </c>
      <c r="CC6" s="957">
        <v>46137</v>
      </c>
      <c r="CD6" s="957">
        <v>46138</v>
      </c>
      <c r="CE6" s="957">
        <v>46139</v>
      </c>
      <c r="CF6" s="957">
        <v>46140</v>
      </c>
      <c r="CG6" s="957">
        <v>46141</v>
      </c>
      <c r="CH6" s="957">
        <v>46142</v>
      </c>
      <c r="CI6" s="957">
        <v>46143</v>
      </c>
      <c r="CJ6" s="957">
        <v>46144</v>
      </c>
      <c r="CK6" s="957">
        <v>46145</v>
      </c>
      <c r="CL6" s="957">
        <v>46146</v>
      </c>
      <c r="CM6" s="957">
        <v>46147</v>
      </c>
      <c r="CN6" s="957">
        <v>46148</v>
      </c>
      <c r="CO6" s="957">
        <v>46149</v>
      </c>
      <c r="CP6" s="957">
        <v>46150</v>
      </c>
      <c r="CQ6" s="957">
        <v>46151</v>
      </c>
      <c r="CR6" s="957">
        <v>46152</v>
      </c>
      <c r="CS6" s="957">
        <v>46153</v>
      </c>
      <c r="CT6" s="957">
        <v>46154</v>
      </c>
      <c r="CU6" s="957">
        <v>46155</v>
      </c>
      <c r="CV6" s="957">
        <v>46156</v>
      </c>
      <c r="CW6" s="957">
        <v>46157</v>
      </c>
      <c r="CX6" s="957">
        <v>46158</v>
      </c>
      <c r="CY6" s="957">
        <v>46159</v>
      </c>
      <c r="CZ6" s="957">
        <v>46160</v>
      </c>
      <c r="DA6" s="957">
        <v>46161</v>
      </c>
      <c r="DB6" s="957">
        <v>46162</v>
      </c>
      <c r="DC6" s="957">
        <v>46163</v>
      </c>
      <c r="DD6" s="957">
        <v>46164</v>
      </c>
      <c r="DE6" s="957">
        <v>46165</v>
      </c>
      <c r="DF6" s="957">
        <v>46166</v>
      </c>
      <c r="DG6" s="957">
        <v>46167</v>
      </c>
      <c r="DH6" s="957">
        <v>46168</v>
      </c>
      <c r="DI6" s="957">
        <v>46169</v>
      </c>
      <c r="DJ6" s="957">
        <v>46170</v>
      </c>
      <c r="DK6" s="957">
        <v>46171</v>
      </c>
      <c r="DL6" s="957">
        <v>46172</v>
      </c>
      <c r="DM6" s="957">
        <v>46173</v>
      </c>
      <c r="DN6" s="957">
        <v>46174</v>
      </c>
      <c r="DO6" s="957">
        <v>46175</v>
      </c>
      <c r="DP6" s="957">
        <v>46176</v>
      </c>
      <c r="DQ6" s="957">
        <v>46177</v>
      </c>
      <c r="DR6" s="957">
        <v>46178</v>
      </c>
      <c r="DS6" s="957">
        <v>46179</v>
      </c>
      <c r="DT6" s="957">
        <v>46180</v>
      </c>
      <c r="DU6" s="957">
        <v>46181</v>
      </c>
      <c r="DV6" s="957">
        <v>46182</v>
      </c>
      <c r="DW6" s="957">
        <v>46183</v>
      </c>
      <c r="DX6" s="957">
        <v>46184</v>
      </c>
      <c r="DY6" s="957">
        <v>46185</v>
      </c>
      <c r="DZ6" s="957">
        <v>46186</v>
      </c>
      <c r="EA6" s="957">
        <v>46187</v>
      </c>
      <c r="EB6" s="957">
        <v>46188</v>
      </c>
      <c r="EC6" s="957">
        <v>46189</v>
      </c>
      <c r="ED6" s="957">
        <v>46190</v>
      </c>
      <c r="EE6" s="957">
        <v>46191</v>
      </c>
      <c r="EF6" s="957">
        <v>46192</v>
      </c>
      <c r="EG6" s="957">
        <v>46193</v>
      </c>
      <c r="EH6" s="957">
        <v>46194</v>
      </c>
      <c r="EI6" s="957">
        <v>46195</v>
      </c>
      <c r="EJ6" s="957">
        <v>46196</v>
      </c>
      <c r="EK6" s="957">
        <v>46197</v>
      </c>
      <c r="EL6" s="957">
        <v>46198</v>
      </c>
      <c r="EM6" s="957">
        <v>46199</v>
      </c>
      <c r="EN6" s="957">
        <v>46200</v>
      </c>
      <c r="EO6" s="957">
        <v>46201</v>
      </c>
      <c r="EP6" s="957">
        <v>46202</v>
      </c>
      <c r="EQ6" s="957">
        <v>46203</v>
      </c>
      <c r="ER6" s="957">
        <v>46204</v>
      </c>
      <c r="ES6" s="957">
        <v>46205</v>
      </c>
      <c r="ET6" s="957">
        <v>46206</v>
      </c>
      <c r="EU6" s="957">
        <v>46207</v>
      </c>
      <c r="EV6" s="957">
        <v>46208</v>
      </c>
      <c r="EW6" s="957">
        <v>46209</v>
      </c>
      <c r="EX6" s="957">
        <v>46210</v>
      </c>
      <c r="EY6" s="957">
        <v>46211</v>
      </c>
      <c r="EZ6" s="957">
        <v>46212</v>
      </c>
      <c r="FA6" s="957">
        <v>46213</v>
      </c>
      <c r="FB6" s="957">
        <v>46214</v>
      </c>
      <c r="FC6" s="957">
        <v>46215</v>
      </c>
      <c r="FD6" s="957">
        <v>46216</v>
      </c>
      <c r="FE6" s="957">
        <v>46217</v>
      </c>
      <c r="FF6" s="957">
        <v>46218</v>
      </c>
      <c r="FG6" s="957">
        <v>46219</v>
      </c>
      <c r="FH6" s="957">
        <v>46220</v>
      </c>
      <c r="FI6" s="957">
        <v>46221</v>
      </c>
      <c r="FJ6" s="957">
        <v>46222</v>
      </c>
      <c r="FK6" s="957">
        <v>46223</v>
      </c>
      <c r="FL6" s="957">
        <v>46224</v>
      </c>
      <c r="FM6" s="957">
        <v>46225</v>
      </c>
      <c r="FN6" s="957">
        <v>46226</v>
      </c>
      <c r="FO6" s="957">
        <v>46227</v>
      </c>
      <c r="FP6" s="957">
        <v>46228</v>
      </c>
      <c r="FQ6" s="957">
        <v>46229</v>
      </c>
      <c r="FR6" s="957">
        <v>46230</v>
      </c>
      <c r="FS6" s="957">
        <v>46231</v>
      </c>
      <c r="FT6" s="957">
        <v>46232</v>
      </c>
      <c r="FU6" s="957">
        <v>46233</v>
      </c>
      <c r="FV6" s="957">
        <v>46234</v>
      </c>
      <c r="FW6" s="957">
        <v>46235</v>
      </c>
      <c r="FX6" s="957">
        <v>46236</v>
      </c>
      <c r="FY6" s="957">
        <v>46237</v>
      </c>
      <c r="FZ6" s="957">
        <v>46238</v>
      </c>
      <c r="GA6" s="957">
        <v>46239</v>
      </c>
      <c r="GB6" s="957">
        <v>46240</v>
      </c>
      <c r="GC6" s="957">
        <v>46241</v>
      </c>
      <c r="GD6" s="957">
        <v>46242</v>
      </c>
      <c r="GE6" s="957">
        <v>46243</v>
      </c>
      <c r="GF6" s="957">
        <v>46244</v>
      </c>
      <c r="GG6" s="957">
        <v>46245</v>
      </c>
      <c r="GH6" s="957">
        <v>46246</v>
      </c>
      <c r="GI6" s="957">
        <v>46247</v>
      </c>
      <c r="GJ6" s="957">
        <v>46248</v>
      </c>
      <c r="GK6" s="957">
        <v>46249</v>
      </c>
      <c r="GL6" s="957">
        <v>46250</v>
      </c>
      <c r="GM6" s="957">
        <v>46251</v>
      </c>
      <c r="GN6" s="957">
        <v>46252</v>
      </c>
      <c r="GO6" s="957">
        <v>46253</v>
      </c>
      <c r="GP6" s="957">
        <v>46254</v>
      </c>
      <c r="GQ6" s="957">
        <v>46255</v>
      </c>
      <c r="GR6" s="957">
        <v>46256</v>
      </c>
      <c r="GS6" s="957">
        <v>46257</v>
      </c>
      <c r="GT6" s="957">
        <v>46258</v>
      </c>
      <c r="GU6" s="957">
        <v>46259</v>
      </c>
      <c r="GV6" s="957">
        <v>46260</v>
      </c>
      <c r="GW6" s="957">
        <v>46261</v>
      </c>
      <c r="GX6" s="957">
        <v>46262</v>
      </c>
      <c r="GY6" s="957">
        <v>46263</v>
      </c>
      <c r="GZ6" s="957">
        <v>46264</v>
      </c>
      <c r="HA6" s="957">
        <v>46265</v>
      </c>
      <c r="HB6" s="957">
        <v>46266</v>
      </c>
      <c r="HC6" s="957">
        <v>46267</v>
      </c>
      <c r="HD6" s="957">
        <v>46268</v>
      </c>
      <c r="HE6" s="957">
        <v>46269</v>
      </c>
      <c r="HF6" s="957">
        <v>46270</v>
      </c>
      <c r="HG6" s="957">
        <v>46271</v>
      </c>
      <c r="HH6" s="957">
        <v>46272</v>
      </c>
      <c r="HI6" s="957">
        <v>46273</v>
      </c>
      <c r="HJ6" s="957">
        <v>46274</v>
      </c>
      <c r="HK6" s="957">
        <v>46275</v>
      </c>
      <c r="HL6" s="957">
        <v>46276</v>
      </c>
      <c r="HM6" s="957">
        <v>46277</v>
      </c>
      <c r="HN6" s="957">
        <v>46278</v>
      </c>
      <c r="HO6" s="957">
        <v>46279</v>
      </c>
      <c r="HP6" s="957">
        <v>46280</v>
      </c>
      <c r="HQ6" s="957">
        <v>46281</v>
      </c>
      <c r="HR6" s="957">
        <v>46282</v>
      </c>
      <c r="HS6" s="957">
        <v>46283</v>
      </c>
      <c r="HT6" s="957">
        <v>46284</v>
      </c>
      <c r="HU6" s="957">
        <v>46285</v>
      </c>
      <c r="HV6" s="957">
        <v>46286</v>
      </c>
      <c r="HW6" s="957">
        <v>46287</v>
      </c>
      <c r="HX6" s="957">
        <v>46288</v>
      </c>
      <c r="HY6" s="957">
        <v>46289</v>
      </c>
      <c r="HZ6" s="957">
        <v>46290</v>
      </c>
      <c r="IA6" s="957">
        <v>46291</v>
      </c>
      <c r="IB6" s="957">
        <v>46292</v>
      </c>
      <c r="IC6" s="957">
        <v>46293</v>
      </c>
      <c r="ID6" s="957">
        <v>46294</v>
      </c>
      <c r="IE6" s="957">
        <v>46295</v>
      </c>
      <c r="IF6" s="957">
        <v>46296</v>
      </c>
      <c r="IG6" s="957">
        <v>46297</v>
      </c>
      <c r="IH6" s="957">
        <v>46298</v>
      </c>
      <c r="II6" s="957">
        <v>46299</v>
      </c>
      <c r="IJ6" s="957">
        <v>46300</v>
      </c>
      <c r="IK6" s="957">
        <v>46301</v>
      </c>
      <c r="IL6" s="957">
        <v>46302</v>
      </c>
      <c r="IM6" s="957">
        <v>46303</v>
      </c>
      <c r="IN6" s="957">
        <v>46304</v>
      </c>
      <c r="IO6" s="957">
        <v>46305</v>
      </c>
      <c r="IP6" s="957">
        <v>46306</v>
      </c>
      <c r="IQ6" s="957">
        <v>46307</v>
      </c>
      <c r="IR6" s="957">
        <v>46308</v>
      </c>
      <c r="IS6" s="957">
        <v>46309</v>
      </c>
      <c r="IT6" s="957">
        <v>46310</v>
      </c>
      <c r="IU6" s="957">
        <v>46311</v>
      </c>
      <c r="IV6" s="957">
        <v>46312</v>
      </c>
      <c r="IW6" s="957">
        <v>46313</v>
      </c>
      <c r="IX6" s="957">
        <v>46314</v>
      </c>
      <c r="IY6" s="957">
        <v>46315</v>
      </c>
      <c r="IZ6" s="957">
        <v>46316</v>
      </c>
      <c r="JA6" s="957">
        <v>46317</v>
      </c>
      <c r="JB6" s="957">
        <v>46318</v>
      </c>
      <c r="JC6" s="957">
        <v>46319</v>
      </c>
      <c r="JD6" s="957">
        <v>46320</v>
      </c>
      <c r="JE6" s="957">
        <v>46321</v>
      </c>
      <c r="JF6" s="957">
        <v>46322</v>
      </c>
      <c r="JG6" s="957">
        <v>46323</v>
      </c>
      <c r="JH6" s="957">
        <v>46324</v>
      </c>
      <c r="JI6" s="957">
        <v>46325</v>
      </c>
      <c r="JJ6" s="957">
        <v>46326</v>
      </c>
      <c r="JK6" s="957">
        <v>46327</v>
      </c>
      <c r="JL6" s="957">
        <v>46328</v>
      </c>
      <c r="JM6" s="957">
        <v>46329</v>
      </c>
      <c r="JN6" s="957">
        <v>46330</v>
      </c>
      <c r="JO6" s="957">
        <v>46331</v>
      </c>
      <c r="JP6" s="957">
        <v>46332</v>
      </c>
      <c r="JQ6" s="957">
        <v>46333</v>
      </c>
      <c r="JR6" s="957">
        <v>46334</v>
      </c>
      <c r="JS6" s="957">
        <v>46335</v>
      </c>
      <c r="JT6" s="957">
        <v>46336</v>
      </c>
      <c r="JU6" s="957">
        <v>46337</v>
      </c>
      <c r="JV6" s="957">
        <v>46338</v>
      </c>
      <c r="JW6" s="957">
        <v>46339</v>
      </c>
      <c r="JX6" s="957">
        <v>46340</v>
      </c>
      <c r="JY6" s="957">
        <v>46341</v>
      </c>
      <c r="JZ6" s="957">
        <v>46342</v>
      </c>
      <c r="KA6" s="957">
        <v>46343</v>
      </c>
      <c r="KB6" s="957">
        <v>46344</v>
      </c>
      <c r="KC6" s="957">
        <v>46345</v>
      </c>
      <c r="KD6" s="957">
        <v>46346</v>
      </c>
      <c r="KE6" s="957">
        <v>46347</v>
      </c>
      <c r="KF6" s="957">
        <v>46348</v>
      </c>
      <c r="KG6" s="957">
        <v>46349</v>
      </c>
      <c r="KH6" s="957">
        <v>46350</v>
      </c>
      <c r="KI6" s="957">
        <v>46351</v>
      </c>
      <c r="KJ6" s="957">
        <v>46352</v>
      </c>
      <c r="KK6" s="957">
        <v>46353</v>
      </c>
      <c r="KL6" s="957">
        <v>46354</v>
      </c>
      <c r="KM6" s="957">
        <v>46355</v>
      </c>
      <c r="KN6" s="957">
        <v>46356</v>
      </c>
      <c r="KO6" s="957">
        <v>46357</v>
      </c>
      <c r="KP6" s="957">
        <v>46358</v>
      </c>
      <c r="KQ6" s="957">
        <v>46359</v>
      </c>
      <c r="KR6" s="957">
        <v>46360</v>
      </c>
      <c r="KS6" s="957">
        <v>46361</v>
      </c>
      <c r="KT6" s="957">
        <v>46362</v>
      </c>
      <c r="KU6" s="957">
        <v>46363</v>
      </c>
      <c r="KV6" s="957">
        <v>46364</v>
      </c>
      <c r="KW6" s="957">
        <v>46365</v>
      </c>
      <c r="KX6" s="957">
        <v>46366</v>
      </c>
      <c r="KY6" s="957">
        <v>46367</v>
      </c>
      <c r="KZ6" s="957">
        <v>46368</v>
      </c>
      <c r="LA6" s="957">
        <v>46369</v>
      </c>
      <c r="LB6" s="957">
        <v>46370</v>
      </c>
      <c r="LC6" s="957">
        <v>46371</v>
      </c>
      <c r="LD6" s="957">
        <v>46372</v>
      </c>
      <c r="LE6" s="957">
        <v>46373</v>
      </c>
      <c r="LF6" s="957">
        <v>46374</v>
      </c>
      <c r="LG6" s="957">
        <v>46375</v>
      </c>
      <c r="LH6" s="957">
        <v>46376</v>
      </c>
      <c r="LI6" s="957">
        <v>46377</v>
      </c>
      <c r="LJ6" s="957">
        <v>46378</v>
      </c>
      <c r="LK6" s="957">
        <v>46379</v>
      </c>
      <c r="LL6" s="957">
        <v>46380</v>
      </c>
      <c r="LM6" s="957">
        <v>46381</v>
      </c>
      <c r="LN6" s="957">
        <v>46382</v>
      </c>
      <c r="LO6" s="957">
        <v>46383</v>
      </c>
      <c r="LP6" s="957">
        <v>46384</v>
      </c>
      <c r="LQ6" s="957">
        <v>46385</v>
      </c>
      <c r="LR6" s="957">
        <v>46386</v>
      </c>
      <c r="LS6" s="957">
        <v>46387</v>
      </c>
      <c r="LT6" s="957">
        <v>46388</v>
      </c>
      <c r="LU6" s="957">
        <v>46389</v>
      </c>
      <c r="LV6" s="957">
        <v>46390</v>
      </c>
      <c r="LW6" s="957">
        <v>46391</v>
      </c>
      <c r="LX6" s="957">
        <v>46392</v>
      </c>
      <c r="LY6" s="957">
        <v>46393</v>
      </c>
      <c r="LZ6" s="957">
        <v>46394</v>
      </c>
      <c r="MA6" s="957">
        <v>46395</v>
      </c>
      <c r="MB6" s="957">
        <v>46396</v>
      </c>
      <c r="MC6" s="957">
        <v>46397</v>
      </c>
      <c r="MD6" s="957">
        <v>46398</v>
      </c>
      <c r="ME6" s="957">
        <v>46399</v>
      </c>
      <c r="MF6" s="957">
        <v>46400</v>
      </c>
      <c r="MG6" s="957">
        <v>46401</v>
      </c>
      <c r="MH6" s="957">
        <v>46402</v>
      </c>
      <c r="MI6" s="957">
        <v>46403</v>
      </c>
      <c r="MJ6" s="957">
        <v>46404</v>
      </c>
      <c r="MK6" s="957">
        <v>46405</v>
      </c>
      <c r="ML6" s="957">
        <v>46406</v>
      </c>
      <c r="MM6" s="957">
        <v>46407</v>
      </c>
      <c r="MN6" s="957">
        <v>46408</v>
      </c>
      <c r="MO6" s="957">
        <v>46409</v>
      </c>
      <c r="MP6" s="957">
        <v>46410</v>
      </c>
      <c r="MQ6" s="957">
        <v>46411</v>
      </c>
      <c r="MR6" s="957">
        <v>46412</v>
      </c>
      <c r="MS6" s="957">
        <v>46413</v>
      </c>
      <c r="MT6" s="957">
        <v>46414</v>
      </c>
      <c r="MU6" s="957">
        <v>46415</v>
      </c>
      <c r="MV6" s="957">
        <v>46416</v>
      </c>
      <c r="MW6" s="957">
        <v>46417</v>
      </c>
      <c r="MX6" s="957">
        <v>46418</v>
      </c>
      <c r="MY6" s="957">
        <v>46419</v>
      </c>
      <c r="MZ6" s="957">
        <v>46420</v>
      </c>
      <c r="NA6" s="957">
        <v>46421</v>
      </c>
      <c r="NB6" s="957">
        <v>46422</v>
      </c>
      <c r="NC6" s="957">
        <v>46423</v>
      </c>
      <c r="ND6" s="957">
        <v>46424</v>
      </c>
      <c r="NE6" s="957">
        <v>46425</v>
      </c>
      <c r="NF6" s="957">
        <v>46426</v>
      </c>
      <c r="NG6" s="957">
        <v>46427</v>
      </c>
      <c r="NH6" s="957">
        <v>46428</v>
      </c>
      <c r="NI6" s="957">
        <v>46429</v>
      </c>
      <c r="NJ6" s="957">
        <v>46430</v>
      </c>
      <c r="NK6" s="957">
        <v>46431</v>
      </c>
      <c r="NL6" s="957">
        <v>46432</v>
      </c>
      <c r="NM6" s="957">
        <v>46433</v>
      </c>
      <c r="NN6" s="957">
        <v>46434</v>
      </c>
      <c r="NO6" s="957">
        <v>46435</v>
      </c>
      <c r="NP6" s="957">
        <v>46436</v>
      </c>
      <c r="NQ6" s="957">
        <v>46437</v>
      </c>
      <c r="NR6" s="957">
        <v>46438</v>
      </c>
      <c r="NS6" s="957">
        <v>46439</v>
      </c>
      <c r="NT6" s="957">
        <v>46440</v>
      </c>
      <c r="NU6" s="957">
        <v>46441</v>
      </c>
      <c r="NV6" s="957">
        <v>46442</v>
      </c>
      <c r="NW6" s="957">
        <v>46443</v>
      </c>
      <c r="NX6" s="957">
        <v>46444</v>
      </c>
      <c r="NY6" s="957">
        <v>46445</v>
      </c>
      <c r="NZ6" s="957">
        <v>46446</v>
      </c>
      <c r="OA6" s="957">
        <v>46447</v>
      </c>
      <c r="OB6" s="957">
        <v>46448</v>
      </c>
      <c r="OC6" s="957">
        <v>46449</v>
      </c>
      <c r="OD6" s="957">
        <v>46450</v>
      </c>
      <c r="OE6" s="957">
        <v>46451</v>
      </c>
      <c r="OF6" s="957">
        <v>46452</v>
      </c>
      <c r="OG6" s="957">
        <v>46453</v>
      </c>
      <c r="OH6" s="957">
        <v>46454</v>
      </c>
      <c r="OI6" s="957">
        <v>46455</v>
      </c>
      <c r="OJ6" s="957">
        <v>46456</v>
      </c>
      <c r="OK6" s="957">
        <v>46457</v>
      </c>
      <c r="OL6" s="957">
        <v>46458</v>
      </c>
      <c r="OM6" s="957">
        <v>46459</v>
      </c>
      <c r="ON6" s="957">
        <v>46460</v>
      </c>
      <c r="OO6" s="957">
        <v>46461</v>
      </c>
      <c r="OP6" s="957">
        <v>46462</v>
      </c>
      <c r="OQ6" s="957">
        <v>46463</v>
      </c>
      <c r="OR6" s="957">
        <v>46464</v>
      </c>
      <c r="OS6" s="957">
        <v>46465</v>
      </c>
      <c r="OT6" s="957">
        <v>46466</v>
      </c>
      <c r="OU6" s="957">
        <v>46467</v>
      </c>
      <c r="OV6" s="957">
        <v>46468</v>
      </c>
      <c r="OW6" s="957">
        <v>46469</v>
      </c>
      <c r="OX6" s="957">
        <v>46470</v>
      </c>
      <c r="OY6" s="957">
        <v>46471</v>
      </c>
      <c r="OZ6" s="957">
        <v>46472</v>
      </c>
      <c r="PA6" s="957">
        <v>46473</v>
      </c>
      <c r="PB6" s="957">
        <v>46474</v>
      </c>
      <c r="PC6" s="957">
        <v>46475</v>
      </c>
      <c r="PD6" s="957">
        <v>46476</v>
      </c>
      <c r="PE6" s="957">
        <v>46477</v>
      </c>
      <c r="PF6" s="957">
        <v>46478</v>
      </c>
      <c r="PG6" s="957">
        <v>46479</v>
      </c>
      <c r="PH6" s="957">
        <v>46480</v>
      </c>
      <c r="PI6" s="957">
        <v>46481</v>
      </c>
      <c r="PJ6" s="957">
        <v>46482</v>
      </c>
      <c r="PK6" s="957">
        <v>46483</v>
      </c>
      <c r="PL6" s="957">
        <v>46484</v>
      </c>
      <c r="PM6" s="957">
        <v>46485</v>
      </c>
      <c r="PN6" s="957">
        <v>46486</v>
      </c>
      <c r="PO6" s="957">
        <v>46487</v>
      </c>
      <c r="PP6" s="957">
        <v>46488</v>
      </c>
      <c r="PQ6" s="957">
        <v>46489</v>
      </c>
      <c r="PR6" s="957">
        <v>46490</v>
      </c>
      <c r="PS6" s="957">
        <v>46491</v>
      </c>
      <c r="PT6" s="957">
        <v>46492</v>
      </c>
      <c r="PU6" s="957">
        <v>46493</v>
      </c>
      <c r="PV6" s="957">
        <v>46494</v>
      </c>
      <c r="PW6" s="957">
        <v>46495</v>
      </c>
      <c r="PX6" s="957">
        <v>46496</v>
      </c>
      <c r="PY6" s="957">
        <v>46497</v>
      </c>
      <c r="PZ6" s="957">
        <v>46498</v>
      </c>
      <c r="QA6" s="957">
        <v>46499</v>
      </c>
      <c r="QB6" s="957">
        <v>46500</v>
      </c>
      <c r="QC6" s="957">
        <v>46501</v>
      </c>
      <c r="QD6" s="957">
        <v>46502</v>
      </c>
      <c r="QE6" s="957">
        <v>46503</v>
      </c>
      <c r="QF6" s="957">
        <v>46504</v>
      </c>
      <c r="QG6" s="957">
        <v>46505</v>
      </c>
      <c r="QH6" s="957">
        <v>46506</v>
      </c>
      <c r="QI6" s="957">
        <v>46507</v>
      </c>
      <c r="QJ6" s="957">
        <v>46508</v>
      </c>
      <c r="QK6" s="957">
        <v>46509</v>
      </c>
      <c r="QL6" s="957">
        <v>46510</v>
      </c>
      <c r="QM6" s="957">
        <v>46511</v>
      </c>
      <c r="QN6" s="957">
        <v>46512</v>
      </c>
      <c r="QO6" s="957">
        <v>46513</v>
      </c>
      <c r="QP6" s="957">
        <v>46514</v>
      </c>
      <c r="QQ6" s="957">
        <v>46515</v>
      </c>
      <c r="QR6" s="957">
        <v>46516</v>
      </c>
      <c r="QS6" s="957">
        <v>46517</v>
      </c>
      <c r="QT6" s="957">
        <v>46518</v>
      </c>
      <c r="QU6" s="957">
        <v>46519</v>
      </c>
      <c r="QV6" s="957">
        <v>46520</v>
      </c>
      <c r="QW6" s="957">
        <v>46521</v>
      </c>
      <c r="QX6" s="957">
        <v>46522</v>
      </c>
      <c r="QY6" s="957">
        <v>46523</v>
      </c>
      <c r="QZ6" s="957">
        <v>46524</v>
      </c>
      <c r="RA6" s="957">
        <v>46525</v>
      </c>
      <c r="RB6" s="957">
        <v>46526</v>
      </c>
      <c r="RC6" s="957">
        <v>46527</v>
      </c>
      <c r="RD6" s="957">
        <v>46528</v>
      </c>
      <c r="RE6" s="957">
        <v>46529</v>
      </c>
      <c r="RF6" s="957">
        <v>46530</v>
      </c>
      <c r="RG6" s="957">
        <v>46531</v>
      </c>
      <c r="RH6" s="957">
        <v>46532</v>
      </c>
      <c r="RI6" s="957">
        <v>46533</v>
      </c>
      <c r="RJ6" s="957">
        <v>46534</v>
      </c>
      <c r="RK6" s="957">
        <v>46535</v>
      </c>
      <c r="RL6" s="957">
        <v>46536</v>
      </c>
      <c r="RM6" s="957">
        <v>46537</v>
      </c>
      <c r="RN6" s="957">
        <v>46538</v>
      </c>
      <c r="RO6" s="957">
        <v>46539</v>
      </c>
      <c r="RP6" s="957">
        <v>46540</v>
      </c>
      <c r="RQ6" s="957">
        <v>46541</v>
      </c>
      <c r="RR6" s="957">
        <v>46542</v>
      </c>
      <c r="RS6" s="957">
        <v>46543</v>
      </c>
      <c r="RT6" s="957">
        <v>46544</v>
      </c>
      <c r="RU6" s="957">
        <v>46545</v>
      </c>
      <c r="RV6" s="957">
        <v>46546</v>
      </c>
      <c r="RW6" s="957">
        <v>46547</v>
      </c>
      <c r="RX6" s="957">
        <v>46548</v>
      </c>
      <c r="RY6" s="957">
        <v>46549</v>
      </c>
      <c r="RZ6" s="957">
        <v>46550</v>
      </c>
      <c r="SA6" s="957">
        <v>46551</v>
      </c>
      <c r="SB6" s="957">
        <v>46552</v>
      </c>
      <c r="SC6" s="957">
        <v>46553</v>
      </c>
      <c r="SD6" s="957">
        <v>46554</v>
      </c>
      <c r="SE6" s="957">
        <v>46555</v>
      </c>
      <c r="SF6" s="957">
        <v>46556</v>
      </c>
      <c r="SG6" s="957">
        <v>46557</v>
      </c>
      <c r="SH6" s="957">
        <v>46558</v>
      </c>
      <c r="SI6" s="957">
        <v>46559</v>
      </c>
      <c r="SJ6" s="957">
        <v>46560</v>
      </c>
      <c r="SK6" s="957">
        <v>46561</v>
      </c>
      <c r="SL6" s="957">
        <v>46562</v>
      </c>
      <c r="SM6" s="957">
        <v>46563</v>
      </c>
      <c r="SN6" s="957">
        <v>46564</v>
      </c>
      <c r="SO6" s="957">
        <v>46565</v>
      </c>
      <c r="SP6" s="957">
        <v>46566</v>
      </c>
      <c r="SQ6" s="957">
        <v>46567</v>
      </c>
      <c r="SR6" s="957">
        <v>46568</v>
      </c>
      <c r="SS6" s="957">
        <v>46569</v>
      </c>
      <c r="ST6" s="957">
        <v>46570</v>
      </c>
      <c r="SU6" s="957">
        <v>46571</v>
      </c>
      <c r="SV6" s="957">
        <v>46572</v>
      </c>
      <c r="SW6" s="957">
        <v>46573</v>
      </c>
      <c r="SX6" s="957">
        <v>46574</v>
      </c>
      <c r="SY6" s="957">
        <v>46575</v>
      </c>
      <c r="SZ6" s="957">
        <v>46576</v>
      </c>
      <c r="TA6" s="957">
        <v>46577</v>
      </c>
      <c r="TB6" s="957">
        <v>46578</v>
      </c>
      <c r="TC6" s="957">
        <v>46579</v>
      </c>
      <c r="TD6" s="957">
        <v>46580</v>
      </c>
      <c r="TE6" s="957">
        <v>46581</v>
      </c>
      <c r="TF6" s="957">
        <v>46582</v>
      </c>
      <c r="TG6" s="957">
        <v>46583</v>
      </c>
      <c r="TH6" s="957">
        <v>46584</v>
      </c>
      <c r="TI6" s="957">
        <v>46585</v>
      </c>
      <c r="TJ6" s="957">
        <v>46586</v>
      </c>
      <c r="TK6" s="957">
        <v>46587</v>
      </c>
      <c r="TL6" s="957">
        <v>46588</v>
      </c>
      <c r="TM6" s="957">
        <v>46589</v>
      </c>
      <c r="TN6" s="957">
        <v>46590</v>
      </c>
      <c r="TO6" s="957">
        <v>46591</v>
      </c>
      <c r="TP6" s="957">
        <v>46592</v>
      </c>
      <c r="TQ6" s="957">
        <v>46593</v>
      </c>
      <c r="TR6" s="957">
        <v>46594</v>
      </c>
      <c r="TS6" s="957">
        <v>46595</v>
      </c>
      <c r="TT6" s="957">
        <v>46596</v>
      </c>
      <c r="TU6" s="957">
        <v>46597</v>
      </c>
      <c r="TV6" s="957">
        <v>46598</v>
      </c>
      <c r="TW6" s="957">
        <v>46599</v>
      </c>
      <c r="TX6" s="957">
        <v>46600</v>
      </c>
      <c r="TY6" s="957">
        <v>46601</v>
      </c>
      <c r="TZ6" s="957">
        <v>46602</v>
      </c>
      <c r="UA6" s="957">
        <v>46603</v>
      </c>
      <c r="UB6" s="957">
        <v>46604</v>
      </c>
      <c r="UC6" s="957">
        <v>46605</v>
      </c>
      <c r="UD6" s="957">
        <v>46606</v>
      </c>
      <c r="UE6" s="957">
        <v>46607</v>
      </c>
      <c r="UF6" s="957">
        <v>46608</v>
      </c>
      <c r="UG6" s="957">
        <v>46609</v>
      </c>
      <c r="UH6" s="957">
        <v>46610</v>
      </c>
      <c r="UI6" s="957">
        <v>46611</v>
      </c>
      <c r="UJ6" s="957">
        <v>46612</v>
      </c>
      <c r="UK6" s="957">
        <v>46613</v>
      </c>
      <c r="UL6" s="957">
        <v>46614</v>
      </c>
      <c r="UM6" s="957">
        <v>46615</v>
      </c>
      <c r="UN6" s="957">
        <v>46616</v>
      </c>
      <c r="UO6" s="957">
        <v>46617</v>
      </c>
      <c r="UP6" s="957">
        <v>46618</v>
      </c>
      <c r="UQ6" s="957">
        <v>46619</v>
      </c>
      <c r="UR6" s="957">
        <v>46620</v>
      </c>
      <c r="US6" s="957">
        <v>46621</v>
      </c>
      <c r="UT6" s="957">
        <v>46622</v>
      </c>
      <c r="UU6" s="957">
        <v>46623</v>
      </c>
      <c r="UV6" s="957">
        <v>46624</v>
      </c>
      <c r="UW6" s="957">
        <v>46625</v>
      </c>
      <c r="UX6" s="957">
        <v>46626</v>
      </c>
      <c r="UY6" s="957">
        <v>46627</v>
      </c>
      <c r="UZ6" s="957">
        <v>46628</v>
      </c>
      <c r="VA6" s="957">
        <v>46629</v>
      </c>
      <c r="VB6" s="957">
        <v>46630</v>
      </c>
      <c r="VC6" s="957">
        <v>46631</v>
      </c>
      <c r="VD6" s="957">
        <v>46632</v>
      </c>
      <c r="VE6" s="957">
        <v>46633</v>
      </c>
      <c r="VF6" s="957">
        <v>46634</v>
      </c>
      <c r="VG6" s="957">
        <v>46635</v>
      </c>
      <c r="VH6" s="957">
        <v>46636</v>
      </c>
      <c r="VI6" s="957">
        <v>46637</v>
      </c>
      <c r="VJ6" s="957">
        <v>46638</v>
      </c>
      <c r="VK6" s="957">
        <v>46639</v>
      </c>
      <c r="VL6" s="957">
        <v>46640</v>
      </c>
      <c r="VM6" s="957">
        <v>46641</v>
      </c>
      <c r="VN6" s="957">
        <v>46642</v>
      </c>
      <c r="VO6" s="957">
        <v>46643</v>
      </c>
      <c r="VP6" s="957">
        <v>46644</v>
      </c>
      <c r="VQ6" s="957">
        <v>46645</v>
      </c>
      <c r="VR6" s="957">
        <v>46646</v>
      </c>
      <c r="VS6" s="957">
        <v>46647</v>
      </c>
      <c r="VT6" s="957">
        <v>46648</v>
      </c>
      <c r="VU6" s="957">
        <v>46649</v>
      </c>
      <c r="VV6" s="957">
        <v>46650</v>
      </c>
      <c r="VW6" s="957">
        <v>46651</v>
      </c>
      <c r="VX6" s="957">
        <v>46652</v>
      </c>
      <c r="VY6" s="957">
        <v>46653</v>
      </c>
      <c r="VZ6" s="957">
        <v>46654</v>
      </c>
      <c r="WA6" s="957">
        <v>46655</v>
      </c>
      <c r="WB6" s="957">
        <v>46656</v>
      </c>
      <c r="WC6" s="957">
        <v>46657</v>
      </c>
      <c r="WD6" s="957">
        <v>46658</v>
      </c>
      <c r="WE6" s="957">
        <v>46659</v>
      </c>
      <c r="WF6" s="957">
        <v>46660</v>
      </c>
      <c r="WG6" s="957">
        <v>46661</v>
      </c>
      <c r="WH6" s="957">
        <v>46662</v>
      </c>
      <c r="WI6" s="957">
        <v>46663</v>
      </c>
      <c r="WJ6" s="957">
        <v>46664</v>
      </c>
      <c r="WK6" s="957">
        <v>46665</v>
      </c>
      <c r="WL6" s="957">
        <v>46666</v>
      </c>
      <c r="WM6" s="957">
        <v>46667</v>
      </c>
      <c r="WN6" s="957">
        <v>46668</v>
      </c>
      <c r="WO6" s="957">
        <v>46669</v>
      </c>
      <c r="WP6" s="957">
        <v>46670</v>
      </c>
      <c r="WQ6" s="957">
        <v>46671</v>
      </c>
      <c r="WR6" s="957">
        <v>46672</v>
      </c>
      <c r="WS6" s="957">
        <v>46673</v>
      </c>
      <c r="WT6" s="957">
        <v>46674</v>
      </c>
      <c r="WU6" s="957">
        <v>46675</v>
      </c>
      <c r="WV6" s="957">
        <v>46676</v>
      </c>
      <c r="WW6" s="957">
        <v>46677</v>
      </c>
      <c r="WX6" s="957">
        <v>46678</v>
      </c>
      <c r="WY6" s="957">
        <v>46679</v>
      </c>
      <c r="WZ6" s="957">
        <v>46680</v>
      </c>
      <c r="XA6" s="957">
        <v>46681</v>
      </c>
      <c r="XB6" s="957">
        <v>46682</v>
      </c>
      <c r="XC6" s="957">
        <v>46683</v>
      </c>
      <c r="XD6" s="957">
        <v>46684</v>
      </c>
      <c r="XE6" s="957">
        <v>46685</v>
      </c>
      <c r="XF6" s="957">
        <v>46686</v>
      </c>
      <c r="XG6" s="957">
        <v>46687</v>
      </c>
      <c r="XH6" s="957">
        <v>46688</v>
      </c>
      <c r="XI6" s="957">
        <v>46689</v>
      </c>
      <c r="XJ6" s="957">
        <v>46690</v>
      </c>
      <c r="XK6" s="957">
        <v>46691</v>
      </c>
      <c r="XL6" s="957">
        <v>46692</v>
      </c>
      <c r="XM6" s="957">
        <v>46693</v>
      </c>
      <c r="XN6" s="957">
        <v>46694</v>
      </c>
      <c r="XO6" s="957">
        <v>46695</v>
      </c>
      <c r="XP6" s="957">
        <v>46696</v>
      </c>
      <c r="XQ6" s="957">
        <v>46697</v>
      </c>
      <c r="XR6" s="957">
        <v>46698</v>
      </c>
      <c r="XS6" s="957">
        <v>46699</v>
      </c>
      <c r="XT6" s="957">
        <v>46700</v>
      </c>
      <c r="XU6" s="957">
        <v>46701</v>
      </c>
      <c r="XV6" s="957">
        <v>46702</v>
      </c>
      <c r="XW6" s="957">
        <v>46703</v>
      </c>
      <c r="XX6" s="957">
        <v>46704</v>
      </c>
      <c r="XY6" s="957">
        <v>46705</v>
      </c>
      <c r="XZ6" s="957">
        <v>46706</v>
      </c>
      <c r="YA6" s="957">
        <v>46707</v>
      </c>
      <c r="YB6" s="957">
        <v>46708</v>
      </c>
      <c r="YC6" s="957">
        <v>46709</v>
      </c>
      <c r="YD6" s="957">
        <v>46710</v>
      </c>
      <c r="YE6" s="957">
        <v>46711</v>
      </c>
      <c r="YF6" s="957">
        <v>46712</v>
      </c>
      <c r="YG6" s="957">
        <v>46713</v>
      </c>
      <c r="YH6" s="957">
        <v>46714</v>
      </c>
      <c r="YI6" s="957">
        <v>46715</v>
      </c>
      <c r="YJ6" s="957">
        <v>46716</v>
      </c>
      <c r="YK6" s="957">
        <v>46717</v>
      </c>
      <c r="YL6" s="957">
        <v>46718</v>
      </c>
      <c r="YM6" s="957">
        <v>46719</v>
      </c>
      <c r="YN6" s="957">
        <v>46720</v>
      </c>
      <c r="YO6" s="957">
        <v>46721</v>
      </c>
      <c r="YP6" s="957">
        <v>46722</v>
      </c>
      <c r="YQ6" s="957">
        <v>46723</v>
      </c>
      <c r="YR6" s="957">
        <v>46724</v>
      </c>
      <c r="YS6" s="957">
        <v>46725</v>
      </c>
      <c r="YT6" s="957">
        <v>46726</v>
      </c>
      <c r="YU6" s="957">
        <v>46727</v>
      </c>
      <c r="YV6" s="957">
        <v>46728</v>
      </c>
      <c r="YW6" s="957">
        <v>46729</v>
      </c>
      <c r="YX6" s="957">
        <v>46730</v>
      </c>
      <c r="YY6" s="957">
        <v>46731</v>
      </c>
      <c r="YZ6" s="957">
        <v>46732</v>
      </c>
      <c r="ZA6" s="957">
        <v>46733</v>
      </c>
      <c r="ZB6" s="957">
        <v>46734</v>
      </c>
      <c r="ZC6" s="957">
        <v>46735</v>
      </c>
      <c r="ZD6" s="957">
        <v>46736</v>
      </c>
      <c r="ZE6" s="957">
        <v>46737</v>
      </c>
      <c r="ZF6" s="957">
        <v>46738</v>
      </c>
      <c r="ZG6" s="957">
        <v>46739</v>
      </c>
      <c r="ZH6" s="957">
        <v>46740</v>
      </c>
      <c r="ZI6" s="957">
        <v>46741</v>
      </c>
      <c r="ZJ6" s="957">
        <v>46742</v>
      </c>
      <c r="ZK6" s="957">
        <v>46743</v>
      </c>
      <c r="ZL6" s="957">
        <v>46744</v>
      </c>
      <c r="ZM6" s="957">
        <v>46745</v>
      </c>
      <c r="ZN6" s="957">
        <v>46746</v>
      </c>
      <c r="ZO6" s="957">
        <v>46747</v>
      </c>
      <c r="ZP6" s="957">
        <v>46748</v>
      </c>
      <c r="ZQ6" s="957">
        <v>46749</v>
      </c>
      <c r="ZR6" s="957">
        <v>46750</v>
      </c>
      <c r="ZS6" s="957">
        <v>46751</v>
      </c>
      <c r="ZT6" s="957">
        <v>46752</v>
      </c>
      <c r="ZU6" s="957">
        <v>46753</v>
      </c>
      <c r="ZV6" s="957">
        <v>46754</v>
      </c>
      <c r="ZW6" s="957">
        <v>46755</v>
      </c>
      <c r="ZX6" s="957">
        <v>46756</v>
      </c>
      <c r="ZY6" s="957">
        <v>46757</v>
      </c>
      <c r="ZZ6" s="957">
        <v>46758</v>
      </c>
      <c r="AAA6" s="957">
        <v>46759</v>
      </c>
      <c r="AAB6" s="957">
        <v>46760</v>
      </c>
      <c r="AAC6" s="957">
        <v>46761</v>
      </c>
      <c r="AAD6" s="957">
        <v>46762</v>
      </c>
      <c r="AAE6" s="957">
        <v>46763</v>
      </c>
      <c r="AAF6" s="957">
        <v>46764</v>
      </c>
      <c r="AAG6" s="957">
        <v>46765</v>
      </c>
      <c r="AAH6" s="957">
        <v>46766</v>
      </c>
      <c r="AAI6" s="957">
        <v>46767</v>
      </c>
      <c r="AAJ6" s="957">
        <v>46768</v>
      </c>
      <c r="AAK6" s="957">
        <v>46769</v>
      </c>
      <c r="AAL6" s="957">
        <v>46770</v>
      </c>
      <c r="AAM6" s="957">
        <v>46771</v>
      </c>
      <c r="AAN6" s="957">
        <v>46772</v>
      </c>
      <c r="AAO6" s="957">
        <v>46773</v>
      </c>
      <c r="AAP6" s="957">
        <v>46774</v>
      </c>
      <c r="AAQ6" s="957">
        <v>46775</v>
      </c>
      <c r="AAR6" s="957">
        <v>46776</v>
      </c>
      <c r="AAS6" s="957">
        <v>46777</v>
      </c>
      <c r="AAT6" s="957">
        <v>46778</v>
      </c>
      <c r="AAU6" s="957">
        <v>46779</v>
      </c>
      <c r="AAV6" s="957">
        <v>46780</v>
      </c>
      <c r="AAW6" s="957">
        <v>46781</v>
      </c>
      <c r="AAX6" s="957">
        <v>46782</v>
      </c>
      <c r="AAY6" s="957">
        <v>46783</v>
      </c>
      <c r="AAZ6" s="957">
        <v>46784</v>
      </c>
      <c r="ABA6" s="957">
        <v>46785</v>
      </c>
      <c r="ABB6" s="957">
        <v>46786</v>
      </c>
      <c r="ABC6" s="957">
        <v>46787</v>
      </c>
      <c r="ABD6" s="957">
        <v>46788</v>
      </c>
      <c r="ABE6" s="957">
        <v>46789</v>
      </c>
      <c r="ABF6" s="957">
        <v>46790</v>
      </c>
      <c r="ABG6" s="957">
        <v>46791</v>
      </c>
      <c r="ABH6" s="957">
        <v>46792</v>
      </c>
      <c r="ABI6" s="957">
        <v>46793</v>
      </c>
      <c r="ABJ6" s="957">
        <v>46794</v>
      </c>
      <c r="ABK6" s="957">
        <v>46795</v>
      </c>
      <c r="ABL6" s="957">
        <v>46796</v>
      </c>
      <c r="ABM6" s="957">
        <v>46797</v>
      </c>
      <c r="ABN6" s="957">
        <v>46798</v>
      </c>
      <c r="ABO6" s="957">
        <v>46799</v>
      </c>
      <c r="ABP6" s="957">
        <v>46800</v>
      </c>
      <c r="ABQ6" s="957">
        <v>46801</v>
      </c>
      <c r="ABR6" s="957">
        <v>46802</v>
      </c>
      <c r="ABS6" s="957">
        <v>46803</v>
      </c>
      <c r="ABT6" s="957">
        <v>46804</v>
      </c>
      <c r="ABU6" s="957">
        <v>46805</v>
      </c>
      <c r="ABV6" s="957">
        <v>46806</v>
      </c>
      <c r="ABW6" s="957">
        <v>46807</v>
      </c>
      <c r="ABX6" s="957">
        <v>46808</v>
      </c>
      <c r="ABY6" s="957">
        <v>46809</v>
      </c>
      <c r="ABZ6" s="957">
        <v>46810</v>
      </c>
      <c r="ACA6" s="957">
        <v>46811</v>
      </c>
      <c r="ACB6" s="957">
        <v>46812</v>
      </c>
      <c r="ACC6" s="957">
        <v>46813</v>
      </c>
      <c r="ACD6" s="957">
        <v>46814</v>
      </c>
      <c r="ACE6" s="957">
        <v>46815</v>
      </c>
      <c r="ACF6" s="957">
        <v>46816</v>
      </c>
      <c r="ACG6" s="957">
        <v>46817</v>
      </c>
      <c r="ACH6" s="957">
        <v>46818</v>
      </c>
      <c r="ACI6" s="957">
        <v>46819</v>
      </c>
      <c r="ACJ6" s="957">
        <v>46820</v>
      </c>
      <c r="ACK6" s="957">
        <v>46821</v>
      </c>
      <c r="ACL6" s="957">
        <v>46822</v>
      </c>
      <c r="ACM6" s="957">
        <v>46823</v>
      </c>
      <c r="ACN6" s="957">
        <v>46824</v>
      </c>
      <c r="ACO6" s="957">
        <v>46825</v>
      </c>
      <c r="ACP6" s="957">
        <v>46826</v>
      </c>
      <c r="ACQ6" s="957">
        <v>46827</v>
      </c>
      <c r="ACR6" s="957">
        <v>46828</v>
      </c>
      <c r="ACS6" s="957">
        <v>46829</v>
      </c>
      <c r="ACT6" s="957">
        <v>46830</v>
      </c>
      <c r="ACU6" s="957">
        <v>46831</v>
      </c>
      <c r="ACV6" s="957">
        <v>46832</v>
      </c>
      <c r="ACW6" s="957">
        <v>46833</v>
      </c>
      <c r="ACX6" s="957">
        <v>46834</v>
      </c>
      <c r="ACY6" s="957">
        <v>46835</v>
      </c>
      <c r="ACZ6" s="957">
        <v>46836</v>
      </c>
      <c r="ADA6" s="957">
        <v>46837</v>
      </c>
      <c r="ADB6" s="957">
        <v>46838</v>
      </c>
      <c r="ADC6" s="957">
        <v>46839</v>
      </c>
      <c r="ADD6" s="957">
        <v>46840</v>
      </c>
      <c r="ADE6" s="957">
        <v>46841</v>
      </c>
      <c r="ADF6" s="957">
        <v>46842</v>
      </c>
      <c r="ADG6" s="957">
        <v>46843</v>
      </c>
    </row>
    <row r="7" spans="1:787" ht="24.95" customHeight="1">
      <c r="A7" s="1113"/>
      <c r="B7" s="1169" t="s">
        <v>55</v>
      </c>
      <c r="C7" s="1169"/>
      <c r="D7" s="308" t="s">
        <v>54</v>
      </c>
      <c r="E7" s="1195"/>
      <c r="F7" s="1195"/>
      <c r="G7" s="1195"/>
      <c r="H7" s="1195"/>
      <c r="I7" s="1195"/>
      <c r="J7" s="1195"/>
      <c r="K7" s="1195"/>
      <c r="L7" s="1173"/>
      <c r="M7" s="1173"/>
      <c r="N7" s="1173"/>
      <c r="O7" s="1173"/>
      <c r="P7" s="1173"/>
      <c r="Q7" s="1173"/>
      <c r="R7" s="1173"/>
      <c r="S7" s="1173"/>
      <c r="T7" s="1173"/>
      <c r="U7" s="1173"/>
      <c r="V7" s="1173"/>
      <c r="W7" s="1173"/>
      <c r="X7" s="1173"/>
      <c r="Y7" s="1173"/>
      <c r="Z7" s="1174"/>
      <c r="AA7" s="1113"/>
      <c r="AB7" s="1169" t="s">
        <v>55</v>
      </c>
      <c r="AC7" s="1169"/>
      <c r="AD7" s="308" t="s">
        <v>54</v>
      </c>
      <c r="AE7" s="1172">
        <v>50862</v>
      </c>
      <c r="AF7" s="1172"/>
      <c r="AG7" s="1172"/>
      <c r="AH7" s="1172"/>
      <c r="AI7" s="1172"/>
      <c r="AJ7" s="1172"/>
      <c r="AK7" s="1172"/>
      <c r="AL7" s="1173" t="s">
        <v>416</v>
      </c>
      <c r="AM7" s="1173"/>
      <c r="AN7" s="1173"/>
      <c r="AO7" s="1173"/>
      <c r="AP7" s="1173"/>
      <c r="AQ7" s="1173"/>
      <c r="AR7" s="1173"/>
      <c r="AS7" s="1173"/>
      <c r="AT7" s="1173"/>
      <c r="AU7" s="1173"/>
      <c r="AV7" s="1173"/>
      <c r="AW7" s="1173"/>
      <c r="AX7" s="1173"/>
      <c r="AY7" s="1173"/>
      <c r="AZ7" s="1174"/>
      <c r="BA7" s="50">
        <v>7</v>
      </c>
      <c r="BB7" s="52" t="s">
        <v>421</v>
      </c>
    </row>
    <row r="8" spans="1:787" ht="24.95" customHeight="1">
      <c r="A8" s="1113"/>
      <c r="B8" s="1166"/>
      <c r="C8" s="1166"/>
      <c r="D8" s="309" t="s">
        <v>383</v>
      </c>
      <c r="E8" s="1200"/>
      <c r="F8" s="1200"/>
      <c r="G8" s="1200"/>
      <c r="H8" s="1200"/>
      <c r="I8" s="1200"/>
      <c r="J8" s="1200"/>
      <c r="K8" s="1200"/>
      <c r="L8" s="1200"/>
      <c r="M8" s="1200"/>
      <c r="N8" s="1200"/>
      <c r="O8" s="1200"/>
      <c r="P8" s="1175" t="s">
        <v>384</v>
      </c>
      <c r="Q8" s="1176"/>
      <c r="R8" s="1200"/>
      <c r="S8" s="1200"/>
      <c r="T8" s="1200"/>
      <c r="U8" s="1200"/>
      <c r="V8" s="1200"/>
      <c r="W8" s="1200"/>
      <c r="X8" s="1200"/>
      <c r="Y8" s="1200"/>
      <c r="Z8" s="1201"/>
      <c r="AA8" s="1113"/>
      <c r="AB8" s="1166"/>
      <c r="AC8" s="1166"/>
      <c r="AD8" s="309" t="s">
        <v>383</v>
      </c>
      <c r="AE8" s="1107" t="s">
        <v>481</v>
      </c>
      <c r="AF8" s="1107"/>
      <c r="AG8" s="1107"/>
      <c r="AH8" s="1107"/>
      <c r="AI8" s="1107"/>
      <c r="AJ8" s="1107"/>
      <c r="AK8" s="1107"/>
      <c r="AL8" s="1107"/>
      <c r="AM8" s="1107"/>
      <c r="AN8" s="1107"/>
      <c r="AO8" s="1107"/>
      <c r="AP8" s="1175" t="s">
        <v>384</v>
      </c>
      <c r="AQ8" s="1176"/>
      <c r="AR8" s="1107">
        <v>247</v>
      </c>
      <c r="AS8" s="1107"/>
      <c r="AT8" s="1107"/>
      <c r="AU8" s="1107"/>
      <c r="AV8" s="1107"/>
      <c r="AW8" s="1107"/>
      <c r="AX8" s="1107"/>
      <c r="AY8" s="1107"/>
      <c r="AZ8" s="1167"/>
      <c r="BA8" s="50">
        <v>8</v>
      </c>
      <c r="BB8" s="52" t="s">
        <v>422</v>
      </c>
    </row>
    <row r="9" spans="1:787" ht="24.95" customHeight="1">
      <c r="A9" s="1113"/>
      <c r="B9" s="1164" t="s">
        <v>52</v>
      </c>
      <c r="C9" s="1164"/>
      <c r="D9" s="1115"/>
      <c r="E9" s="1115"/>
      <c r="F9" s="1115"/>
      <c r="G9" s="1115"/>
      <c r="H9" s="1115"/>
      <c r="I9" s="1115"/>
      <c r="J9" s="1115"/>
      <c r="K9" s="1115"/>
      <c r="L9" s="1115"/>
      <c r="M9" s="1115"/>
      <c r="N9" s="1115"/>
      <c r="O9" s="310"/>
      <c r="P9" s="310"/>
      <c r="Q9" s="312"/>
      <c r="R9" s="312"/>
      <c r="S9" s="310"/>
      <c r="T9" s="297"/>
      <c r="U9" s="297"/>
      <c r="V9" s="297"/>
      <c r="W9" s="297"/>
      <c r="X9" s="311"/>
      <c r="Y9" s="297"/>
      <c r="Z9" s="297"/>
      <c r="AA9" s="1113"/>
      <c r="AB9" s="1164" t="s">
        <v>50</v>
      </c>
      <c r="AC9" s="1164"/>
      <c r="AD9" s="1177" t="s">
        <v>482</v>
      </c>
      <c r="AE9" s="1177"/>
      <c r="AF9" s="1177"/>
      <c r="AG9" s="1177"/>
      <c r="AH9" s="1177"/>
      <c r="AI9" s="1177"/>
      <c r="AJ9" s="1177"/>
      <c r="AK9" s="1177"/>
      <c r="AL9" s="1177"/>
      <c r="AM9" s="1177"/>
      <c r="AN9" s="1177"/>
      <c r="AO9" s="1168"/>
      <c r="AP9" s="1168"/>
      <c r="AQ9" s="1077"/>
      <c r="AR9" s="1077"/>
      <c r="AS9" s="310"/>
      <c r="AT9" s="313"/>
      <c r="AU9" s="314"/>
      <c r="AV9" s="314"/>
      <c r="AW9" s="314"/>
      <c r="AX9" s="311"/>
      <c r="AY9" s="1170"/>
      <c r="AZ9" s="1171"/>
      <c r="BA9" s="50">
        <v>9</v>
      </c>
      <c r="BB9" s="52" t="s">
        <v>245</v>
      </c>
    </row>
    <row r="10" spans="1:787" ht="24.95" customHeight="1">
      <c r="A10" s="1113"/>
      <c r="B10" s="1164" t="s">
        <v>48</v>
      </c>
      <c r="C10" s="1164"/>
      <c r="D10" s="1115"/>
      <c r="E10" s="1115"/>
      <c r="F10" s="1115"/>
      <c r="G10" s="1115"/>
      <c r="H10" s="1115"/>
      <c r="I10" s="1115"/>
      <c r="J10" s="1115"/>
      <c r="K10" s="1115"/>
      <c r="L10" s="1115"/>
      <c r="M10" s="1115"/>
      <c r="N10" s="1115"/>
      <c r="O10" s="312"/>
      <c r="P10" s="312"/>
      <c r="Q10" s="312"/>
      <c r="R10" s="312"/>
      <c r="S10" s="312"/>
      <c r="T10" s="311"/>
      <c r="U10" s="310"/>
      <c r="V10" s="310"/>
      <c r="W10" s="310"/>
      <c r="X10" s="311"/>
      <c r="Y10" s="1162"/>
      <c r="Z10" s="1163"/>
      <c r="AA10" s="1113"/>
      <c r="AB10" s="1164" t="s">
        <v>48</v>
      </c>
      <c r="AC10" s="1164"/>
      <c r="AD10" s="1177" t="s">
        <v>483</v>
      </c>
      <c r="AE10" s="1177"/>
      <c r="AF10" s="1177"/>
      <c r="AG10" s="1177"/>
      <c r="AH10" s="1177"/>
      <c r="AI10" s="1177"/>
      <c r="AJ10" s="1177"/>
      <c r="AK10" s="1177"/>
      <c r="AL10" s="1177"/>
      <c r="AM10" s="1177"/>
      <c r="AN10" s="1177"/>
      <c r="AO10" s="312"/>
      <c r="AP10" s="312"/>
      <c r="AQ10" s="312"/>
      <c r="AR10" s="312"/>
      <c r="AS10" s="312"/>
      <c r="AT10" s="311"/>
      <c r="AU10" s="310"/>
      <c r="AV10" s="310"/>
      <c r="AW10" s="310"/>
      <c r="AX10" s="311"/>
      <c r="AY10" s="1162"/>
      <c r="AZ10" s="1163"/>
      <c r="BA10" s="50">
        <v>10</v>
      </c>
      <c r="BB10" s="50"/>
    </row>
    <row r="11" spans="1:787" ht="24.95" customHeight="1">
      <c r="A11" s="1114"/>
      <c r="B11" s="1143" t="s">
        <v>47</v>
      </c>
      <c r="C11" s="1143"/>
      <c r="D11" s="1206"/>
      <c r="E11" s="1206"/>
      <c r="F11" s="1206"/>
      <c r="G11" s="1206"/>
      <c r="H11" s="1206"/>
      <c r="I11" s="1206"/>
      <c r="J11" s="1206"/>
      <c r="K11" s="1206"/>
      <c r="L11" s="1206"/>
      <c r="M11" s="1206"/>
      <c r="N11" s="1206"/>
      <c r="O11" s="1206"/>
      <c r="P11" s="1206"/>
      <c r="Q11" s="1206"/>
      <c r="R11" s="1206"/>
      <c r="S11" s="1206"/>
      <c r="T11" s="1206"/>
      <c r="U11" s="1206"/>
      <c r="V11" s="1206"/>
      <c r="W11" s="1206"/>
      <c r="X11" s="1206"/>
      <c r="Y11" s="1206"/>
      <c r="Z11" s="1207"/>
      <c r="AA11" s="1114"/>
      <c r="AB11" s="1143" t="s">
        <v>46</v>
      </c>
      <c r="AC11" s="1143"/>
      <c r="AD11" s="1141" t="s">
        <v>45</v>
      </c>
      <c r="AE11" s="1141"/>
      <c r="AF11" s="1141"/>
      <c r="AG11" s="1141"/>
      <c r="AH11" s="1141"/>
      <c r="AI11" s="1141"/>
      <c r="AJ11" s="1141"/>
      <c r="AK11" s="1141"/>
      <c r="AL11" s="1141"/>
      <c r="AM11" s="1141"/>
      <c r="AN11" s="1141"/>
      <c r="AO11" s="1141"/>
      <c r="AP11" s="1141"/>
      <c r="AQ11" s="1141"/>
      <c r="AR11" s="1141"/>
      <c r="AS11" s="1141"/>
      <c r="AT11" s="1141"/>
      <c r="AU11" s="1141"/>
      <c r="AV11" s="1141"/>
      <c r="AW11" s="1141"/>
      <c r="AX11" s="1141"/>
      <c r="AY11" s="1141"/>
      <c r="AZ11" s="1142"/>
      <c r="BA11" s="50">
        <v>11</v>
      </c>
      <c r="BB11" s="50"/>
    </row>
    <row r="12" spans="1:787" ht="20.100000000000001" customHeight="1">
      <c r="A12" s="1047" t="s">
        <v>44</v>
      </c>
      <c r="B12" s="1094"/>
      <c r="C12" s="1095"/>
      <c r="D12" s="1095"/>
      <c r="E12" s="1095"/>
      <c r="F12" s="1095"/>
      <c r="G12" s="1095"/>
      <c r="H12" s="1148" t="s">
        <v>13</v>
      </c>
      <c r="I12" s="1148"/>
      <c r="J12" s="1148"/>
      <c r="K12" s="1149"/>
      <c r="L12" s="1078" t="s">
        <v>43</v>
      </c>
      <c r="M12" s="1079"/>
      <c r="N12" s="1079"/>
      <c r="O12" s="1079"/>
      <c r="P12" s="1079"/>
      <c r="Q12" s="1079"/>
      <c r="R12" s="1079"/>
      <c r="S12" s="1079"/>
      <c r="T12" s="1079"/>
      <c r="U12" s="1080"/>
      <c r="V12" s="1081" t="s">
        <v>42</v>
      </c>
      <c r="W12" s="1078"/>
      <c r="X12" s="1078"/>
      <c r="Y12" s="1078"/>
      <c r="Z12" s="1082"/>
      <c r="AA12" s="1047" t="s">
        <v>44</v>
      </c>
      <c r="AB12" s="1094" t="s">
        <v>796</v>
      </c>
      <c r="AC12" s="1095"/>
      <c r="AD12" s="1095"/>
      <c r="AE12" s="1095"/>
      <c r="AF12" s="1095"/>
      <c r="AG12" s="1095"/>
      <c r="AH12" s="1148" t="s">
        <v>13</v>
      </c>
      <c r="AI12" s="1148"/>
      <c r="AJ12" s="1148"/>
      <c r="AK12" s="1149"/>
      <c r="AL12" s="1078" t="s">
        <v>43</v>
      </c>
      <c r="AM12" s="1079"/>
      <c r="AN12" s="1079"/>
      <c r="AO12" s="1079"/>
      <c r="AP12" s="1079"/>
      <c r="AQ12" s="1079"/>
      <c r="AR12" s="1079"/>
      <c r="AS12" s="1079"/>
      <c r="AT12" s="1079"/>
      <c r="AU12" s="1080"/>
      <c r="AV12" s="1081" t="s">
        <v>42</v>
      </c>
      <c r="AW12" s="1078"/>
      <c r="AX12" s="1078"/>
      <c r="AY12" s="1078"/>
      <c r="AZ12" s="1082"/>
      <c r="BA12" s="50">
        <v>12</v>
      </c>
      <c r="BB12" s="50"/>
    </row>
    <row r="13" spans="1:787" ht="20.100000000000001" customHeight="1">
      <c r="A13" s="1048"/>
      <c r="B13" s="1096"/>
      <c r="C13" s="1097"/>
      <c r="D13" s="1097"/>
      <c r="E13" s="1097"/>
      <c r="F13" s="1097"/>
      <c r="G13" s="1097"/>
      <c r="H13" s="1046"/>
      <c r="I13" s="1046"/>
      <c r="J13" s="1046"/>
      <c r="K13" s="1084"/>
      <c r="L13" s="1117"/>
      <c r="M13" s="1118"/>
      <c r="N13" s="1118"/>
      <c r="O13" s="1046" t="s">
        <v>41</v>
      </c>
      <c r="P13" s="1046"/>
      <c r="Q13" s="1210"/>
      <c r="R13" s="1210"/>
      <c r="S13" s="1046" t="s">
        <v>11</v>
      </c>
      <c r="T13" s="1046"/>
      <c r="U13" s="315"/>
      <c r="V13" s="1217"/>
      <c r="W13" s="1218"/>
      <c r="X13" s="1218"/>
      <c r="Y13" s="1159" t="s">
        <v>11</v>
      </c>
      <c r="Z13" s="1160"/>
      <c r="AA13" s="1048"/>
      <c r="AB13" s="1096"/>
      <c r="AC13" s="1097"/>
      <c r="AD13" s="1097"/>
      <c r="AE13" s="1097"/>
      <c r="AF13" s="1097"/>
      <c r="AG13" s="1097"/>
      <c r="AH13" s="1046"/>
      <c r="AI13" s="1046"/>
      <c r="AJ13" s="1046"/>
      <c r="AK13" s="1084"/>
      <c r="AL13" s="1076">
        <v>1</v>
      </c>
      <c r="AM13" s="1077"/>
      <c r="AN13" s="1077"/>
      <c r="AO13" s="1046" t="s">
        <v>41</v>
      </c>
      <c r="AP13" s="1046"/>
      <c r="AQ13" s="1107">
        <v>2</v>
      </c>
      <c r="AR13" s="1107"/>
      <c r="AS13" s="1046" t="s">
        <v>11</v>
      </c>
      <c r="AT13" s="1046"/>
      <c r="AU13" s="315"/>
      <c r="AV13" s="1144">
        <v>1</v>
      </c>
      <c r="AW13" s="1145"/>
      <c r="AX13" s="1145"/>
      <c r="AY13" s="1159" t="s">
        <v>11</v>
      </c>
      <c r="AZ13" s="1160"/>
      <c r="BA13" s="50">
        <v>13</v>
      </c>
      <c r="BB13" s="50"/>
    </row>
    <row r="14" spans="1:787" ht="20.100000000000001" customHeight="1">
      <c r="A14" s="1048"/>
      <c r="B14" s="1146" t="s">
        <v>40</v>
      </c>
      <c r="C14" s="1009"/>
      <c r="D14" s="1010"/>
      <c r="E14" s="1010"/>
      <c r="F14" s="1010"/>
      <c r="G14" s="1010"/>
      <c r="H14" s="1010"/>
      <c r="I14" s="1010"/>
      <c r="J14" s="1010"/>
      <c r="K14" s="1011"/>
      <c r="L14" s="1131" t="s">
        <v>925</v>
      </c>
      <c r="M14" s="1132"/>
      <c r="N14" s="1132"/>
      <c r="O14" s="1132"/>
      <c r="P14" s="1133"/>
      <c r="Q14" s="1119" t="s">
        <v>525</v>
      </c>
      <c r="R14" s="1120"/>
      <c r="S14" s="1120"/>
      <c r="T14" s="1120"/>
      <c r="U14" s="1128"/>
      <c r="V14" s="1119" t="s">
        <v>926</v>
      </c>
      <c r="W14" s="1120"/>
      <c r="X14" s="1120"/>
      <c r="Y14" s="1120"/>
      <c r="Z14" s="1121"/>
      <c r="AA14" s="1048"/>
      <c r="AB14" s="1146" t="s">
        <v>40</v>
      </c>
      <c r="AC14" s="1044" t="s">
        <v>34</v>
      </c>
      <c r="AD14" s="1044"/>
      <c r="AE14" s="1045" t="s">
        <v>12</v>
      </c>
      <c r="AF14" s="1044" t="s">
        <v>484</v>
      </c>
      <c r="AG14" s="1044"/>
      <c r="AH14" s="1045" t="s">
        <v>11</v>
      </c>
      <c r="AI14" s="1045" t="s">
        <v>39</v>
      </c>
      <c r="AJ14" s="1045" t="s">
        <v>891</v>
      </c>
      <c r="AK14" s="1083" t="s">
        <v>38</v>
      </c>
      <c r="AL14" s="1085" t="s">
        <v>925</v>
      </c>
      <c r="AM14" s="1086"/>
      <c r="AN14" s="1086"/>
      <c r="AO14" s="1086"/>
      <c r="AP14" s="1087"/>
      <c r="AQ14" s="1098" t="s">
        <v>525</v>
      </c>
      <c r="AR14" s="1099"/>
      <c r="AS14" s="1099"/>
      <c r="AT14" s="1099"/>
      <c r="AU14" s="1100"/>
      <c r="AV14" s="1150" t="s">
        <v>926</v>
      </c>
      <c r="AW14" s="1151"/>
      <c r="AX14" s="1151"/>
      <c r="AY14" s="1151"/>
      <c r="AZ14" s="1152"/>
      <c r="BA14" s="50">
        <v>14</v>
      </c>
      <c r="BB14" s="50"/>
    </row>
    <row r="15" spans="1:787" ht="20.100000000000001" customHeight="1">
      <c r="A15" s="1048"/>
      <c r="B15" s="1147"/>
      <c r="C15" s="1012"/>
      <c r="D15" s="1013"/>
      <c r="E15" s="1013"/>
      <c r="F15" s="1013"/>
      <c r="G15" s="1013"/>
      <c r="H15" s="1013"/>
      <c r="I15" s="1013"/>
      <c r="J15" s="1013"/>
      <c r="K15" s="1014"/>
      <c r="L15" s="1134"/>
      <c r="M15" s="1135"/>
      <c r="N15" s="1135"/>
      <c r="O15" s="1135"/>
      <c r="P15" s="1136"/>
      <c r="Q15" s="1122"/>
      <c r="R15" s="1123"/>
      <c r="S15" s="1123"/>
      <c r="T15" s="1123"/>
      <c r="U15" s="1129"/>
      <c r="V15" s="1122"/>
      <c r="W15" s="1123"/>
      <c r="X15" s="1123"/>
      <c r="Y15" s="1123"/>
      <c r="Z15" s="1124"/>
      <c r="AA15" s="1048"/>
      <c r="AB15" s="1147"/>
      <c r="AC15" s="1033"/>
      <c r="AD15" s="1033"/>
      <c r="AE15" s="1046"/>
      <c r="AF15" s="1033"/>
      <c r="AG15" s="1033"/>
      <c r="AH15" s="1046"/>
      <c r="AI15" s="1046"/>
      <c r="AJ15" s="1046"/>
      <c r="AK15" s="1084"/>
      <c r="AL15" s="1088"/>
      <c r="AM15" s="1089"/>
      <c r="AN15" s="1089"/>
      <c r="AO15" s="1089"/>
      <c r="AP15" s="1090"/>
      <c r="AQ15" s="1101"/>
      <c r="AR15" s="1102"/>
      <c r="AS15" s="1102"/>
      <c r="AT15" s="1102"/>
      <c r="AU15" s="1103"/>
      <c r="AV15" s="1153"/>
      <c r="AW15" s="1154"/>
      <c r="AX15" s="1154"/>
      <c r="AY15" s="1154"/>
      <c r="AZ15" s="1155"/>
      <c r="BA15" s="50">
        <v>15</v>
      </c>
      <c r="BB15" s="50"/>
    </row>
    <row r="16" spans="1:787" ht="20.100000000000001" customHeight="1">
      <c r="A16" s="1048"/>
      <c r="B16" s="1042" t="s">
        <v>35</v>
      </c>
      <c r="C16" s="1009"/>
      <c r="D16" s="1010"/>
      <c r="E16" s="1010"/>
      <c r="F16" s="1010"/>
      <c r="G16" s="1010"/>
      <c r="H16" s="1010"/>
      <c r="I16" s="1010"/>
      <c r="J16" s="1010"/>
      <c r="K16" s="1011"/>
      <c r="L16" s="1137"/>
      <c r="M16" s="1138"/>
      <c r="N16" s="1138"/>
      <c r="O16" s="1138"/>
      <c r="P16" s="1139"/>
      <c r="Q16" s="1125"/>
      <c r="R16" s="1126"/>
      <c r="S16" s="1126"/>
      <c r="T16" s="1126"/>
      <c r="U16" s="1130"/>
      <c r="V16" s="1125"/>
      <c r="W16" s="1126"/>
      <c r="X16" s="1126"/>
      <c r="Y16" s="1126"/>
      <c r="Z16" s="1127"/>
      <c r="AA16" s="1048"/>
      <c r="AB16" s="1042" t="s">
        <v>35</v>
      </c>
      <c r="AC16" s="1032" t="s">
        <v>34</v>
      </c>
      <c r="AD16" s="1032"/>
      <c r="AE16" s="1049" t="s">
        <v>12</v>
      </c>
      <c r="AF16" s="1032" t="s">
        <v>767</v>
      </c>
      <c r="AG16" s="1032"/>
      <c r="AH16" s="1049" t="s">
        <v>11</v>
      </c>
      <c r="AI16" s="1049" t="s">
        <v>33</v>
      </c>
      <c r="AJ16" s="1049" t="s">
        <v>892</v>
      </c>
      <c r="AK16" s="1108" t="s">
        <v>32</v>
      </c>
      <c r="AL16" s="1091"/>
      <c r="AM16" s="1092"/>
      <c r="AN16" s="1092"/>
      <c r="AO16" s="1092"/>
      <c r="AP16" s="1093"/>
      <c r="AQ16" s="1104"/>
      <c r="AR16" s="1105"/>
      <c r="AS16" s="1105"/>
      <c r="AT16" s="1105"/>
      <c r="AU16" s="1106"/>
      <c r="AV16" s="1156"/>
      <c r="AW16" s="1157"/>
      <c r="AX16" s="1157"/>
      <c r="AY16" s="1157"/>
      <c r="AZ16" s="1158"/>
      <c r="BA16" s="50">
        <v>16</v>
      </c>
      <c r="BB16" s="50"/>
    </row>
    <row r="17" spans="1:54" s="1" customFormat="1" ht="20.100000000000001" customHeight="1">
      <c r="A17" s="1048"/>
      <c r="B17" s="1043"/>
      <c r="C17" s="1012"/>
      <c r="D17" s="1013"/>
      <c r="E17" s="1013"/>
      <c r="F17" s="1013"/>
      <c r="G17" s="1013"/>
      <c r="H17" s="1013"/>
      <c r="I17" s="1013"/>
      <c r="J17" s="1013"/>
      <c r="K17" s="1014"/>
      <c r="L17" s="1140" t="s">
        <v>474</v>
      </c>
      <c r="M17" s="1031"/>
      <c r="N17" s="1031"/>
      <c r="O17" s="1031"/>
      <c r="P17" s="1031"/>
      <c r="Q17" s="1031"/>
      <c r="R17" s="1031"/>
      <c r="S17" s="1031"/>
      <c r="T17" s="1116"/>
      <c r="U17" s="1116"/>
      <c r="V17" s="316" t="s">
        <v>29</v>
      </c>
      <c r="W17" s="316" t="s">
        <v>30</v>
      </c>
      <c r="X17" s="1116"/>
      <c r="Y17" s="1116"/>
      <c r="Z17" s="317" t="s">
        <v>29</v>
      </c>
      <c r="AA17" s="1048"/>
      <c r="AB17" s="1043"/>
      <c r="AC17" s="1033"/>
      <c r="AD17" s="1033"/>
      <c r="AE17" s="1046"/>
      <c r="AF17" s="1033"/>
      <c r="AG17" s="1033"/>
      <c r="AH17" s="1046"/>
      <c r="AI17" s="1046"/>
      <c r="AJ17" s="1046"/>
      <c r="AK17" s="1084"/>
      <c r="AL17" s="322"/>
      <c r="AM17" s="1031" t="s">
        <v>31</v>
      </c>
      <c r="AN17" s="1031"/>
      <c r="AO17" s="1031"/>
      <c r="AP17" s="1031"/>
      <c r="AQ17" s="1031"/>
      <c r="AR17" s="1031"/>
      <c r="AS17" s="1031"/>
      <c r="AT17" s="1031"/>
      <c r="AU17" s="1031"/>
      <c r="AV17" s="316" t="s">
        <v>29</v>
      </c>
      <c r="AW17" s="316" t="s">
        <v>30</v>
      </c>
      <c r="AX17" s="1031"/>
      <c r="AY17" s="1031"/>
      <c r="AZ17" s="317" t="s">
        <v>29</v>
      </c>
      <c r="BA17" s="50">
        <v>17</v>
      </c>
      <c r="BB17" s="57"/>
    </row>
    <row r="18" spans="1:54" s="1" customFormat="1" ht="20.100000000000001" customHeight="1">
      <c r="A18" s="1113" t="s">
        <v>28</v>
      </c>
      <c r="B18" s="1215"/>
      <c r="C18" s="1215"/>
      <c r="D18" s="1215"/>
      <c r="E18" s="1015" t="s">
        <v>27</v>
      </c>
      <c r="F18" s="1016"/>
      <c r="G18" s="1111"/>
      <c r="H18" s="1036"/>
      <c r="I18" s="1036"/>
      <c r="J18" s="1036"/>
      <c r="K18" s="1036"/>
      <c r="L18" s="1036"/>
      <c r="M18" s="1036"/>
      <c r="N18" s="1036"/>
      <c r="O18" s="1036"/>
      <c r="P18" s="1037"/>
      <c r="Q18" s="1038" t="s">
        <v>26</v>
      </c>
      <c r="R18" s="1039"/>
      <c r="S18" s="1039"/>
      <c r="T18" s="1039"/>
      <c r="U18" s="1039"/>
      <c r="V18" s="1039"/>
      <c r="W18" s="1036" t="s">
        <v>476</v>
      </c>
      <c r="X18" s="1036"/>
      <c r="Y18" s="1036"/>
      <c r="Z18" s="1037"/>
      <c r="AA18" s="1113" t="s">
        <v>28</v>
      </c>
      <c r="AB18" s="1109">
        <v>111</v>
      </c>
      <c r="AC18" s="1109"/>
      <c r="AD18" s="1109"/>
      <c r="AE18" s="1015" t="s">
        <v>27</v>
      </c>
      <c r="AF18" s="1016"/>
      <c r="AG18" s="1111"/>
      <c r="AH18" s="1036"/>
      <c r="AI18" s="1036"/>
      <c r="AJ18" s="1036"/>
      <c r="AK18" s="1036"/>
      <c r="AL18" s="1036"/>
      <c r="AM18" s="1036"/>
      <c r="AN18" s="1036"/>
      <c r="AO18" s="1036"/>
      <c r="AP18" s="1037"/>
      <c r="AQ18" s="1038" t="s">
        <v>26</v>
      </c>
      <c r="AR18" s="1039"/>
      <c r="AS18" s="1039"/>
      <c r="AT18" s="1039"/>
      <c r="AU18" s="1039"/>
      <c r="AV18" s="1039"/>
      <c r="AW18" s="323"/>
      <c r="AX18" s="1007" t="s">
        <v>25</v>
      </c>
      <c r="AY18" s="1007"/>
      <c r="AZ18" s="1021"/>
      <c r="BA18" s="50">
        <v>18</v>
      </c>
      <c r="BB18" s="57"/>
    </row>
    <row r="19" spans="1:54" s="1" customFormat="1" ht="20.100000000000001" customHeight="1">
      <c r="A19" s="1114"/>
      <c r="B19" s="1216"/>
      <c r="C19" s="1216"/>
      <c r="D19" s="1216"/>
      <c r="E19" s="1017"/>
      <c r="F19" s="1018"/>
      <c r="G19" s="1040"/>
      <c r="H19" s="1041"/>
      <c r="I19" s="1041"/>
      <c r="J19" s="1041"/>
      <c r="K19" s="1041"/>
      <c r="L19" s="1041"/>
      <c r="M19" s="1041"/>
      <c r="N19" s="1041"/>
      <c r="O19" s="1041"/>
      <c r="P19" s="1112"/>
      <c r="Q19" s="1040"/>
      <c r="R19" s="1041"/>
      <c r="S19" s="1041"/>
      <c r="T19" s="1041"/>
      <c r="U19" s="1041"/>
      <c r="V19" s="1041"/>
      <c r="W19" s="1034" t="s">
        <v>475</v>
      </c>
      <c r="X19" s="1034"/>
      <c r="Y19" s="1034"/>
      <c r="Z19" s="1035"/>
      <c r="AA19" s="1114"/>
      <c r="AB19" s="1110"/>
      <c r="AC19" s="1110"/>
      <c r="AD19" s="1110"/>
      <c r="AE19" s="1017"/>
      <c r="AF19" s="1018"/>
      <c r="AG19" s="1040"/>
      <c r="AH19" s="1041"/>
      <c r="AI19" s="1041"/>
      <c r="AJ19" s="1041"/>
      <c r="AK19" s="1041"/>
      <c r="AL19" s="1041"/>
      <c r="AM19" s="1041"/>
      <c r="AN19" s="1041"/>
      <c r="AO19" s="1041"/>
      <c r="AP19" s="1112"/>
      <c r="AQ19" s="1040"/>
      <c r="AR19" s="1041"/>
      <c r="AS19" s="1041"/>
      <c r="AT19" s="1041"/>
      <c r="AU19" s="1041"/>
      <c r="AV19" s="1041"/>
      <c r="AW19" s="324"/>
      <c r="AX19" s="1019" t="s">
        <v>24</v>
      </c>
      <c r="AY19" s="1019"/>
      <c r="AZ19" s="1020"/>
      <c r="BA19" s="50">
        <v>19</v>
      </c>
      <c r="BB19" s="57"/>
    </row>
    <row r="20" spans="1:54" s="1" customFormat="1" ht="21" customHeight="1">
      <c r="A20" s="1213" t="s">
        <v>23</v>
      </c>
      <c r="B20" s="318"/>
      <c r="C20" s="1030" t="s">
        <v>22</v>
      </c>
      <c r="D20" s="1030"/>
      <c r="E20" s="1030"/>
      <c r="F20" s="1030"/>
      <c r="G20" s="1203"/>
      <c r="H20" s="1203"/>
      <c r="I20" s="1203"/>
      <c r="J20" s="1203"/>
      <c r="K20" s="1203"/>
      <c r="L20" s="1203"/>
      <c r="M20" s="1203"/>
      <c r="N20" s="1204"/>
      <c r="O20" s="1059" t="s">
        <v>539</v>
      </c>
      <c r="P20" s="1060"/>
      <c r="Q20" s="1060"/>
      <c r="R20" s="1060"/>
      <c r="S20" s="1060"/>
      <c r="T20" s="1060"/>
      <c r="U20" s="1060"/>
      <c r="V20" s="1060"/>
      <c r="W20" s="1060"/>
      <c r="X20" s="1060"/>
      <c r="Y20" s="1060"/>
      <c r="Z20" s="1061"/>
      <c r="AA20" s="1213" t="s">
        <v>23</v>
      </c>
      <c r="AB20" s="318"/>
      <c r="AC20" s="1030" t="s">
        <v>22</v>
      </c>
      <c r="AD20" s="1030"/>
      <c r="AE20" s="1030"/>
      <c r="AF20" s="1030"/>
      <c r="AG20" s="1028"/>
      <c r="AH20" s="1028"/>
      <c r="AI20" s="1028"/>
      <c r="AJ20" s="1028"/>
      <c r="AK20" s="1028"/>
      <c r="AL20" s="1028"/>
      <c r="AM20" s="1028"/>
      <c r="AN20" s="1029" t="b">
        <v>0</v>
      </c>
      <c r="AO20" s="1059" t="s">
        <v>539</v>
      </c>
      <c r="AP20" s="1060"/>
      <c r="AQ20" s="1060"/>
      <c r="AR20" s="1060"/>
      <c r="AS20" s="1060"/>
      <c r="AT20" s="1060"/>
      <c r="AU20" s="1060"/>
      <c r="AV20" s="1060"/>
      <c r="AW20" s="1060"/>
      <c r="AX20" s="1060"/>
      <c r="AY20" s="1060"/>
      <c r="AZ20" s="1061"/>
      <c r="BA20" s="50">
        <v>20</v>
      </c>
      <c r="BB20" s="57"/>
    </row>
    <row r="21" spans="1:54" s="1" customFormat="1" ht="21" customHeight="1">
      <c r="A21" s="1213"/>
      <c r="B21" s="319"/>
      <c r="C21" s="1007" t="s">
        <v>21</v>
      </c>
      <c r="D21" s="1007"/>
      <c r="E21" s="1007"/>
      <c r="F21" s="1007"/>
      <c r="G21" s="1007"/>
      <c r="H21" s="1007"/>
      <c r="I21" s="1007"/>
      <c r="J21" s="1007"/>
      <c r="K21" s="1007"/>
      <c r="L21" s="1007"/>
      <c r="M21" s="1007"/>
      <c r="N21" s="1008"/>
      <c r="O21" s="1062"/>
      <c r="P21" s="1063"/>
      <c r="Q21" s="1063"/>
      <c r="R21" s="1063"/>
      <c r="S21" s="1063"/>
      <c r="T21" s="1063"/>
      <c r="U21" s="1063"/>
      <c r="V21" s="1063"/>
      <c r="W21" s="1063"/>
      <c r="X21" s="1063"/>
      <c r="Y21" s="1063"/>
      <c r="Z21" s="1064"/>
      <c r="AA21" s="1213"/>
      <c r="AB21" s="319"/>
      <c r="AC21" s="1007" t="s">
        <v>21</v>
      </c>
      <c r="AD21" s="1007"/>
      <c r="AE21" s="1007"/>
      <c r="AF21" s="1007"/>
      <c r="AG21" s="1007"/>
      <c r="AH21" s="1007"/>
      <c r="AI21" s="1007"/>
      <c r="AJ21" s="1007"/>
      <c r="AK21" s="1007"/>
      <c r="AL21" s="1007"/>
      <c r="AM21" s="1007"/>
      <c r="AN21" s="1008"/>
      <c r="AO21" s="1062"/>
      <c r="AP21" s="1063"/>
      <c r="AQ21" s="1063"/>
      <c r="AR21" s="1063"/>
      <c r="AS21" s="1063"/>
      <c r="AT21" s="1063"/>
      <c r="AU21" s="1063"/>
      <c r="AV21" s="1063"/>
      <c r="AW21" s="1063"/>
      <c r="AX21" s="1063"/>
      <c r="AY21" s="1063"/>
      <c r="AZ21" s="1064"/>
      <c r="BA21" s="50">
        <v>21</v>
      </c>
      <c r="BB21" s="57"/>
    </row>
    <row r="22" spans="1:54" s="1" customFormat="1" ht="21" customHeight="1">
      <c r="A22" s="1213"/>
      <c r="B22" s="319"/>
      <c r="C22" s="1007"/>
      <c r="D22" s="1007"/>
      <c r="E22" s="1007"/>
      <c r="F22" s="1007"/>
      <c r="G22" s="1007"/>
      <c r="H22" s="1007"/>
      <c r="I22" s="1007"/>
      <c r="J22" s="1007"/>
      <c r="K22" s="1007"/>
      <c r="L22" s="1007"/>
      <c r="M22" s="1007"/>
      <c r="N22" s="1008"/>
      <c r="O22" s="1062"/>
      <c r="P22" s="1063"/>
      <c r="Q22" s="1063"/>
      <c r="R22" s="1063"/>
      <c r="S22" s="1063"/>
      <c r="T22" s="1063"/>
      <c r="U22" s="1063"/>
      <c r="V22" s="1063"/>
      <c r="W22" s="1063"/>
      <c r="X22" s="1063"/>
      <c r="Y22" s="1063"/>
      <c r="Z22" s="1064"/>
      <c r="AA22" s="1213"/>
      <c r="AB22" s="319"/>
      <c r="AC22" s="1007"/>
      <c r="AD22" s="1007"/>
      <c r="AE22" s="1007"/>
      <c r="AF22" s="1007"/>
      <c r="AG22" s="1007"/>
      <c r="AH22" s="1007"/>
      <c r="AI22" s="1007"/>
      <c r="AJ22" s="1007"/>
      <c r="AK22" s="1007"/>
      <c r="AL22" s="1007"/>
      <c r="AM22" s="1007"/>
      <c r="AN22" s="1008"/>
      <c r="AO22" s="1062"/>
      <c r="AP22" s="1063"/>
      <c r="AQ22" s="1063"/>
      <c r="AR22" s="1063"/>
      <c r="AS22" s="1063"/>
      <c r="AT22" s="1063"/>
      <c r="AU22" s="1063"/>
      <c r="AV22" s="1063"/>
      <c r="AW22" s="1063"/>
      <c r="AX22" s="1063"/>
      <c r="AY22" s="1063"/>
      <c r="AZ22" s="1064"/>
      <c r="BA22" s="50">
        <v>22</v>
      </c>
      <c r="BB22" s="57"/>
    </row>
    <row r="23" spans="1:54" s="1" customFormat="1" ht="21" customHeight="1">
      <c r="A23" s="1213"/>
      <c r="B23" s="318"/>
      <c r="C23" s="1007" t="s">
        <v>20</v>
      </c>
      <c r="D23" s="1007"/>
      <c r="E23" s="1007"/>
      <c r="F23" s="1007"/>
      <c r="G23" s="1007"/>
      <c r="H23" s="1007"/>
      <c r="I23" s="1007"/>
      <c r="J23" s="1007"/>
      <c r="K23" s="1007"/>
      <c r="L23" s="1007"/>
      <c r="M23" s="1007"/>
      <c r="N23" s="1008"/>
      <c r="O23" s="1062"/>
      <c r="P23" s="1063"/>
      <c r="Q23" s="1063"/>
      <c r="R23" s="1063"/>
      <c r="S23" s="1063"/>
      <c r="T23" s="1063"/>
      <c r="U23" s="1063"/>
      <c r="V23" s="1063"/>
      <c r="W23" s="1063"/>
      <c r="X23" s="1063"/>
      <c r="Y23" s="1063"/>
      <c r="Z23" s="1064"/>
      <c r="AA23" s="1213"/>
      <c r="AB23" s="318"/>
      <c r="AC23" s="1007" t="s">
        <v>20</v>
      </c>
      <c r="AD23" s="1007"/>
      <c r="AE23" s="1007"/>
      <c r="AF23" s="1007"/>
      <c r="AG23" s="1007"/>
      <c r="AH23" s="1007"/>
      <c r="AI23" s="1007"/>
      <c r="AJ23" s="1007"/>
      <c r="AK23" s="1007"/>
      <c r="AL23" s="1007"/>
      <c r="AM23" s="1007"/>
      <c r="AN23" s="1008"/>
      <c r="AO23" s="1062"/>
      <c r="AP23" s="1063"/>
      <c r="AQ23" s="1063"/>
      <c r="AR23" s="1063"/>
      <c r="AS23" s="1063"/>
      <c r="AT23" s="1063"/>
      <c r="AU23" s="1063"/>
      <c r="AV23" s="1063"/>
      <c r="AW23" s="1063"/>
      <c r="AX23" s="1063"/>
      <c r="AY23" s="1063"/>
      <c r="AZ23" s="1064"/>
      <c r="BA23" s="50">
        <v>23</v>
      </c>
      <c r="BB23" s="57"/>
    </row>
    <row r="24" spans="1:54" s="1" customFormat="1" ht="21" customHeight="1">
      <c r="A24" s="1213"/>
      <c r="B24" s="320"/>
      <c r="C24" s="1007" t="s">
        <v>19</v>
      </c>
      <c r="D24" s="1007"/>
      <c r="E24" s="1007"/>
      <c r="F24" s="1007"/>
      <c r="G24" s="1007"/>
      <c r="H24" s="1007"/>
      <c r="I24" s="1007"/>
      <c r="J24" s="1007"/>
      <c r="K24" s="1007"/>
      <c r="L24" s="1007"/>
      <c r="M24" s="1007"/>
      <c r="N24" s="1008"/>
      <c r="O24" s="1062"/>
      <c r="P24" s="1063"/>
      <c r="Q24" s="1063"/>
      <c r="R24" s="1063"/>
      <c r="S24" s="1063"/>
      <c r="T24" s="1063"/>
      <c r="U24" s="1063"/>
      <c r="V24" s="1063"/>
      <c r="W24" s="1063"/>
      <c r="X24" s="1063"/>
      <c r="Y24" s="1063"/>
      <c r="Z24" s="1064"/>
      <c r="AA24" s="1213"/>
      <c r="AB24" s="320"/>
      <c r="AC24" s="1007" t="s">
        <v>19</v>
      </c>
      <c r="AD24" s="1007"/>
      <c r="AE24" s="1007"/>
      <c r="AF24" s="1007"/>
      <c r="AG24" s="1007"/>
      <c r="AH24" s="1007"/>
      <c r="AI24" s="1007"/>
      <c r="AJ24" s="1007"/>
      <c r="AK24" s="1007"/>
      <c r="AL24" s="1007"/>
      <c r="AM24" s="1007"/>
      <c r="AN24" s="1008"/>
      <c r="AO24" s="1062"/>
      <c r="AP24" s="1063"/>
      <c r="AQ24" s="1063"/>
      <c r="AR24" s="1063"/>
      <c r="AS24" s="1063"/>
      <c r="AT24" s="1063"/>
      <c r="AU24" s="1063"/>
      <c r="AV24" s="1063"/>
      <c r="AW24" s="1063"/>
      <c r="AX24" s="1063"/>
      <c r="AY24" s="1063"/>
      <c r="AZ24" s="1064"/>
      <c r="BA24" s="50">
        <v>24</v>
      </c>
      <c r="BB24" s="57"/>
    </row>
    <row r="25" spans="1:54" s="1" customFormat="1" ht="21" customHeight="1">
      <c r="A25" s="1213"/>
      <c r="B25" s="320"/>
      <c r="C25" s="1007" t="s">
        <v>18</v>
      </c>
      <c r="D25" s="1007"/>
      <c r="E25" s="1007"/>
      <c r="F25" s="1007"/>
      <c r="G25" s="1007"/>
      <c r="H25" s="1007"/>
      <c r="I25" s="1007"/>
      <c r="J25" s="1007"/>
      <c r="K25" s="1007"/>
      <c r="L25" s="1007"/>
      <c r="M25" s="1007"/>
      <c r="N25" s="1008"/>
      <c r="O25" s="1062"/>
      <c r="P25" s="1063"/>
      <c r="Q25" s="1063"/>
      <c r="R25" s="1063"/>
      <c r="S25" s="1063"/>
      <c r="T25" s="1063"/>
      <c r="U25" s="1063"/>
      <c r="V25" s="1063"/>
      <c r="W25" s="1063"/>
      <c r="X25" s="1063"/>
      <c r="Y25" s="1063"/>
      <c r="Z25" s="1064"/>
      <c r="AA25" s="1213"/>
      <c r="AB25" s="320"/>
      <c r="AC25" s="1007" t="s">
        <v>18</v>
      </c>
      <c r="AD25" s="1007"/>
      <c r="AE25" s="1007"/>
      <c r="AF25" s="1007"/>
      <c r="AG25" s="1007"/>
      <c r="AH25" s="1007"/>
      <c r="AI25" s="1007"/>
      <c r="AJ25" s="1007"/>
      <c r="AK25" s="1007"/>
      <c r="AL25" s="1007"/>
      <c r="AM25" s="1007"/>
      <c r="AN25" s="1008"/>
      <c r="AO25" s="1062"/>
      <c r="AP25" s="1063"/>
      <c r="AQ25" s="1063"/>
      <c r="AR25" s="1063"/>
      <c r="AS25" s="1063"/>
      <c r="AT25" s="1063"/>
      <c r="AU25" s="1063"/>
      <c r="AV25" s="1063"/>
      <c r="AW25" s="1063"/>
      <c r="AX25" s="1063"/>
      <c r="AY25" s="1063"/>
      <c r="AZ25" s="1064"/>
      <c r="BA25" s="50">
        <v>25</v>
      </c>
      <c r="BB25" s="57"/>
    </row>
    <row r="26" spans="1:54" s="1" customFormat="1" ht="21" customHeight="1">
      <c r="A26" s="1213"/>
      <c r="B26" s="320"/>
      <c r="C26" s="1007" t="s">
        <v>17</v>
      </c>
      <c r="D26" s="1007"/>
      <c r="E26" s="1007"/>
      <c r="F26" s="1007"/>
      <c r="G26" s="1007"/>
      <c r="H26" s="1007"/>
      <c r="I26" s="1007"/>
      <c r="J26" s="1007"/>
      <c r="K26" s="1007"/>
      <c r="L26" s="1007"/>
      <c r="M26" s="1007"/>
      <c r="N26" s="1008"/>
      <c r="O26" s="1062"/>
      <c r="P26" s="1063"/>
      <c r="Q26" s="1063"/>
      <c r="R26" s="1063"/>
      <c r="S26" s="1063"/>
      <c r="T26" s="1063"/>
      <c r="U26" s="1063"/>
      <c r="V26" s="1063"/>
      <c r="W26" s="1063"/>
      <c r="X26" s="1063"/>
      <c r="Y26" s="1063"/>
      <c r="Z26" s="1064"/>
      <c r="AA26" s="1213"/>
      <c r="AB26" s="320"/>
      <c r="AC26" s="1007" t="s">
        <v>17</v>
      </c>
      <c r="AD26" s="1007"/>
      <c r="AE26" s="1007"/>
      <c r="AF26" s="1007"/>
      <c r="AG26" s="1007"/>
      <c r="AH26" s="1007"/>
      <c r="AI26" s="1007"/>
      <c r="AJ26" s="1007"/>
      <c r="AK26" s="1007"/>
      <c r="AL26" s="1007"/>
      <c r="AM26" s="1007"/>
      <c r="AN26" s="1008"/>
      <c r="AO26" s="1062"/>
      <c r="AP26" s="1063"/>
      <c r="AQ26" s="1063"/>
      <c r="AR26" s="1063"/>
      <c r="AS26" s="1063"/>
      <c r="AT26" s="1063"/>
      <c r="AU26" s="1063"/>
      <c r="AV26" s="1063"/>
      <c r="AW26" s="1063"/>
      <c r="AX26" s="1063"/>
      <c r="AY26" s="1063"/>
      <c r="AZ26" s="1064"/>
      <c r="BA26" s="50">
        <v>26</v>
      </c>
      <c r="BB26" s="57"/>
    </row>
    <row r="27" spans="1:54" s="1" customFormat="1" ht="21" customHeight="1">
      <c r="A27" s="1213"/>
      <c r="B27" s="320"/>
      <c r="C27" s="1007" t="s">
        <v>15</v>
      </c>
      <c r="D27" s="1007"/>
      <c r="E27" s="1007"/>
      <c r="F27" s="1205"/>
      <c r="G27" s="1205"/>
      <c r="H27" s="1205"/>
      <c r="I27" s="1205"/>
      <c r="J27" s="1205"/>
      <c r="K27" s="1205"/>
      <c r="L27" s="1205"/>
      <c r="M27" s="1205"/>
      <c r="N27" s="496" t="s">
        <v>16</v>
      </c>
      <c r="O27" s="1062"/>
      <c r="P27" s="1063"/>
      <c r="Q27" s="1063"/>
      <c r="R27" s="1063"/>
      <c r="S27" s="1063"/>
      <c r="T27" s="1063"/>
      <c r="U27" s="1063"/>
      <c r="V27" s="1063"/>
      <c r="W27" s="1063"/>
      <c r="X27" s="1063"/>
      <c r="Y27" s="1063"/>
      <c r="Z27" s="1064"/>
      <c r="AA27" s="1213"/>
      <c r="AB27" s="500"/>
      <c r="AC27" s="1007" t="s">
        <v>15</v>
      </c>
      <c r="AD27" s="1007"/>
      <c r="AE27" s="1007"/>
      <c r="AF27" s="1039"/>
      <c r="AG27" s="1039"/>
      <c r="AH27" s="1039"/>
      <c r="AI27" s="1039"/>
      <c r="AJ27" s="1039"/>
      <c r="AK27" s="1039"/>
      <c r="AL27" s="1039"/>
      <c r="AM27" s="1039"/>
      <c r="AN27" s="496" t="s">
        <v>14</v>
      </c>
      <c r="AO27" s="1062"/>
      <c r="AP27" s="1063"/>
      <c r="AQ27" s="1063"/>
      <c r="AR27" s="1063"/>
      <c r="AS27" s="1063"/>
      <c r="AT27" s="1063"/>
      <c r="AU27" s="1063"/>
      <c r="AV27" s="1063"/>
      <c r="AW27" s="1063"/>
      <c r="AX27" s="1063"/>
      <c r="AY27" s="1063"/>
      <c r="AZ27" s="1064"/>
      <c r="BA27" s="50">
        <v>27</v>
      </c>
      <c r="BB27" s="57"/>
    </row>
    <row r="28" spans="1:54" s="1" customFormat="1" ht="21" customHeight="1">
      <c r="A28" s="1213"/>
      <c r="B28" s="1022"/>
      <c r="C28" s="1023"/>
      <c r="D28" s="1023"/>
      <c r="E28" s="1023"/>
      <c r="F28" s="1023"/>
      <c r="G28" s="1023"/>
      <c r="H28" s="1023"/>
      <c r="I28" s="1023"/>
      <c r="J28" s="1023"/>
      <c r="K28" s="1023"/>
      <c r="L28" s="1023"/>
      <c r="M28" s="1023"/>
      <c r="N28" s="1024"/>
      <c r="O28" s="1062"/>
      <c r="P28" s="1063"/>
      <c r="Q28" s="1063"/>
      <c r="R28" s="1063"/>
      <c r="S28" s="1063"/>
      <c r="T28" s="1063"/>
      <c r="U28" s="1063"/>
      <c r="V28" s="1063"/>
      <c r="W28" s="1063"/>
      <c r="X28" s="1063"/>
      <c r="Y28" s="1063"/>
      <c r="Z28" s="1064"/>
      <c r="AA28" s="1213"/>
      <c r="AB28" s="1022"/>
      <c r="AC28" s="1023"/>
      <c r="AD28" s="1023"/>
      <c r="AE28" s="1023"/>
      <c r="AF28" s="1023"/>
      <c r="AG28" s="1023"/>
      <c r="AH28" s="1023"/>
      <c r="AI28" s="1023"/>
      <c r="AJ28" s="1023"/>
      <c r="AK28" s="1023"/>
      <c r="AL28" s="1023"/>
      <c r="AM28" s="1023"/>
      <c r="AN28" s="1024"/>
      <c r="AO28" s="1062"/>
      <c r="AP28" s="1063"/>
      <c r="AQ28" s="1063"/>
      <c r="AR28" s="1063"/>
      <c r="AS28" s="1063"/>
      <c r="AT28" s="1063"/>
      <c r="AU28" s="1063"/>
      <c r="AV28" s="1063"/>
      <c r="AW28" s="1063"/>
      <c r="AX28" s="1063"/>
      <c r="AY28" s="1063"/>
      <c r="AZ28" s="1064"/>
      <c r="BA28" s="50">
        <v>28</v>
      </c>
      <c r="BB28" s="57"/>
    </row>
    <row r="29" spans="1:54" s="1" customFormat="1" ht="21" customHeight="1">
      <c r="A29" s="1213"/>
      <c r="B29" s="1022"/>
      <c r="C29" s="1023"/>
      <c r="D29" s="1023"/>
      <c r="E29" s="1023"/>
      <c r="F29" s="1023"/>
      <c r="G29" s="1023"/>
      <c r="H29" s="1023"/>
      <c r="I29" s="1023"/>
      <c r="J29" s="1023"/>
      <c r="K29" s="1023"/>
      <c r="L29" s="1023"/>
      <c r="M29" s="1023"/>
      <c r="N29" s="1024"/>
      <c r="O29" s="1062"/>
      <c r="P29" s="1063"/>
      <c r="Q29" s="1063"/>
      <c r="R29" s="1063"/>
      <c r="S29" s="1063"/>
      <c r="T29" s="1063"/>
      <c r="U29" s="1063"/>
      <c r="V29" s="1063"/>
      <c r="W29" s="1063"/>
      <c r="X29" s="1063"/>
      <c r="Y29" s="1063"/>
      <c r="Z29" s="1064"/>
      <c r="AA29" s="1213"/>
      <c r="AB29" s="1022"/>
      <c r="AC29" s="1023"/>
      <c r="AD29" s="1023"/>
      <c r="AE29" s="1023"/>
      <c r="AF29" s="1023"/>
      <c r="AG29" s="1023"/>
      <c r="AH29" s="1023"/>
      <c r="AI29" s="1023"/>
      <c r="AJ29" s="1023"/>
      <c r="AK29" s="1023"/>
      <c r="AL29" s="1023"/>
      <c r="AM29" s="1023"/>
      <c r="AN29" s="1024"/>
      <c r="AO29" s="1062"/>
      <c r="AP29" s="1063"/>
      <c r="AQ29" s="1063"/>
      <c r="AR29" s="1063"/>
      <c r="AS29" s="1063"/>
      <c r="AT29" s="1063"/>
      <c r="AU29" s="1063"/>
      <c r="AV29" s="1063"/>
      <c r="AW29" s="1063"/>
      <c r="AX29" s="1063"/>
      <c r="AY29" s="1063"/>
      <c r="AZ29" s="1064"/>
      <c r="BA29" s="50">
        <v>29</v>
      </c>
      <c r="BB29" s="57"/>
    </row>
    <row r="30" spans="1:54" s="1" customFormat="1" ht="21" customHeight="1">
      <c r="A30" s="1214"/>
      <c r="B30" s="1025"/>
      <c r="C30" s="1026"/>
      <c r="D30" s="1026"/>
      <c r="E30" s="1026"/>
      <c r="F30" s="1026"/>
      <c r="G30" s="1026"/>
      <c r="H30" s="1026"/>
      <c r="I30" s="1026"/>
      <c r="J30" s="1026"/>
      <c r="K30" s="1026"/>
      <c r="L30" s="1026"/>
      <c r="M30" s="1026"/>
      <c r="N30" s="1027"/>
      <c r="O30" s="1065"/>
      <c r="P30" s="1066"/>
      <c r="Q30" s="1066"/>
      <c r="R30" s="1066"/>
      <c r="S30" s="1066"/>
      <c r="T30" s="1066"/>
      <c r="U30" s="1066"/>
      <c r="V30" s="1066"/>
      <c r="W30" s="1066"/>
      <c r="X30" s="1066"/>
      <c r="Y30" s="1066"/>
      <c r="Z30" s="1067"/>
      <c r="AA30" s="1214"/>
      <c r="AB30" s="1025"/>
      <c r="AC30" s="1026"/>
      <c r="AD30" s="1026"/>
      <c r="AE30" s="1026"/>
      <c r="AF30" s="1026"/>
      <c r="AG30" s="1026"/>
      <c r="AH30" s="1026"/>
      <c r="AI30" s="1026"/>
      <c r="AJ30" s="1026"/>
      <c r="AK30" s="1026"/>
      <c r="AL30" s="1026"/>
      <c r="AM30" s="1026"/>
      <c r="AN30" s="1027"/>
      <c r="AO30" s="1065"/>
      <c r="AP30" s="1066"/>
      <c r="AQ30" s="1066"/>
      <c r="AR30" s="1066"/>
      <c r="AS30" s="1066"/>
      <c r="AT30" s="1066"/>
      <c r="AU30" s="1066"/>
      <c r="AV30" s="1066"/>
      <c r="AW30" s="1066"/>
      <c r="AX30" s="1066"/>
      <c r="AY30" s="1066"/>
      <c r="AZ30" s="1067"/>
      <c r="BA30" s="50">
        <v>30</v>
      </c>
      <c r="BB30" s="57"/>
    </row>
    <row r="31" spans="1:54" s="1" customFormat="1" ht="24.95" customHeight="1">
      <c r="A31" s="1071"/>
      <c r="B31" s="1071"/>
      <c r="C31" s="1071"/>
      <c r="D31" s="1071"/>
      <c r="E31" s="1071"/>
      <c r="F31" s="1071"/>
      <c r="G31" s="1071"/>
      <c r="H31" s="1071"/>
      <c r="I31" s="1071"/>
      <c r="J31" s="1071"/>
      <c r="K31" s="1071"/>
      <c r="L31" s="1071"/>
      <c r="M31" s="1071"/>
      <c r="N31" s="1071"/>
      <c r="O31" s="1071"/>
      <c r="P31" s="1071"/>
      <c r="Q31" s="1071"/>
      <c r="R31" s="1071"/>
      <c r="S31" s="1071"/>
      <c r="T31" s="1071"/>
      <c r="U31" s="1071"/>
      <c r="V31" s="1071"/>
      <c r="W31" s="1071"/>
      <c r="X31" s="1071"/>
      <c r="Y31" s="1071"/>
      <c r="Z31" s="1071"/>
      <c r="AA31" s="1071"/>
      <c r="AB31" s="1071"/>
      <c r="AC31" s="1071"/>
      <c r="AD31" s="1071"/>
      <c r="AE31" s="1071"/>
      <c r="AF31" s="1071"/>
      <c r="AG31" s="1071"/>
      <c r="AH31" s="1071"/>
      <c r="AI31" s="1071"/>
      <c r="AJ31" s="1071"/>
      <c r="AK31" s="1071"/>
      <c r="AL31" s="1071"/>
      <c r="AM31" s="1071"/>
      <c r="AN31" s="1071"/>
      <c r="AO31" s="1071"/>
      <c r="AP31" s="1071"/>
      <c r="AQ31" s="1071"/>
      <c r="AR31" s="1071"/>
      <c r="AS31" s="1071"/>
      <c r="AT31" s="1071"/>
      <c r="AU31" s="1071"/>
      <c r="AV31" s="1071"/>
      <c r="AW31" s="1071"/>
      <c r="AX31" s="1071"/>
      <c r="AY31" s="1071"/>
      <c r="AZ31" s="1071"/>
      <c r="BA31" s="50">
        <v>31</v>
      </c>
      <c r="BB31" s="57"/>
    </row>
    <row r="32" spans="1:54" s="1" customFormat="1" ht="24.95" customHeight="1">
      <c r="A32" s="1071"/>
      <c r="B32" s="1071"/>
      <c r="C32" s="1071"/>
      <c r="D32" s="1071"/>
      <c r="E32" s="1071"/>
      <c r="F32" s="1071"/>
      <c r="G32" s="1071"/>
      <c r="H32" s="1071"/>
      <c r="I32" s="1071"/>
      <c r="J32" s="1071"/>
      <c r="K32" s="1071"/>
      <c r="L32" s="1071"/>
      <c r="M32" s="1071"/>
      <c r="N32" s="1071"/>
      <c r="O32" s="1071"/>
      <c r="P32" s="1071"/>
      <c r="Q32" s="1071"/>
      <c r="R32" s="1212"/>
      <c r="S32" s="1212"/>
      <c r="T32" s="321" t="s">
        <v>13</v>
      </c>
      <c r="U32" s="1211"/>
      <c r="V32" s="1211"/>
      <c r="W32" s="321" t="s">
        <v>12</v>
      </c>
      <c r="X32" s="1211"/>
      <c r="Y32" s="1211"/>
      <c r="Z32" s="321" t="s">
        <v>11</v>
      </c>
      <c r="AA32" s="1071"/>
      <c r="AB32" s="1071"/>
      <c r="AC32" s="1071"/>
      <c r="AD32" s="1071"/>
      <c r="AE32" s="1071"/>
      <c r="AF32" s="1071"/>
      <c r="AG32" s="1071"/>
      <c r="AH32" s="1071"/>
      <c r="AI32" s="1071"/>
      <c r="AJ32" s="1071"/>
      <c r="AK32" s="1071"/>
      <c r="AL32" s="1071"/>
      <c r="AM32" s="1071"/>
      <c r="AN32" s="1071"/>
      <c r="AO32" s="1071"/>
      <c r="AP32" s="1071"/>
      <c r="AQ32" s="1071"/>
      <c r="AR32" s="1072" t="s">
        <v>796</v>
      </c>
      <c r="AS32" s="1072"/>
      <c r="AT32" s="321" t="s">
        <v>13</v>
      </c>
      <c r="AU32" s="1075">
        <v>9</v>
      </c>
      <c r="AV32" s="1075"/>
      <c r="AW32" s="321" t="s">
        <v>12</v>
      </c>
      <c r="AX32" s="1075">
        <v>10</v>
      </c>
      <c r="AY32" s="1075"/>
      <c r="AZ32" s="321" t="s">
        <v>11</v>
      </c>
      <c r="BA32" s="495"/>
      <c r="BB32" s="57"/>
    </row>
    <row r="33" spans="1:58" s="1" customFormat="1" ht="24.95" customHeight="1">
      <c r="A33" s="1023" t="s">
        <v>9</v>
      </c>
      <c r="B33" s="1023"/>
      <c r="C33" s="1058" t="s">
        <v>10</v>
      </c>
      <c r="D33" s="1058"/>
      <c r="E33" s="1058"/>
      <c r="F33" s="1058"/>
      <c r="G33" s="1058"/>
      <c r="H33" s="1058"/>
      <c r="I33" s="1058"/>
      <c r="J33" s="1058"/>
      <c r="K33" s="1058"/>
      <c r="L33" s="1058"/>
      <c r="M33" s="1058"/>
      <c r="N33" s="1058"/>
      <c r="O33" s="1058"/>
      <c r="P33" s="1058"/>
      <c r="Q33" s="1058"/>
      <c r="R33" s="1071"/>
      <c r="S33" s="1071"/>
      <c r="T33" s="1071"/>
      <c r="U33" s="1071"/>
      <c r="V33" s="1071"/>
      <c r="W33" s="1071"/>
      <c r="X33" s="1071"/>
      <c r="Y33" s="1071"/>
      <c r="Z33" s="1071"/>
      <c r="AA33" s="1023" t="s">
        <v>9</v>
      </c>
      <c r="AB33" s="1023"/>
      <c r="AC33" s="1058" t="s">
        <v>8</v>
      </c>
      <c r="AD33" s="1058"/>
      <c r="AE33" s="1058"/>
      <c r="AF33" s="1058"/>
      <c r="AG33" s="1058"/>
      <c r="AH33" s="1058"/>
      <c r="AI33" s="1058"/>
      <c r="AJ33" s="1058"/>
      <c r="AK33" s="1058"/>
      <c r="AL33" s="1058"/>
      <c r="AM33" s="1058"/>
      <c r="AN33" s="1058"/>
      <c r="AO33" s="1058"/>
      <c r="AP33" s="1058"/>
      <c r="AQ33" s="1058"/>
      <c r="AR33" s="1071"/>
      <c r="AS33" s="1071"/>
      <c r="AT33" s="1071"/>
      <c r="AU33" s="1071"/>
      <c r="AV33" s="1071"/>
      <c r="AW33" s="1071"/>
      <c r="AX33" s="1071"/>
      <c r="AY33" s="1071"/>
      <c r="AZ33" s="1071"/>
      <c r="BA33" s="495"/>
      <c r="BB33" s="57"/>
    </row>
    <row r="34" spans="1:58" s="1" customFormat="1" ht="24.95" customHeight="1">
      <c r="A34" s="1023"/>
      <c r="B34" s="1023"/>
      <c r="C34" s="1058" t="s">
        <v>7</v>
      </c>
      <c r="D34" s="1058"/>
      <c r="E34" s="1058"/>
      <c r="F34" s="1058"/>
      <c r="G34" s="1058"/>
      <c r="H34" s="1058"/>
      <c r="I34" s="1058"/>
      <c r="J34" s="1058"/>
      <c r="K34" s="1058"/>
      <c r="L34" s="1058"/>
      <c r="M34" s="1058"/>
      <c r="N34" s="1058"/>
      <c r="O34" s="1058"/>
      <c r="P34" s="1058"/>
      <c r="Q34" s="1058"/>
      <c r="R34" s="1073"/>
      <c r="S34" s="1073"/>
      <c r="T34" s="1073"/>
      <c r="U34" s="1073"/>
      <c r="V34" s="1073"/>
      <c r="W34" s="1073"/>
      <c r="X34" s="1068" t="s">
        <v>638</v>
      </c>
      <c r="Y34" s="1069"/>
      <c r="Z34" s="1070"/>
      <c r="AA34" s="1023"/>
      <c r="AB34" s="1023"/>
      <c r="AC34" s="1058" t="s">
        <v>7</v>
      </c>
      <c r="AD34" s="1058"/>
      <c r="AE34" s="1058"/>
      <c r="AF34" s="1058"/>
      <c r="AG34" s="1058"/>
      <c r="AH34" s="1058"/>
      <c r="AI34" s="1058"/>
      <c r="AJ34" s="1058"/>
      <c r="AK34" s="1058"/>
      <c r="AL34" s="1058"/>
      <c r="AM34" s="1058"/>
      <c r="AN34" s="1058"/>
      <c r="AO34" s="1058"/>
      <c r="AP34" s="1058"/>
      <c r="AQ34" s="1058"/>
      <c r="AR34" s="1073"/>
      <c r="AS34" s="1073"/>
      <c r="AT34" s="1073"/>
      <c r="AU34" s="1073"/>
      <c r="AV34" s="1073"/>
      <c r="AW34" s="1074"/>
      <c r="AX34" s="1068" t="s">
        <v>638</v>
      </c>
      <c r="AY34" s="1069"/>
      <c r="AZ34" s="1070"/>
      <c r="BA34" s="495"/>
      <c r="BB34" s="57"/>
    </row>
    <row r="35" spans="1:58" s="1" customFormat="1" ht="24.95" customHeight="1">
      <c r="A35" s="1023"/>
      <c r="B35" s="1023"/>
      <c r="C35" s="1023"/>
      <c r="D35" s="1023"/>
      <c r="E35" s="1023"/>
      <c r="F35" s="1023"/>
      <c r="G35" s="1023"/>
      <c r="H35" s="1023"/>
      <c r="I35" s="1023"/>
      <c r="J35" s="1023"/>
      <c r="K35" s="1023"/>
      <c r="L35" s="1023"/>
      <c r="M35" s="1023"/>
      <c r="N35" s="1023"/>
      <c r="O35" s="1023"/>
      <c r="P35" s="1023"/>
      <c r="Q35" s="1023"/>
      <c r="R35" s="1073"/>
      <c r="S35" s="1073"/>
      <c r="T35" s="1073"/>
      <c r="U35" s="1073"/>
      <c r="V35" s="1073"/>
      <c r="W35" s="1073"/>
      <c r="X35" s="1052"/>
      <c r="Y35" s="1053"/>
      <c r="Z35" s="1054"/>
      <c r="AA35" s="1023"/>
      <c r="AB35" s="1023"/>
      <c r="AC35" s="1023"/>
      <c r="AD35" s="1023"/>
      <c r="AE35" s="1023"/>
      <c r="AF35" s="1023"/>
      <c r="AG35" s="1023"/>
      <c r="AH35" s="1023"/>
      <c r="AI35" s="1023"/>
      <c r="AJ35" s="1023"/>
      <c r="AK35" s="1023"/>
      <c r="AL35" s="1023"/>
      <c r="AM35" s="1023"/>
      <c r="AN35" s="1023"/>
      <c r="AO35" s="1023"/>
      <c r="AP35" s="1023"/>
      <c r="AQ35" s="1023"/>
      <c r="AR35" s="1073"/>
      <c r="AS35" s="1073"/>
      <c r="AT35" s="1073"/>
      <c r="AU35" s="1073"/>
      <c r="AV35" s="1073"/>
      <c r="AW35" s="1074"/>
      <c r="AX35" s="1052"/>
      <c r="AY35" s="1053"/>
      <c r="AZ35" s="1054"/>
      <c r="BA35" s="495"/>
      <c r="BB35" s="57"/>
    </row>
    <row r="36" spans="1:58" s="1" customFormat="1" ht="24.95" customHeight="1">
      <c r="A36" s="1023"/>
      <c r="B36" s="1023"/>
      <c r="C36" s="1023"/>
      <c r="D36" s="1023"/>
      <c r="E36" s="1023"/>
      <c r="F36" s="1023"/>
      <c r="G36" s="1023"/>
      <c r="H36" s="1023"/>
      <c r="I36" s="1023"/>
      <c r="J36" s="1023"/>
      <c r="K36" s="1023"/>
      <c r="L36" s="1023"/>
      <c r="M36" s="1023"/>
      <c r="N36" s="1023"/>
      <c r="O36" s="1023"/>
      <c r="P36" s="1023"/>
      <c r="Q36" s="1023"/>
      <c r="R36" s="1073"/>
      <c r="S36" s="1073"/>
      <c r="T36" s="1073"/>
      <c r="U36" s="1073"/>
      <c r="V36" s="1073"/>
      <c r="W36" s="1073"/>
      <c r="X36" s="1055"/>
      <c r="Y36" s="1056"/>
      <c r="Z36" s="1057"/>
      <c r="AA36" s="1023"/>
      <c r="AB36" s="1023"/>
      <c r="AC36" s="1023"/>
      <c r="AD36" s="1023"/>
      <c r="AE36" s="1023"/>
      <c r="AF36" s="1023"/>
      <c r="AG36" s="1023"/>
      <c r="AH36" s="1023"/>
      <c r="AI36" s="1023"/>
      <c r="AJ36" s="1023"/>
      <c r="AK36" s="1023"/>
      <c r="AL36" s="1023"/>
      <c r="AM36" s="1023"/>
      <c r="AN36" s="1023"/>
      <c r="AO36" s="1023"/>
      <c r="AP36" s="1023"/>
      <c r="AQ36" s="1023"/>
      <c r="AR36" s="1073"/>
      <c r="AS36" s="1073"/>
      <c r="AT36" s="1073"/>
      <c r="AU36" s="1073"/>
      <c r="AV36" s="1073"/>
      <c r="AW36" s="1074"/>
      <c r="AX36" s="1055"/>
      <c r="AY36" s="1056"/>
      <c r="AZ36" s="1057"/>
      <c r="BA36" s="495"/>
      <c r="BB36" s="57"/>
    </row>
    <row r="37" spans="1:58" ht="13.5" customHeight="1">
      <c r="BB37" s="50"/>
    </row>
    <row r="38" spans="1:58" ht="13.5" customHeight="1">
      <c r="R38" s="273"/>
      <c r="S38" s="273"/>
      <c r="T38" s="273"/>
      <c r="U38" s="273"/>
      <c r="V38" s="273"/>
      <c r="W38" s="273"/>
      <c r="X38" s="1202" t="b">
        <v>0</v>
      </c>
      <c r="Y38" s="1202"/>
      <c r="Z38" s="273"/>
      <c r="BB38" s="50"/>
      <c r="BE38" s="257"/>
      <c r="BF38" s="257"/>
    </row>
    <row r="39" spans="1:58" ht="13.5" customHeight="1">
      <c r="Q39" s="50"/>
      <c r="R39" s="274"/>
      <c r="S39" s="274"/>
      <c r="T39" s="274"/>
      <c r="U39" s="274"/>
      <c r="V39" s="274"/>
      <c r="W39" s="273"/>
      <c r="X39" s="273"/>
      <c r="Y39" s="273"/>
      <c r="Z39" s="273"/>
      <c r="BB39" s="50"/>
      <c r="BE39" s="257"/>
      <c r="BF39" s="257"/>
    </row>
    <row r="40" spans="1:58" ht="13.5" customHeight="1">
      <c r="Q40" s="50"/>
      <c r="R40" s="275" t="b">
        <v>0</v>
      </c>
      <c r="S40" s="276" t="b">
        <v>0</v>
      </c>
      <c r="T40" s="276" t="b">
        <v>0</v>
      </c>
      <c r="U40" s="276" t="b">
        <v>0</v>
      </c>
      <c r="V40" s="274"/>
      <c r="W40" s="273"/>
      <c r="X40" s="273"/>
      <c r="Y40" s="273"/>
      <c r="Z40" s="273"/>
      <c r="BB40" s="50"/>
      <c r="BE40" s="257"/>
      <c r="BF40" s="257"/>
    </row>
    <row r="41" spans="1:58" ht="13.5" customHeight="1">
      <c r="Q41" s="50"/>
      <c r="R41" s="274"/>
      <c r="S41" s="274"/>
      <c r="T41" s="274"/>
      <c r="U41" s="274"/>
      <c r="V41" s="274"/>
      <c r="W41" s="273"/>
      <c r="X41" s="273"/>
      <c r="Y41" s="273"/>
      <c r="Z41" s="273"/>
      <c r="BB41" s="50"/>
      <c r="BE41" s="257"/>
      <c r="BF41" s="257"/>
    </row>
    <row r="42" spans="1:58" ht="13.5" customHeight="1">
      <c r="R42" s="273"/>
      <c r="S42" s="273"/>
      <c r="T42" s="273"/>
      <c r="U42" s="273"/>
      <c r="V42" s="273"/>
      <c r="W42" s="273"/>
      <c r="X42" s="273"/>
      <c r="Y42" s="273"/>
      <c r="Z42" s="273"/>
      <c r="BB42" s="50"/>
      <c r="BE42" s="257"/>
      <c r="BF42" s="257"/>
    </row>
    <row r="43" spans="1:58" ht="13.5" customHeight="1">
      <c r="BB43" s="50"/>
      <c r="BE43" s="257"/>
      <c r="BF43" s="257"/>
    </row>
    <row r="44" spans="1:58" ht="13.5" customHeight="1">
      <c r="BB44" s="50"/>
      <c r="BE44" s="257"/>
      <c r="BF44" s="257"/>
    </row>
    <row r="45" spans="1:58" ht="13.5" customHeight="1">
      <c r="BB45" s="50"/>
      <c r="BE45" s="257"/>
      <c r="BF45" s="257"/>
    </row>
    <row r="46" spans="1:58" ht="13.5" customHeight="1">
      <c r="BB46" s="50"/>
      <c r="BE46" s="257"/>
      <c r="BF46" s="257"/>
    </row>
    <row r="47" spans="1:58" ht="13.5" customHeight="1">
      <c r="BB47" s="50"/>
      <c r="BE47" s="257"/>
      <c r="BF47" s="257"/>
    </row>
    <row r="48" spans="1:58" ht="13.5" customHeight="1">
      <c r="BB48" s="50"/>
      <c r="BE48" s="257"/>
      <c r="BF48" s="257"/>
    </row>
    <row r="49" spans="54:58" ht="13.5" customHeight="1">
      <c r="BB49" s="50"/>
      <c r="BE49" s="257"/>
      <c r="BF49" s="257"/>
    </row>
    <row r="50" spans="54:58" ht="13.5" customHeight="1">
      <c r="BB50" s="50"/>
      <c r="BE50" s="257"/>
      <c r="BF50" s="257"/>
    </row>
    <row r="51" spans="54:58" ht="13.5" customHeight="1">
      <c r="BB51" s="50"/>
      <c r="BE51" s="257"/>
      <c r="BF51" s="257"/>
    </row>
    <row r="52" spans="54:58" ht="13.5" customHeight="1">
      <c r="BB52" s="50"/>
      <c r="BE52" s="257"/>
      <c r="BF52" s="257"/>
    </row>
    <row r="53" spans="54:58" ht="13.5" customHeight="1">
      <c r="BB53" s="50"/>
    </row>
    <row r="54" spans="54:58" ht="13.5" customHeight="1">
      <c r="BB54" s="50"/>
    </row>
    <row r="55" spans="54:58" ht="13.5" customHeight="1">
      <c r="BB55" s="50"/>
    </row>
    <row r="56" spans="54:58" ht="13.5" customHeight="1">
      <c r="BB56" s="50"/>
    </row>
    <row r="57" spans="54:58" ht="13.5" customHeight="1">
      <c r="BB57" s="50"/>
    </row>
    <row r="58" spans="54:58" ht="13.5" customHeight="1">
      <c r="BB58" s="50"/>
    </row>
    <row r="59" spans="54:58" ht="13.5" customHeight="1">
      <c r="BB59" s="50"/>
    </row>
    <row r="60" spans="54:58" ht="13.5" customHeight="1">
      <c r="BB60" s="50"/>
    </row>
    <row r="61" spans="54:58" ht="13.5" customHeight="1">
      <c r="BB61" s="50"/>
    </row>
    <row r="62" spans="54:58" ht="13.5" customHeight="1">
      <c r="BB62" s="50"/>
    </row>
    <row r="63" spans="54:58" ht="13.5" customHeight="1">
      <c r="BB63" s="50"/>
    </row>
    <row r="64" spans="54:58" ht="13.5" customHeight="1">
      <c r="BB64" s="50"/>
    </row>
    <row r="65" spans="54:58" ht="13.5" customHeight="1">
      <c r="BB65" s="50"/>
    </row>
    <row r="66" spans="54:58" ht="13.5" customHeight="1">
      <c r="BB66" s="50"/>
    </row>
    <row r="67" spans="54:58" ht="13.5" customHeight="1">
      <c r="BB67" s="50"/>
    </row>
    <row r="68" spans="54:58" ht="13.5" customHeight="1">
      <c r="BB68" s="50"/>
    </row>
    <row r="69" spans="54:58" ht="13.5" customHeight="1">
      <c r="BB69" s="50"/>
      <c r="BC69" s="257"/>
      <c r="BD69" s="257"/>
      <c r="BE69" s="257"/>
      <c r="BF69" s="257"/>
    </row>
    <row r="70" spans="54:58" ht="13.5" customHeight="1">
      <c r="BB70" s="50"/>
      <c r="BC70" s="257"/>
      <c r="BD70" s="257"/>
      <c r="BE70" s="257"/>
      <c r="BF70" s="257"/>
    </row>
    <row r="71" spans="54:58" ht="13.5" customHeight="1">
      <c r="BB71" s="50"/>
      <c r="BC71" s="257"/>
      <c r="BD71" s="257"/>
      <c r="BE71" s="257"/>
      <c r="BF71" s="257"/>
    </row>
    <row r="72" spans="54:58" ht="13.5" customHeight="1">
      <c r="BB72" s="50"/>
      <c r="BE72" s="257"/>
      <c r="BF72" s="257"/>
    </row>
    <row r="73" spans="54:58" ht="13.5" customHeight="1">
      <c r="BB73" s="50"/>
      <c r="BE73" s="257"/>
      <c r="BF73" s="257"/>
    </row>
    <row r="74" spans="54:58" ht="13.5" customHeight="1">
      <c r="BB74" s="50"/>
      <c r="BE74" s="257"/>
      <c r="BF74" s="257"/>
    </row>
    <row r="75" spans="54:58" ht="13.5" customHeight="1">
      <c r="BB75" s="50"/>
      <c r="BE75" s="257"/>
      <c r="BF75" s="257"/>
    </row>
    <row r="76" spans="54:58" ht="13.5" customHeight="1">
      <c r="BB76" s="50"/>
      <c r="BE76" s="257"/>
      <c r="BF76" s="257"/>
    </row>
    <row r="77" spans="54:58" ht="13.5" customHeight="1">
      <c r="BB77" s="50"/>
      <c r="BE77" s="257"/>
      <c r="BF77" s="257"/>
    </row>
    <row r="78" spans="54:58" ht="13.5" customHeight="1">
      <c r="BB78" s="50"/>
      <c r="BE78" s="257"/>
      <c r="BF78" s="257"/>
    </row>
    <row r="79" spans="54:58" ht="13.5" customHeight="1">
      <c r="BB79" s="50"/>
      <c r="BE79" s="257"/>
      <c r="BF79" s="257"/>
    </row>
    <row r="80" spans="54:58" ht="13.5" customHeight="1">
      <c r="BB80" s="50"/>
      <c r="BE80" s="257"/>
      <c r="BF80" s="257"/>
    </row>
    <row r="81" spans="54:58" ht="13.5" customHeight="1">
      <c r="BB81" s="50"/>
      <c r="BE81" s="257"/>
      <c r="BF81" s="257"/>
    </row>
    <row r="82" spans="54:58" ht="13.5" customHeight="1">
      <c r="BB82" s="50"/>
    </row>
    <row r="83" spans="54:58" ht="13.5" customHeight="1">
      <c r="BB83" s="50"/>
    </row>
    <row r="84" spans="54:58" ht="13.5" customHeight="1">
      <c r="BB84" s="50"/>
      <c r="BE84" s="257"/>
      <c r="BF84" s="257"/>
    </row>
    <row r="85" spans="54:58" ht="13.5" customHeight="1">
      <c r="BB85" s="50"/>
      <c r="BE85" s="257"/>
      <c r="BF85" s="257"/>
    </row>
    <row r="86" spans="54:58" ht="13.5" customHeight="1">
      <c r="BB86" s="50"/>
      <c r="BE86" s="257"/>
      <c r="BF86" s="257"/>
    </row>
    <row r="87" spans="54:58" ht="13.5" customHeight="1">
      <c r="BB87" s="50"/>
      <c r="BE87" s="257"/>
      <c r="BF87" s="257"/>
    </row>
    <row r="88" spans="54:58" ht="13.5" customHeight="1">
      <c r="BB88" s="50"/>
      <c r="BE88" s="257"/>
      <c r="BF88" s="257"/>
    </row>
    <row r="89" spans="54:58" ht="13.5" customHeight="1">
      <c r="BB89" s="50"/>
      <c r="BE89" s="257"/>
      <c r="BF89" s="257"/>
    </row>
    <row r="90" spans="54:58" ht="13.5" customHeight="1">
      <c r="BB90" s="50"/>
      <c r="BE90" s="257"/>
      <c r="BF90" s="257"/>
    </row>
    <row r="91" spans="54:58" ht="13.5" customHeight="1">
      <c r="BB91" s="50"/>
      <c r="BE91" s="257"/>
      <c r="BF91" s="257"/>
    </row>
    <row r="92" spans="54:58" ht="13.5" customHeight="1">
      <c r="BB92" s="50"/>
      <c r="BE92" s="257"/>
      <c r="BF92" s="257"/>
    </row>
    <row r="93" spans="54:58" ht="13.5" customHeight="1">
      <c r="BB93" s="50"/>
      <c r="BE93" s="257"/>
      <c r="BF93" s="257"/>
    </row>
    <row r="94" spans="54:58" ht="13.5" customHeight="1">
      <c r="BB94" s="50"/>
      <c r="BE94" s="257"/>
      <c r="BF94" s="257"/>
    </row>
    <row r="95" spans="54:58" ht="13.5" customHeight="1">
      <c r="BB95" s="50"/>
      <c r="BE95" s="257"/>
      <c r="BF95" s="257"/>
    </row>
    <row r="96" spans="54:58" ht="13.5" customHeight="1">
      <c r="BB96" s="50"/>
      <c r="BE96" s="257"/>
      <c r="BF96" s="257"/>
    </row>
    <row r="97" spans="54:58" ht="13.5" customHeight="1">
      <c r="BB97" s="50"/>
      <c r="BE97" s="257"/>
      <c r="BF97" s="257"/>
    </row>
    <row r="98" spans="54:58">
      <c r="BB98" s="50"/>
      <c r="BE98" s="257"/>
      <c r="BF98" s="257"/>
    </row>
    <row r="99" spans="54:58">
      <c r="BB99" s="50"/>
      <c r="BE99" s="257"/>
      <c r="BF99" s="257"/>
    </row>
    <row r="100" spans="54:58">
      <c r="BB100" s="50"/>
      <c r="BE100" s="257"/>
      <c r="BF100" s="257"/>
    </row>
    <row r="101" spans="54:58">
      <c r="BB101" s="50"/>
      <c r="BE101" s="257"/>
      <c r="BF101" s="257"/>
    </row>
    <row r="102" spans="54:58">
      <c r="BB102" s="50"/>
      <c r="BE102" s="257"/>
      <c r="BF102" s="257"/>
    </row>
    <row r="103" spans="54:58">
      <c r="BB103" s="50"/>
      <c r="BE103" s="257"/>
      <c r="BF103" s="257"/>
    </row>
    <row r="104" spans="54:58">
      <c r="BB104" s="50"/>
      <c r="BE104" s="257"/>
      <c r="BF104" s="257"/>
    </row>
    <row r="105" spans="54:58">
      <c r="BB105" s="50"/>
      <c r="BE105" s="257"/>
      <c r="BF105" s="257"/>
    </row>
    <row r="106" spans="54:58">
      <c r="BB106" s="50"/>
      <c r="BE106" s="257"/>
      <c r="BF106" s="257"/>
    </row>
    <row r="107" spans="54:58">
      <c r="BB107" s="50"/>
      <c r="BE107" s="257"/>
      <c r="BF107" s="257"/>
    </row>
    <row r="108" spans="54:58">
      <c r="BB108" s="50"/>
      <c r="BE108" s="257"/>
      <c r="BF108" s="257"/>
    </row>
    <row r="109" spans="54:58">
      <c r="BB109" s="50"/>
      <c r="BE109" s="257"/>
      <c r="BF109" s="257"/>
    </row>
    <row r="110" spans="54:58">
      <c r="BB110" s="50"/>
      <c r="BE110" s="257"/>
      <c r="BF110" s="257"/>
    </row>
    <row r="111" spans="54:58">
      <c r="BB111" s="50"/>
      <c r="BE111" s="257"/>
      <c r="BF111" s="257"/>
    </row>
    <row r="112" spans="54:58">
      <c r="BB112" s="50"/>
    </row>
    <row r="113" spans="54:54">
      <c r="BB113" s="50"/>
    </row>
    <row r="114" spans="54:54">
      <c r="BB114" s="50"/>
    </row>
    <row r="115" spans="54:54">
      <c r="BB115" s="50"/>
    </row>
    <row r="116" spans="54:54">
      <c r="BB116" s="50"/>
    </row>
    <row r="117" spans="54:54">
      <c r="BB117" s="50"/>
    </row>
    <row r="118" spans="54:54">
      <c r="BB118" s="50"/>
    </row>
    <row r="119" spans="54:54">
      <c r="BB119" s="50"/>
    </row>
    <row r="120" spans="54:54">
      <c r="BB120" s="50"/>
    </row>
    <row r="121" spans="54:54">
      <c r="BB121" s="50"/>
    </row>
    <row r="122" spans="54:54">
      <c r="BB122" s="50"/>
    </row>
    <row r="123" spans="54:54">
      <c r="BB123" s="50"/>
    </row>
    <row r="124" spans="54:54">
      <c r="BB124" s="50"/>
    </row>
    <row r="125" spans="54:54">
      <c r="BB125" s="50"/>
    </row>
    <row r="126" spans="54:54">
      <c r="BB126" s="50"/>
    </row>
    <row r="127" spans="54:54">
      <c r="BB127" s="50"/>
    </row>
    <row r="128" spans="54:54">
      <c r="BB128" s="50"/>
    </row>
    <row r="129" spans="54:58">
      <c r="BB129" s="50"/>
    </row>
    <row r="130" spans="54:58">
      <c r="BB130" s="50"/>
    </row>
    <row r="131" spans="54:58">
      <c r="BB131" s="50"/>
    </row>
    <row r="132" spans="54:58">
      <c r="BB132" s="50"/>
    </row>
    <row r="133" spans="54:58">
      <c r="BB133" s="50"/>
    </row>
    <row r="134" spans="54:58">
      <c r="BB134" s="50"/>
      <c r="BC134" s="257"/>
      <c r="BD134" s="257"/>
      <c r="BE134" s="257"/>
      <c r="BF134" s="257"/>
    </row>
    <row r="135" spans="54:58">
      <c r="BB135" s="50"/>
      <c r="BE135" s="257"/>
      <c r="BF135" s="257"/>
    </row>
    <row r="136" spans="54:58">
      <c r="BB136" s="50"/>
      <c r="BE136" s="257"/>
      <c r="BF136" s="257"/>
    </row>
    <row r="137" spans="54:58">
      <c r="BB137" s="50"/>
      <c r="BE137" s="257"/>
      <c r="BF137" s="257"/>
    </row>
    <row r="138" spans="54:58">
      <c r="BB138" s="50"/>
      <c r="BE138" s="257"/>
      <c r="BF138" s="257"/>
    </row>
    <row r="139" spans="54:58">
      <c r="BB139" s="50"/>
      <c r="BE139" s="257"/>
      <c r="BF139" s="257"/>
    </row>
    <row r="140" spans="54:58">
      <c r="BB140" s="50"/>
      <c r="BE140" s="257"/>
      <c r="BF140" s="257"/>
    </row>
    <row r="141" spans="54:58">
      <c r="BB141" s="50"/>
      <c r="BE141" s="257"/>
      <c r="BF141" s="257"/>
    </row>
    <row r="142" spans="54:58">
      <c r="BB142" s="50"/>
      <c r="BE142" s="257"/>
      <c r="BF142" s="257"/>
    </row>
    <row r="143" spans="54:58">
      <c r="BB143" s="50"/>
      <c r="BE143" s="257"/>
      <c r="BF143" s="257"/>
    </row>
    <row r="144" spans="54:58">
      <c r="BB144" s="50"/>
      <c r="BE144" s="257"/>
      <c r="BF144" s="257"/>
    </row>
    <row r="145" spans="54:58">
      <c r="BB145" s="50"/>
      <c r="BE145" s="257"/>
      <c r="BF145" s="257"/>
    </row>
    <row r="146" spans="54:58">
      <c r="BB146" s="50"/>
      <c r="BE146" s="257"/>
      <c r="BF146" s="257"/>
    </row>
    <row r="147" spans="54:58">
      <c r="BB147" s="50"/>
      <c r="BE147" s="257"/>
      <c r="BF147" s="257"/>
    </row>
    <row r="148" spans="54:58">
      <c r="BB148" s="50"/>
      <c r="BE148" s="257"/>
      <c r="BF148" s="257"/>
    </row>
    <row r="149" spans="54:58">
      <c r="BB149" s="50"/>
      <c r="BE149" s="257"/>
      <c r="BF149" s="257"/>
    </row>
    <row r="150" spans="54:58">
      <c r="BB150" s="50"/>
      <c r="BE150" s="257"/>
      <c r="BF150" s="257"/>
    </row>
    <row r="151" spans="54:58">
      <c r="BB151" s="50"/>
      <c r="BE151" s="257"/>
      <c r="BF151" s="257"/>
    </row>
    <row r="152" spans="54:58">
      <c r="BB152" s="50"/>
      <c r="BE152" s="257"/>
      <c r="BF152" s="257"/>
    </row>
    <row r="153" spans="54:58">
      <c r="BB153" s="50"/>
      <c r="BE153" s="257"/>
      <c r="BF153" s="257"/>
    </row>
    <row r="154" spans="54:58">
      <c r="BB154" s="50"/>
      <c r="BE154" s="257"/>
      <c r="BF154" s="257"/>
    </row>
    <row r="155" spans="54:58">
      <c r="BB155" s="50"/>
      <c r="BE155" s="257"/>
      <c r="BF155" s="257"/>
    </row>
    <row r="156" spans="54:58">
      <c r="BB156" s="50"/>
      <c r="BE156" s="257"/>
      <c r="BF156" s="257"/>
    </row>
    <row r="157" spans="54:58">
      <c r="BB157" s="50"/>
      <c r="BE157" s="257"/>
      <c r="BF157" s="257"/>
    </row>
    <row r="158" spans="54:58">
      <c r="BB158" s="50"/>
      <c r="BE158" s="257"/>
      <c r="BF158" s="257"/>
    </row>
    <row r="159" spans="54:58">
      <c r="BB159" s="50"/>
      <c r="BE159" s="257"/>
      <c r="BF159" s="257"/>
    </row>
    <row r="160" spans="54:58">
      <c r="BB160" s="50"/>
      <c r="BE160" s="257"/>
      <c r="BF160" s="257"/>
    </row>
    <row r="161" spans="54:58">
      <c r="BB161" s="50"/>
      <c r="BE161" s="257"/>
      <c r="BF161" s="257"/>
    </row>
    <row r="162" spans="54:58">
      <c r="BB162" s="50"/>
      <c r="BE162" s="257"/>
      <c r="BF162" s="257"/>
    </row>
    <row r="163" spans="54:58">
      <c r="BB163" s="50"/>
      <c r="BE163" s="257"/>
      <c r="BF163" s="257"/>
    </row>
    <row r="164" spans="54:58">
      <c r="BB164" s="50"/>
      <c r="BE164" s="257"/>
      <c r="BF164" s="257"/>
    </row>
    <row r="165" spans="54:58">
      <c r="BB165" s="50"/>
      <c r="BE165" s="257"/>
      <c r="BF165" s="257"/>
    </row>
    <row r="166" spans="54:58">
      <c r="BB166" s="50"/>
      <c r="BE166" s="257"/>
      <c r="BF166" s="257"/>
    </row>
    <row r="167" spans="54:58">
      <c r="BB167" s="50"/>
      <c r="BE167" s="257"/>
      <c r="BF167" s="257"/>
    </row>
    <row r="168" spans="54:58">
      <c r="BB168" s="50"/>
      <c r="BE168" s="257"/>
      <c r="BF168" s="257"/>
    </row>
    <row r="169" spans="54:58">
      <c r="BB169" s="50"/>
      <c r="BE169" s="257"/>
      <c r="BF169" s="257"/>
    </row>
    <row r="170" spans="54:58">
      <c r="BB170" s="50"/>
      <c r="BE170" s="257"/>
      <c r="BF170" s="257"/>
    </row>
    <row r="171" spans="54:58">
      <c r="BB171" s="50"/>
      <c r="BE171" s="257"/>
      <c r="BF171" s="257"/>
    </row>
    <row r="172" spans="54:58">
      <c r="BB172" s="50"/>
      <c r="BE172" s="257"/>
      <c r="BF172" s="257"/>
    </row>
    <row r="173" spans="54:58">
      <c r="BB173" s="50"/>
      <c r="BE173" s="257"/>
      <c r="BF173" s="257"/>
    </row>
    <row r="174" spans="54:58" ht="14.25" thickBot="1">
      <c r="BB174" s="50"/>
      <c r="BE174" s="257"/>
      <c r="BF174" s="257"/>
    </row>
    <row r="175" spans="54:58" ht="14.25" thickBot="1">
      <c r="BB175" s="50"/>
      <c r="BE175" s="256"/>
      <c r="BF175" s="256"/>
    </row>
    <row r="176" spans="54:58" ht="14.25" thickBot="1">
      <c r="BB176" s="50"/>
      <c r="BE176" s="256"/>
      <c r="BF176" s="256"/>
    </row>
    <row r="177" spans="54:58" ht="14.25" thickBot="1">
      <c r="BB177" s="50"/>
      <c r="BE177" s="256"/>
      <c r="BF177" s="256"/>
    </row>
    <row r="178" spans="54:58" ht="14.25" thickBot="1">
      <c r="BB178" s="50"/>
      <c r="BE178" s="256"/>
      <c r="BF178" s="256"/>
    </row>
    <row r="179" spans="54:58" ht="14.25" thickBot="1">
      <c r="BB179" s="50"/>
      <c r="BE179" s="256"/>
      <c r="BF179" s="256"/>
    </row>
    <row r="180" spans="54:58" ht="14.25" thickBot="1">
      <c r="BB180" s="50"/>
      <c r="BE180" s="256"/>
      <c r="BF180" s="256"/>
    </row>
    <row r="181" spans="54:58" ht="14.25" thickBot="1">
      <c r="BB181" s="50"/>
      <c r="BE181" s="256"/>
      <c r="BF181" s="256"/>
    </row>
    <row r="182" spans="54:58" ht="14.25" thickBot="1">
      <c r="BB182" s="50"/>
      <c r="BE182" s="256"/>
      <c r="BF182" s="256"/>
    </row>
    <row r="183" spans="54:58" ht="14.25" thickBot="1">
      <c r="BB183" s="50"/>
      <c r="BE183" s="256"/>
      <c r="BF183" s="256"/>
    </row>
    <row r="184" spans="54:58" ht="14.25" thickBot="1">
      <c r="BB184" s="50"/>
      <c r="BE184" s="256"/>
      <c r="BF184" s="256"/>
    </row>
    <row r="185" spans="54:58" ht="14.25" thickBot="1">
      <c r="BB185" s="50"/>
      <c r="BE185" s="256"/>
      <c r="BF185" s="256"/>
    </row>
    <row r="186" spans="54:58" ht="14.25" thickBot="1">
      <c r="BB186" s="50"/>
      <c r="BE186" s="256"/>
      <c r="BF186" s="256"/>
    </row>
    <row r="187" spans="54:58" ht="14.25" thickBot="1">
      <c r="BB187" s="50"/>
      <c r="BE187" s="256"/>
      <c r="BF187" s="256"/>
    </row>
    <row r="188" spans="54:58" ht="14.25" thickBot="1">
      <c r="BB188" s="50"/>
      <c r="BE188" s="256"/>
      <c r="BF188" s="256"/>
    </row>
    <row r="189" spans="54:58" ht="14.25" thickBot="1">
      <c r="BB189" s="50"/>
      <c r="BE189" s="256"/>
      <c r="BF189" s="256"/>
    </row>
    <row r="190" spans="54:58" ht="14.25" thickBot="1">
      <c r="BB190" s="50"/>
      <c r="BE190" s="256"/>
      <c r="BF190" s="256"/>
    </row>
    <row r="191" spans="54:58" ht="14.25" thickBot="1">
      <c r="BB191" s="50"/>
      <c r="BE191" s="256"/>
      <c r="BF191" s="256"/>
    </row>
    <row r="192" spans="54:58" ht="14.25" thickBot="1">
      <c r="BB192" s="50"/>
      <c r="BE192" s="256"/>
      <c r="BF192" s="256"/>
    </row>
    <row r="193" spans="54:58" ht="14.25" thickBot="1">
      <c r="BB193" s="50"/>
      <c r="BE193" s="256"/>
      <c r="BF193" s="256"/>
    </row>
    <row r="194" spans="54:58" ht="14.25" thickBot="1">
      <c r="BB194" s="50"/>
      <c r="BE194" s="256"/>
      <c r="BF194" s="256"/>
    </row>
    <row r="195" spans="54:58" ht="14.25" thickBot="1">
      <c r="BB195" s="50"/>
      <c r="BE195" s="256"/>
      <c r="BF195" s="256"/>
    </row>
    <row r="196" spans="54:58" ht="14.25" thickBot="1">
      <c r="BB196" s="50"/>
      <c r="BE196" s="256"/>
      <c r="BF196" s="256"/>
    </row>
    <row r="197" spans="54:58" ht="14.25" thickBot="1">
      <c r="BB197" s="50"/>
      <c r="BE197" s="256"/>
      <c r="BF197" s="256"/>
    </row>
    <row r="198" spans="54:58" ht="14.25" thickBot="1">
      <c r="BB198" s="50"/>
      <c r="BE198" s="256"/>
      <c r="BF198" s="256"/>
    </row>
    <row r="199" spans="54:58" ht="14.25" thickBot="1">
      <c r="BB199" s="50"/>
      <c r="BE199" s="256"/>
      <c r="BF199" s="256"/>
    </row>
    <row r="200" spans="54:58" ht="14.25" thickBot="1">
      <c r="BB200" s="50"/>
      <c r="BE200" s="256"/>
      <c r="BF200" s="256"/>
    </row>
    <row r="201" spans="54:58" ht="14.25" thickBot="1">
      <c r="BB201" s="50"/>
      <c r="BE201" s="256"/>
      <c r="BF201" s="256"/>
    </row>
    <row r="202" spans="54:58" ht="14.25" thickBot="1">
      <c r="BB202" s="50"/>
      <c r="BE202" s="256"/>
      <c r="BF202" s="256"/>
    </row>
    <row r="203" spans="54:58" ht="14.25" thickBot="1">
      <c r="BB203" s="50"/>
      <c r="BE203" s="256"/>
      <c r="BF203" s="256"/>
    </row>
    <row r="204" spans="54:58">
      <c r="BB204" s="50"/>
      <c r="BC204" s="1050"/>
      <c r="BD204" s="1050"/>
      <c r="BE204" s="1050"/>
      <c r="BF204" s="1050"/>
    </row>
    <row r="205" spans="54:58" ht="14.25" thickBot="1">
      <c r="BC205" s="1051"/>
      <c r="BD205" s="1051"/>
      <c r="BE205" s="1051"/>
      <c r="BF205" s="1051"/>
    </row>
  </sheetData>
  <sheetProtection algorithmName="SHA-512" hashValue="h4LQFovOWgO1YdqLXIA+Lv9VGwTOLHbU9ivoiUc0XxQOxpiKfsNYtH2f9QbPiP08HPjnZy69ImzVaTuut15oyw==" saltValue="kL1cen+HG3ZwoyuaAfrEGA==" spinCount="100000" sheet="1" selectLockedCells="1"/>
  <dataConsolidate/>
  <mergeCells count="192">
    <mergeCell ref="X32:Y32"/>
    <mergeCell ref="U32:V32"/>
    <mergeCell ref="R32:S32"/>
    <mergeCell ref="AA20:AA30"/>
    <mergeCell ref="AC27:AE27"/>
    <mergeCell ref="A34:B34"/>
    <mergeCell ref="A12:A17"/>
    <mergeCell ref="A32:Q32"/>
    <mergeCell ref="A20:A30"/>
    <mergeCell ref="C21:N21"/>
    <mergeCell ref="C22:N22"/>
    <mergeCell ref="O20:Z30"/>
    <mergeCell ref="C25:N25"/>
    <mergeCell ref="A18:A19"/>
    <mergeCell ref="Q18:V19"/>
    <mergeCell ref="B18:D19"/>
    <mergeCell ref="E18:F19"/>
    <mergeCell ref="B12:G13"/>
    <mergeCell ref="V13:X13"/>
    <mergeCell ref="S13:T13"/>
    <mergeCell ref="X17:Y17"/>
    <mergeCell ref="G18:P19"/>
    <mergeCell ref="A33:B33"/>
    <mergeCell ref="R33:Z33"/>
    <mergeCell ref="B7:C8"/>
    <mergeCell ref="B11:C11"/>
    <mergeCell ref="B9:C9"/>
    <mergeCell ref="B14:B15"/>
    <mergeCell ref="D11:Z11"/>
    <mergeCell ref="H12:K13"/>
    <mergeCell ref="L12:U12"/>
    <mergeCell ref="S6:Z6"/>
    <mergeCell ref="O13:P13"/>
    <mergeCell ref="D6:M6"/>
    <mergeCell ref="Q13:R13"/>
    <mergeCell ref="Y13:Z13"/>
    <mergeCell ref="X38:Y38"/>
    <mergeCell ref="Q6:R6"/>
    <mergeCell ref="N5:P6"/>
    <mergeCell ref="S5:Z5"/>
    <mergeCell ref="Q5:R5"/>
    <mergeCell ref="C34:Q34"/>
    <mergeCell ref="X35:Z36"/>
    <mergeCell ref="A35:Q35"/>
    <mergeCell ref="A36:Q36"/>
    <mergeCell ref="C33:Q33"/>
    <mergeCell ref="B28:N30"/>
    <mergeCell ref="C24:N24"/>
    <mergeCell ref="G20:N20"/>
    <mergeCell ref="C23:N23"/>
    <mergeCell ref="R34:W36"/>
    <mergeCell ref="A31:Z31"/>
    <mergeCell ref="C20:F20"/>
    <mergeCell ref="C26:N26"/>
    <mergeCell ref="F27:M27"/>
    <mergeCell ref="X34:Z34"/>
    <mergeCell ref="C27:E27"/>
    <mergeCell ref="B16:B17"/>
    <mergeCell ref="B10:C10"/>
    <mergeCell ref="B6:C6"/>
    <mergeCell ref="AA1:AZ1"/>
    <mergeCell ref="AA2:AC2"/>
    <mergeCell ref="AD2:AZ2"/>
    <mergeCell ref="AA3:AA4"/>
    <mergeCell ref="AB3:AC3"/>
    <mergeCell ref="A1:Z1"/>
    <mergeCell ref="D5:M5"/>
    <mergeCell ref="AD3:AZ3"/>
    <mergeCell ref="AB4:AC4"/>
    <mergeCell ref="AD4:AZ4"/>
    <mergeCell ref="B5:C5"/>
    <mergeCell ref="A3:A4"/>
    <mergeCell ref="B4:C4"/>
    <mergeCell ref="A5:A11"/>
    <mergeCell ref="E7:K7"/>
    <mergeCell ref="B3:C3"/>
    <mergeCell ref="D3:Z3"/>
    <mergeCell ref="D4:Z4"/>
    <mergeCell ref="Y10:Z10"/>
    <mergeCell ref="E8:O8"/>
    <mergeCell ref="L7:Z7"/>
    <mergeCell ref="P8:Q8"/>
    <mergeCell ref="R8:Z8"/>
    <mergeCell ref="AA5:AA11"/>
    <mergeCell ref="AQ5:AR5"/>
    <mergeCell ref="AY10:AZ10"/>
    <mergeCell ref="AB9:AC9"/>
    <mergeCell ref="AS5:AZ5"/>
    <mergeCell ref="AB6:AC6"/>
    <mergeCell ref="AD6:AM6"/>
    <mergeCell ref="AO9:AP9"/>
    <mergeCell ref="AQ9:AR9"/>
    <mergeCell ref="AB7:AC8"/>
    <mergeCell ref="AB10:AC10"/>
    <mergeCell ref="AY9:AZ9"/>
    <mergeCell ref="AE7:AK7"/>
    <mergeCell ref="AL7:AZ7"/>
    <mergeCell ref="AE8:AO8"/>
    <mergeCell ref="AP8:AQ8"/>
    <mergeCell ref="AR8:AZ8"/>
    <mergeCell ref="AD9:AN9"/>
    <mergeCell ref="AD10:AN10"/>
    <mergeCell ref="AQ6:AR6"/>
    <mergeCell ref="AS6:AZ6"/>
    <mergeCell ref="AB5:AC5"/>
    <mergeCell ref="AD5:AM5"/>
    <mergeCell ref="AN5:AP6"/>
    <mergeCell ref="AB18:AD19"/>
    <mergeCell ref="AM17:AS17"/>
    <mergeCell ref="AG18:AP19"/>
    <mergeCell ref="AT17:AU17"/>
    <mergeCell ref="AH16:AH17"/>
    <mergeCell ref="AA18:AA19"/>
    <mergeCell ref="D9:N9"/>
    <mergeCell ref="D10:N10"/>
    <mergeCell ref="V12:Z12"/>
    <mergeCell ref="T17:U17"/>
    <mergeCell ref="L13:N13"/>
    <mergeCell ref="V14:Z16"/>
    <mergeCell ref="Q14:U16"/>
    <mergeCell ref="L14:P16"/>
    <mergeCell ref="L17:S17"/>
    <mergeCell ref="AD11:AZ11"/>
    <mergeCell ref="AB11:AC11"/>
    <mergeCell ref="AS13:AT13"/>
    <mergeCell ref="AV13:AX13"/>
    <mergeCell ref="AB14:AB15"/>
    <mergeCell ref="AE14:AE15"/>
    <mergeCell ref="AH12:AK13"/>
    <mergeCell ref="AV14:AZ16"/>
    <mergeCell ref="AY13:AZ13"/>
    <mergeCell ref="AJ14:AJ15"/>
    <mergeCell ref="AC14:AD15"/>
    <mergeCell ref="AO13:AP13"/>
    <mergeCell ref="AL13:AN13"/>
    <mergeCell ref="AL12:AU12"/>
    <mergeCell ref="AV12:AZ12"/>
    <mergeCell ref="AK14:AK15"/>
    <mergeCell ref="AL14:AP16"/>
    <mergeCell ref="AB12:AG13"/>
    <mergeCell ref="AQ14:AU16"/>
    <mergeCell ref="AQ13:AR13"/>
    <mergeCell ref="AE16:AE17"/>
    <mergeCell ref="AK16:AK17"/>
    <mergeCell ref="BF204:BF205"/>
    <mergeCell ref="AA35:AQ35"/>
    <mergeCell ref="AX35:AZ36"/>
    <mergeCell ref="AA36:AQ36"/>
    <mergeCell ref="AF27:AM27"/>
    <mergeCell ref="AA34:AB34"/>
    <mergeCell ref="AC34:AQ34"/>
    <mergeCell ref="AO20:AZ30"/>
    <mergeCell ref="AC21:AN21"/>
    <mergeCell ref="AC22:AN22"/>
    <mergeCell ref="AX34:AZ34"/>
    <mergeCell ref="AA33:AB33"/>
    <mergeCell ref="AC33:AQ33"/>
    <mergeCell ref="AR33:AZ33"/>
    <mergeCell ref="AA32:AQ32"/>
    <mergeCell ref="AR32:AS32"/>
    <mergeCell ref="AR34:AW36"/>
    <mergeCell ref="AC24:AN24"/>
    <mergeCell ref="AU32:AV32"/>
    <mergeCell ref="AX32:AY32"/>
    <mergeCell ref="BC204:BC205"/>
    <mergeCell ref="BD204:BD205"/>
    <mergeCell ref="BE204:BE205"/>
    <mergeCell ref="AA31:AZ31"/>
    <mergeCell ref="AC23:AN23"/>
    <mergeCell ref="C14:K15"/>
    <mergeCell ref="C16:K17"/>
    <mergeCell ref="AC26:AN26"/>
    <mergeCell ref="AE18:AF19"/>
    <mergeCell ref="AX19:AZ19"/>
    <mergeCell ref="AX18:AZ18"/>
    <mergeCell ref="AC25:AN25"/>
    <mergeCell ref="AB28:AN30"/>
    <mergeCell ref="AG20:AN20"/>
    <mergeCell ref="AC20:AF20"/>
    <mergeCell ref="AX17:AY17"/>
    <mergeCell ref="AC16:AD17"/>
    <mergeCell ref="AF16:AG17"/>
    <mergeCell ref="W19:Z19"/>
    <mergeCell ref="W18:Z18"/>
    <mergeCell ref="AQ18:AV19"/>
    <mergeCell ref="AB16:AB17"/>
    <mergeCell ref="AF14:AG15"/>
    <mergeCell ref="AH14:AH15"/>
    <mergeCell ref="AI14:AI15"/>
    <mergeCell ref="AA12:AA17"/>
    <mergeCell ref="AI16:AI17"/>
    <mergeCell ref="AJ16:AJ17"/>
  </mergeCells>
  <phoneticPr fontId="7"/>
  <conditionalFormatting sqref="C14:K17">
    <cfRule type="notContainsBlanks" dxfId="91" priority="1">
      <formula>LEN(TRIM(C14))&gt;0</formula>
    </cfRule>
  </conditionalFormatting>
  <conditionalFormatting sqref="C16:K17">
    <cfRule type="notContainsBlanks" dxfId="90" priority="2">
      <formula>LEN(TRIM(C16))&gt;0</formula>
    </cfRule>
  </conditionalFormatting>
  <conditionalFormatting sqref="D5:M6 S5:Z6 E8 P8 AE8 AP8 AD9:AD10 D9:D11">
    <cfRule type="cellIs" priority="64" stopIfTrue="1" operator="equal">
      <formula>""</formula>
    </cfRule>
  </conditionalFormatting>
  <conditionalFormatting sqref="D3:Z4 D5:M6 S5:Z6 E8 P8 AE8 AP8 AD9:AD10 D9:D11 B18:D19 R32:S32 U32:V32 X32:Y32">
    <cfRule type="cellIs" dxfId="89" priority="63" stopIfTrue="1" operator="equal">
      <formula>""</formula>
    </cfRule>
  </conditionalFormatting>
  <conditionalFormatting sqref="E7:K7 AE7:AK7 R8:Z8 AR8:AZ8 B12:G13 Q13 V13 AQ13 AV13">
    <cfRule type="containsBlanks" dxfId="88" priority="236" stopIfTrue="1">
      <formula>LEN(TRIM(B7))=0</formula>
    </cfRule>
  </conditionalFormatting>
  <conditionalFormatting sqref="G20:N20 AG20:AN20">
    <cfRule type="expression" dxfId="87" priority="42" stopIfTrue="1">
      <formula>$AN$20=TRUE</formula>
    </cfRule>
  </conditionalFormatting>
  <conditionalFormatting sqref="L13:N13 AL13:AN13 T17:U17 X17:Y17">
    <cfRule type="containsBlanks" dxfId="86" priority="240">
      <formula>LEN(TRIM(L13))=0</formula>
    </cfRule>
  </conditionalFormatting>
  <conditionalFormatting sqref="L14:P16 AL14:AP16">
    <cfRule type="expression" dxfId="85" priority="230">
      <formula>$T$40=TRUE</formula>
    </cfRule>
  </conditionalFormatting>
  <conditionalFormatting sqref="L17:S17">
    <cfRule type="expression" dxfId="84" priority="231">
      <formula>$U$40=TRUE</formula>
    </cfRule>
  </conditionalFormatting>
  <conditionalFormatting sqref="Q14:U16 AQ14:AU16">
    <cfRule type="expression" dxfId="83" priority="229">
      <formula>$S$40=TRUE</formula>
    </cfRule>
  </conditionalFormatting>
  <conditionalFormatting sqref="V14:Z16 AV14:AZ16">
    <cfRule type="expression" dxfId="82" priority="228">
      <formula>$R$40=TRUE</formula>
    </cfRule>
  </conditionalFormatting>
  <conditionalFormatting sqref="W18:Z18">
    <cfRule type="expression" dxfId="81" priority="227">
      <formula>$X$38=TRUE</formula>
    </cfRule>
  </conditionalFormatting>
  <conditionalFormatting sqref="AB12:AG13">
    <cfRule type="containsBlanks" dxfId="80" priority="4" stopIfTrue="1">
      <formula>LEN(TRIM(AB12))=0</formula>
    </cfRule>
  </conditionalFormatting>
  <conditionalFormatting sqref="AT17:AU17">
    <cfRule type="containsBlanks" dxfId="79" priority="235">
      <formula>LEN(TRIM(AT17))=0</formula>
    </cfRule>
  </conditionalFormatting>
  <conditionalFormatting sqref="AX17:AY17">
    <cfRule type="containsBlanks" dxfId="78" priority="247">
      <formula>LEN(TRIM(AX17))=0</formula>
    </cfRule>
  </conditionalFormatting>
  <dataValidations count="9">
    <dataValidation type="list" allowBlank="1" showInputMessage="1" showErrorMessage="1" sqref="L13:N13 Q13:R13 X32:Y32 V13:X13" xr:uid="{00000000-0002-0000-0100-000000000000}">
      <formula1>$BA$1:$BA$31</formula1>
    </dataValidation>
    <dataValidation type="list" allowBlank="1" showInputMessage="1" showErrorMessage="1" sqref="U32:V32" xr:uid="{00000000-0002-0000-0100-000001000000}">
      <formula1>$BA$1:$BA$12</formula1>
    </dataValidation>
    <dataValidation type="list" allowBlank="1" showInputMessage="1" showErrorMessage="1" sqref="AV13:AX13" xr:uid="{00000000-0002-0000-0100-000003000000}">
      <formula1>$BA$1</formula1>
    </dataValidation>
    <dataValidation type="list" allowBlank="1" showInputMessage="1" showErrorMessage="1" sqref="T17:U17 AT17:AU17" xr:uid="{00000000-0002-0000-0100-000004000000}">
      <formula1>$BA$10:$BA$13</formula1>
    </dataValidation>
    <dataValidation type="list" allowBlank="1" sqref="B12:G13 AB12:AG13" xr:uid="{00000000-0002-0000-0100-000008000000}">
      <formula1>$BB$1:$BB$2</formula1>
    </dataValidation>
    <dataValidation type="list" allowBlank="1" showInputMessage="1" showErrorMessage="1" sqref="R32:S32" xr:uid="{00000000-0002-0000-0100-00000A000000}">
      <formula1>$BB$1:$BB$2</formula1>
    </dataValidation>
    <dataValidation type="list" allowBlank="1" showInputMessage="1" showErrorMessage="1" sqref="X17:Y17 AX17:AY17" xr:uid="{00000000-0002-0000-0100-000005000000}">
      <formula1>$BA$13:$BA$17</formula1>
    </dataValidation>
    <dataValidation type="list" allowBlank="1" showInputMessage="1" showErrorMessage="1" sqref="AL13:AN13" xr:uid="{00000000-0002-0000-0100-000009000000}">
      <formula1>#REF!</formula1>
    </dataValidation>
    <dataValidation type="list" allowBlank="1" showInputMessage="1" showErrorMessage="1" sqref="C14:K17" xr:uid="{4CD0E33B-36D8-4A25-B61D-8B15E1BB4F7C}">
      <formula1>日付</formula1>
    </dataValidation>
  </dataValidations>
  <printOptions horizontalCentered="1" verticalCentered="1"/>
  <pageMargins left="0.39370078740157483" right="0.39370078740157483" top="0.39370078740157483" bottom="0.39370078740157483" header="0" footer="0"/>
  <pageSetup paperSize="9" scale="99" orientation="portrait" r:id="rId1"/>
  <headerFooter>
    <oddHeader>&amp;RⅥ-1</oddHeader>
    <oddFooter>&amp;R&amp;D&amp;T</oddFooter>
  </headerFooter>
  <colBreaks count="1" manualBreakCount="1">
    <brk id="26" max="38" man="1"/>
  </colBreaks>
  <drawing r:id="rId2"/>
  <legacyDrawing r:id="rId3"/>
  <mc:AlternateContent xmlns:mc="http://schemas.openxmlformats.org/markup-compatibility/2006">
    <mc:Choice Requires="x14">
      <controls>
        <mc:AlternateContent xmlns:mc="http://schemas.openxmlformats.org/markup-compatibility/2006">
          <mc:Choice Requires="x14">
            <control shapeId="1027" r:id="rId4" name="Check Box 3">
              <controlPr defaultSize="0" autoFill="0" autoLine="0" autoPict="0">
                <anchor moveWithCells="1">
                  <from>
                    <xdr:col>1</xdr:col>
                    <xdr:colOff>38100</xdr:colOff>
                    <xdr:row>19</xdr:row>
                    <xdr:rowOff>19050</xdr:rowOff>
                  </from>
                  <to>
                    <xdr:col>2</xdr:col>
                    <xdr:colOff>57150</xdr:colOff>
                    <xdr:row>19</xdr:row>
                    <xdr:rowOff>247650</xdr:rowOff>
                  </to>
                </anchor>
              </controlPr>
            </control>
          </mc:Choice>
        </mc:AlternateContent>
        <mc:AlternateContent xmlns:mc="http://schemas.openxmlformats.org/markup-compatibility/2006">
          <mc:Choice Requires="x14">
            <control shapeId="1028" r:id="rId5" name="Check Box 4">
              <controlPr defaultSize="0" autoFill="0" autoLine="0" autoPict="0">
                <anchor moveWithCells="1">
                  <from>
                    <xdr:col>1</xdr:col>
                    <xdr:colOff>38100</xdr:colOff>
                    <xdr:row>20</xdr:row>
                    <xdr:rowOff>19050</xdr:rowOff>
                  </from>
                  <to>
                    <xdr:col>2</xdr:col>
                    <xdr:colOff>57150</xdr:colOff>
                    <xdr:row>20</xdr:row>
                    <xdr:rowOff>247650</xdr:rowOff>
                  </to>
                </anchor>
              </controlPr>
            </control>
          </mc:Choice>
        </mc:AlternateContent>
        <mc:AlternateContent xmlns:mc="http://schemas.openxmlformats.org/markup-compatibility/2006">
          <mc:Choice Requires="x14">
            <control shapeId="1030" r:id="rId6" name="Check Box 6">
              <controlPr defaultSize="0" autoFill="0" autoLine="0" autoPict="0">
                <anchor moveWithCells="1">
                  <from>
                    <xdr:col>1</xdr:col>
                    <xdr:colOff>38100</xdr:colOff>
                    <xdr:row>22</xdr:row>
                    <xdr:rowOff>19050</xdr:rowOff>
                  </from>
                  <to>
                    <xdr:col>2</xdr:col>
                    <xdr:colOff>57150</xdr:colOff>
                    <xdr:row>22</xdr:row>
                    <xdr:rowOff>247650</xdr:rowOff>
                  </to>
                </anchor>
              </controlPr>
            </control>
          </mc:Choice>
        </mc:AlternateContent>
        <mc:AlternateContent xmlns:mc="http://schemas.openxmlformats.org/markup-compatibility/2006">
          <mc:Choice Requires="x14">
            <control shapeId="1031" r:id="rId7" name="Check Box 7">
              <controlPr defaultSize="0" autoFill="0" autoLine="0" autoPict="0">
                <anchor moveWithCells="1">
                  <from>
                    <xdr:col>1</xdr:col>
                    <xdr:colOff>38100</xdr:colOff>
                    <xdr:row>22</xdr:row>
                    <xdr:rowOff>19050</xdr:rowOff>
                  </from>
                  <to>
                    <xdr:col>2</xdr:col>
                    <xdr:colOff>57150</xdr:colOff>
                    <xdr:row>22</xdr:row>
                    <xdr:rowOff>247650</xdr:rowOff>
                  </to>
                </anchor>
              </controlPr>
            </control>
          </mc:Choice>
        </mc:AlternateContent>
        <mc:AlternateContent xmlns:mc="http://schemas.openxmlformats.org/markup-compatibility/2006">
          <mc:Choice Requires="x14">
            <control shapeId="1032" r:id="rId8" name="Check Box 8">
              <controlPr defaultSize="0" autoFill="0" autoLine="0" autoPict="0">
                <anchor moveWithCells="1">
                  <from>
                    <xdr:col>1</xdr:col>
                    <xdr:colOff>38100</xdr:colOff>
                    <xdr:row>22</xdr:row>
                    <xdr:rowOff>19050</xdr:rowOff>
                  </from>
                  <to>
                    <xdr:col>2</xdr:col>
                    <xdr:colOff>57150</xdr:colOff>
                    <xdr:row>22</xdr:row>
                    <xdr:rowOff>247650</xdr:rowOff>
                  </to>
                </anchor>
              </controlPr>
            </control>
          </mc:Choice>
        </mc:AlternateContent>
        <mc:AlternateContent xmlns:mc="http://schemas.openxmlformats.org/markup-compatibility/2006">
          <mc:Choice Requires="x14">
            <control shapeId="1033" r:id="rId9" name="Check Box 9">
              <controlPr defaultSize="0" autoFill="0" autoLine="0" autoPict="0">
                <anchor moveWithCells="1">
                  <from>
                    <xdr:col>1</xdr:col>
                    <xdr:colOff>38100</xdr:colOff>
                    <xdr:row>23</xdr:row>
                    <xdr:rowOff>19050</xdr:rowOff>
                  </from>
                  <to>
                    <xdr:col>2</xdr:col>
                    <xdr:colOff>57150</xdr:colOff>
                    <xdr:row>23</xdr:row>
                    <xdr:rowOff>247650</xdr:rowOff>
                  </to>
                </anchor>
              </controlPr>
            </control>
          </mc:Choice>
        </mc:AlternateContent>
        <mc:AlternateContent xmlns:mc="http://schemas.openxmlformats.org/markup-compatibility/2006">
          <mc:Choice Requires="x14">
            <control shapeId="1034" r:id="rId10" name="Check Box 10">
              <controlPr defaultSize="0" autoFill="0" autoLine="0" autoPict="0">
                <anchor moveWithCells="1">
                  <from>
                    <xdr:col>1</xdr:col>
                    <xdr:colOff>38100</xdr:colOff>
                    <xdr:row>24</xdr:row>
                    <xdr:rowOff>28575</xdr:rowOff>
                  </from>
                  <to>
                    <xdr:col>2</xdr:col>
                    <xdr:colOff>57150</xdr:colOff>
                    <xdr:row>24</xdr:row>
                    <xdr:rowOff>247650</xdr:rowOff>
                  </to>
                </anchor>
              </controlPr>
            </control>
          </mc:Choice>
        </mc:AlternateContent>
        <mc:AlternateContent xmlns:mc="http://schemas.openxmlformats.org/markup-compatibility/2006">
          <mc:Choice Requires="x14">
            <control shapeId="1035" r:id="rId11" name="Check Box 11">
              <controlPr defaultSize="0" autoFill="0" autoLine="0" autoPict="0">
                <anchor moveWithCells="1">
                  <from>
                    <xdr:col>1</xdr:col>
                    <xdr:colOff>38100</xdr:colOff>
                    <xdr:row>25</xdr:row>
                    <xdr:rowOff>19050</xdr:rowOff>
                  </from>
                  <to>
                    <xdr:col>2</xdr:col>
                    <xdr:colOff>57150</xdr:colOff>
                    <xdr:row>25</xdr:row>
                    <xdr:rowOff>247650</xdr:rowOff>
                  </to>
                </anchor>
              </controlPr>
            </control>
          </mc:Choice>
        </mc:AlternateContent>
        <mc:AlternateContent xmlns:mc="http://schemas.openxmlformats.org/markup-compatibility/2006">
          <mc:Choice Requires="x14">
            <control shapeId="1036" r:id="rId12" name="Check Box 12">
              <controlPr defaultSize="0" autoFill="0" autoLine="0" autoPict="0">
                <anchor moveWithCells="1">
                  <from>
                    <xdr:col>1</xdr:col>
                    <xdr:colOff>38100</xdr:colOff>
                    <xdr:row>26</xdr:row>
                    <xdr:rowOff>19050</xdr:rowOff>
                  </from>
                  <to>
                    <xdr:col>2</xdr:col>
                    <xdr:colOff>57150</xdr:colOff>
                    <xdr:row>26</xdr:row>
                    <xdr:rowOff>247650</xdr:rowOff>
                  </to>
                </anchor>
              </controlPr>
            </control>
          </mc:Choice>
        </mc:AlternateContent>
        <mc:AlternateContent xmlns:mc="http://schemas.openxmlformats.org/markup-compatibility/2006">
          <mc:Choice Requires="x14">
            <control shapeId="1037" r:id="rId13" name="Check Box 13">
              <controlPr defaultSize="0" autoFill="0" autoLine="0" autoPict="0">
                <anchor moveWithCells="1">
                  <from>
                    <xdr:col>1</xdr:col>
                    <xdr:colOff>38100</xdr:colOff>
                    <xdr:row>25</xdr:row>
                    <xdr:rowOff>19050</xdr:rowOff>
                  </from>
                  <to>
                    <xdr:col>2</xdr:col>
                    <xdr:colOff>57150</xdr:colOff>
                    <xdr:row>25</xdr:row>
                    <xdr:rowOff>247650</xdr:rowOff>
                  </to>
                </anchor>
              </controlPr>
            </control>
          </mc:Choice>
        </mc:AlternateContent>
        <mc:AlternateContent xmlns:mc="http://schemas.openxmlformats.org/markup-compatibility/2006">
          <mc:Choice Requires="x14">
            <control shapeId="1046" r:id="rId14" name="Check Box 22">
              <controlPr defaultSize="0" autoFill="0" autoLine="0" autoPict="0">
                <anchor moveWithCells="1">
                  <from>
                    <xdr:col>47</xdr:col>
                    <xdr:colOff>76200</xdr:colOff>
                    <xdr:row>14</xdr:row>
                    <xdr:rowOff>19050</xdr:rowOff>
                  </from>
                  <to>
                    <xdr:col>48</xdr:col>
                    <xdr:colOff>104775</xdr:colOff>
                    <xdr:row>14</xdr:row>
                    <xdr:rowOff>238125</xdr:rowOff>
                  </to>
                </anchor>
              </controlPr>
            </control>
          </mc:Choice>
        </mc:AlternateContent>
        <mc:AlternateContent xmlns:mc="http://schemas.openxmlformats.org/markup-compatibility/2006">
          <mc:Choice Requires="x14">
            <control shapeId="1047" r:id="rId15" name="Check Box 23">
              <controlPr defaultSize="0" autoFill="0" autoLine="0" autoPict="0">
                <anchor moveWithCells="1">
                  <from>
                    <xdr:col>48</xdr:col>
                    <xdr:colOff>38100</xdr:colOff>
                    <xdr:row>18</xdr:row>
                    <xdr:rowOff>0</xdr:rowOff>
                  </from>
                  <to>
                    <xdr:col>49</xdr:col>
                    <xdr:colOff>57150</xdr:colOff>
                    <xdr:row>18</xdr:row>
                    <xdr:rowOff>219075</xdr:rowOff>
                  </to>
                </anchor>
              </controlPr>
            </control>
          </mc:Choice>
        </mc:AlternateContent>
        <mc:AlternateContent xmlns:mc="http://schemas.openxmlformats.org/markup-compatibility/2006">
          <mc:Choice Requires="x14">
            <control shapeId="1048" r:id="rId16" name="Check Box 24">
              <controlPr defaultSize="0" autoFill="0" autoLine="0" autoPict="0">
                <anchor moveWithCells="1">
                  <from>
                    <xdr:col>48</xdr:col>
                    <xdr:colOff>28575</xdr:colOff>
                    <xdr:row>17</xdr:row>
                    <xdr:rowOff>9525</xdr:rowOff>
                  </from>
                  <to>
                    <xdr:col>49</xdr:col>
                    <xdr:colOff>57150</xdr:colOff>
                    <xdr:row>18</xdr:row>
                    <xdr:rowOff>0</xdr:rowOff>
                  </to>
                </anchor>
              </controlPr>
            </control>
          </mc:Choice>
        </mc:AlternateContent>
        <mc:AlternateContent xmlns:mc="http://schemas.openxmlformats.org/markup-compatibility/2006">
          <mc:Choice Requires="x14">
            <control shapeId="1049" r:id="rId17" name="Check Box 25">
              <controlPr defaultSize="0" autoFill="0" autoLine="0" autoPict="0">
                <anchor moveWithCells="1">
                  <from>
                    <xdr:col>27</xdr:col>
                    <xdr:colOff>38100</xdr:colOff>
                    <xdr:row>23</xdr:row>
                    <xdr:rowOff>19050</xdr:rowOff>
                  </from>
                  <to>
                    <xdr:col>28</xdr:col>
                    <xdr:colOff>57150</xdr:colOff>
                    <xdr:row>23</xdr:row>
                    <xdr:rowOff>247650</xdr:rowOff>
                  </to>
                </anchor>
              </controlPr>
            </control>
          </mc:Choice>
        </mc:AlternateContent>
        <mc:AlternateContent xmlns:mc="http://schemas.openxmlformats.org/markup-compatibility/2006">
          <mc:Choice Requires="x14">
            <control shapeId="1050" r:id="rId18" name="Check Box 26">
              <controlPr defaultSize="0" autoFill="0" autoLine="0" autoPict="0">
                <anchor moveWithCells="1">
                  <from>
                    <xdr:col>27</xdr:col>
                    <xdr:colOff>38100</xdr:colOff>
                    <xdr:row>24</xdr:row>
                    <xdr:rowOff>28575</xdr:rowOff>
                  </from>
                  <to>
                    <xdr:col>28</xdr:col>
                    <xdr:colOff>57150</xdr:colOff>
                    <xdr:row>24</xdr:row>
                    <xdr:rowOff>247650</xdr:rowOff>
                  </to>
                </anchor>
              </controlPr>
            </control>
          </mc:Choice>
        </mc:AlternateContent>
        <mc:AlternateContent xmlns:mc="http://schemas.openxmlformats.org/markup-compatibility/2006">
          <mc:Choice Requires="x14">
            <control shapeId="1052" r:id="rId19" name="Check Box 28">
              <controlPr defaultSize="0" autoFill="0" autoLine="0" autoPict="0">
                <anchor moveWithCells="1">
                  <from>
                    <xdr:col>27</xdr:col>
                    <xdr:colOff>38100</xdr:colOff>
                    <xdr:row>26</xdr:row>
                    <xdr:rowOff>19050</xdr:rowOff>
                  </from>
                  <to>
                    <xdr:col>28</xdr:col>
                    <xdr:colOff>57150</xdr:colOff>
                    <xdr:row>26</xdr:row>
                    <xdr:rowOff>247650</xdr:rowOff>
                  </to>
                </anchor>
              </controlPr>
            </control>
          </mc:Choice>
        </mc:AlternateContent>
        <mc:AlternateContent xmlns:mc="http://schemas.openxmlformats.org/markup-compatibility/2006">
          <mc:Choice Requires="x14">
            <control shapeId="1053" r:id="rId20" name="Check Box 29">
              <controlPr defaultSize="0" autoFill="0" autoLine="0" autoPict="0">
                <anchor moveWithCells="1">
                  <from>
                    <xdr:col>27</xdr:col>
                    <xdr:colOff>38100</xdr:colOff>
                    <xdr:row>25</xdr:row>
                    <xdr:rowOff>19050</xdr:rowOff>
                  </from>
                  <to>
                    <xdr:col>28</xdr:col>
                    <xdr:colOff>57150</xdr:colOff>
                    <xdr:row>25</xdr:row>
                    <xdr:rowOff>247650</xdr:rowOff>
                  </to>
                </anchor>
              </controlPr>
            </control>
          </mc:Choice>
        </mc:AlternateContent>
        <mc:AlternateContent xmlns:mc="http://schemas.openxmlformats.org/markup-compatibility/2006">
          <mc:Choice Requires="x14">
            <control shapeId="1062" r:id="rId21" name="Check Box 38">
              <controlPr defaultSize="0" autoFill="0" autoLine="0" autoPict="0">
                <anchor moveWithCells="1">
                  <from>
                    <xdr:col>27</xdr:col>
                    <xdr:colOff>38100</xdr:colOff>
                    <xdr:row>19</xdr:row>
                    <xdr:rowOff>19050</xdr:rowOff>
                  </from>
                  <to>
                    <xdr:col>28</xdr:col>
                    <xdr:colOff>57150</xdr:colOff>
                    <xdr:row>19</xdr:row>
                    <xdr:rowOff>247650</xdr:rowOff>
                  </to>
                </anchor>
              </controlPr>
            </control>
          </mc:Choice>
        </mc:AlternateContent>
        <mc:AlternateContent xmlns:mc="http://schemas.openxmlformats.org/markup-compatibility/2006">
          <mc:Choice Requires="x14">
            <control shapeId="1063" r:id="rId22" name="Check Box 39">
              <controlPr defaultSize="0" autoFill="0" autoLine="0" autoPict="0">
                <anchor moveWithCells="1">
                  <from>
                    <xdr:col>27</xdr:col>
                    <xdr:colOff>38100</xdr:colOff>
                    <xdr:row>20</xdr:row>
                    <xdr:rowOff>19050</xdr:rowOff>
                  </from>
                  <to>
                    <xdr:col>28</xdr:col>
                    <xdr:colOff>57150</xdr:colOff>
                    <xdr:row>20</xdr:row>
                    <xdr:rowOff>247650</xdr:rowOff>
                  </to>
                </anchor>
              </controlPr>
            </control>
          </mc:Choice>
        </mc:AlternateContent>
        <mc:AlternateContent xmlns:mc="http://schemas.openxmlformats.org/markup-compatibility/2006">
          <mc:Choice Requires="x14">
            <control shapeId="1065" r:id="rId23" name="Check Box 41">
              <controlPr defaultSize="0" autoFill="0" autoLine="0" autoPict="0">
                <anchor moveWithCells="1">
                  <from>
                    <xdr:col>27</xdr:col>
                    <xdr:colOff>38100</xdr:colOff>
                    <xdr:row>22</xdr:row>
                    <xdr:rowOff>19050</xdr:rowOff>
                  </from>
                  <to>
                    <xdr:col>28</xdr:col>
                    <xdr:colOff>57150</xdr:colOff>
                    <xdr:row>22</xdr:row>
                    <xdr:rowOff>247650</xdr:rowOff>
                  </to>
                </anchor>
              </controlPr>
            </control>
          </mc:Choice>
        </mc:AlternateContent>
        <mc:AlternateContent xmlns:mc="http://schemas.openxmlformats.org/markup-compatibility/2006">
          <mc:Choice Requires="x14">
            <control shapeId="1066" r:id="rId24" name="Check Box 42">
              <controlPr defaultSize="0" autoFill="0" autoLine="0" autoPict="0">
                <anchor moveWithCells="1">
                  <from>
                    <xdr:col>27</xdr:col>
                    <xdr:colOff>38100</xdr:colOff>
                    <xdr:row>23</xdr:row>
                    <xdr:rowOff>19050</xdr:rowOff>
                  </from>
                  <to>
                    <xdr:col>28</xdr:col>
                    <xdr:colOff>57150</xdr:colOff>
                    <xdr:row>23</xdr:row>
                    <xdr:rowOff>247650</xdr:rowOff>
                  </to>
                </anchor>
              </controlPr>
            </control>
          </mc:Choice>
        </mc:AlternateContent>
        <mc:AlternateContent xmlns:mc="http://schemas.openxmlformats.org/markup-compatibility/2006">
          <mc:Choice Requires="x14">
            <control shapeId="1067" r:id="rId25" name="Check Box 43">
              <controlPr defaultSize="0" autoFill="0" autoLine="0" autoPict="0">
                <anchor moveWithCells="1">
                  <from>
                    <xdr:col>27</xdr:col>
                    <xdr:colOff>38100</xdr:colOff>
                    <xdr:row>22</xdr:row>
                    <xdr:rowOff>19050</xdr:rowOff>
                  </from>
                  <to>
                    <xdr:col>28</xdr:col>
                    <xdr:colOff>57150</xdr:colOff>
                    <xdr:row>22</xdr:row>
                    <xdr:rowOff>247650</xdr:rowOff>
                  </to>
                </anchor>
              </controlPr>
            </control>
          </mc:Choice>
        </mc:AlternateContent>
        <mc:AlternateContent xmlns:mc="http://schemas.openxmlformats.org/markup-compatibility/2006">
          <mc:Choice Requires="x14">
            <control shapeId="1070" r:id="rId26" name="Check Box 46">
              <controlPr defaultSize="0" autoFill="0" autoLine="0" autoPict="0">
                <anchor moveWithCells="1">
                  <from>
                    <xdr:col>37</xdr:col>
                    <xdr:colOff>114300</xdr:colOff>
                    <xdr:row>16</xdr:row>
                    <xdr:rowOff>9525</xdr:rowOff>
                  </from>
                  <to>
                    <xdr:col>38</xdr:col>
                    <xdr:colOff>152400</xdr:colOff>
                    <xdr:row>16</xdr:row>
                    <xdr:rowOff>219075</xdr:rowOff>
                  </to>
                </anchor>
              </controlPr>
            </control>
          </mc:Choice>
        </mc:AlternateContent>
        <mc:AlternateContent xmlns:mc="http://schemas.openxmlformats.org/markup-compatibility/2006">
          <mc:Choice Requires="x14">
            <control shapeId="1071" r:id="rId27" name="Check Box 47">
              <controlPr defaultSize="0" autoFill="0" autoLine="0" autoPict="0">
                <anchor moveWithCells="1">
                  <from>
                    <xdr:col>21</xdr:col>
                    <xdr:colOff>76200</xdr:colOff>
                    <xdr:row>14</xdr:row>
                    <xdr:rowOff>19050</xdr:rowOff>
                  </from>
                  <to>
                    <xdr:col>22</xdr:col>
                    <xdr:colOff>104775</xdr:colOff>
                    <xdr:row>15</xdr:row>
                    <xdr:rowOff>0</xdr:rowOff>
                  </to>
                </anchor>
              </controlPr>
            </control>
          </mc:Choice>
        </mc:AlternateContent>
        <mc:AlternateContent xmlns:mc="http://schemas.openxmlformats.org/markup-compatibility/2006">
          <mc:Choice Requires="x14">
            <control shapeId="1072" r:id="rId28" name="Check Box 48">
              <controlPr defaultSize="0" autoFill="0" autoLine="0" autoPict="0">
                <anchor moveWithCells="1">
                  <from>
                    <xdr:col>11</xdr:col>
                    <xdr:colOff>76200</xdr:colOff>
                    <xdr:row>14</xdr:row>
                    <xdr:rowOff>57150</xdr:rowOff>
                  </from>
                  <to>
                    <xdr:col>12</xdr:col>
                    <xdr:colOff>104775</xdr:colOff>
                    <xdr:row>15</xdr:row>
                    <xdr:rowOff>38100</xdr:rowOff>
                  </to>
                </anchor>
              </controlPr>
            </control>
          </mc:Choice>
        </mc:AlternateContent>
        <mc:AlternateContent xmlns:mc="http://schemas.openxmlformats.org/markup-compatibility/2006">
          <mc:Choice Requires="x14">
            <control shapeId="1073" r:id="rId29" name="Check Box 49">
              <controlPr defaultSize="0" autoFill="0" autoLine="0" autoPict="0">
                <anchor moveWithCells="1">
                  <from>
                    <xdr:col>16</xdr:col>
                    <xdr:colOff>66675</xdr:colOff>
                    <xdr:row>14</xdr:row>
                    <xdr:rowOff>47625</xdr:rowOff>
                  </from>
                  <to>
                    <xdr:col>17</xdr:col>
                    <xdr:colOff>95250</xdr:colOff>
                    <xdr:row>15</xdr:row>
                    <xdr:rowOff>28575</xdr:rowOff>
                  </to>
                </anchor>
              </controlPr>
            </control>
          </mc:Choice>
        </mc:AlternateContent>
        <mc:AlternateContent xmlns:mc="http://schemas.openxmlformats.org/markup-compatibility/2006">
          <mc:Choice Requires="x14">
            <control shapeId="1074" r:id="rId30" name="Check Box 50">
              <controlPr defaultSize="0" autoFill="0" autoLine="0" autoPict="0">
                <anchor moveWithCells="1">
                  <from>
                    <xdr:col>11</xdr:col>
                    <xdr:colOff>76200</xdr:colOff>
                    <xdr:row>16</xdr:row>
                    <xdr:rowOff>19050</xdr:rowOff>
                  </from>
                  <to>
                    <xdr:col>12</xdr:col>
                    <xdr:colOff>104775</xdr:colOff>
                    <xdr:row>17</xdr:row>
                    <xdr:rowOff>0</xdr:rowOff>
                  </to>
                </anchor>
              </controlPr>
            </control>
          </mc:Choice>
        </mc:AlternateContent>
        <mc:AlternateContent xmlns:mc="http://schemas.openxmlformats.org/markup-compatibility/2006">
          <mc:Choice Requires="x14">
            <control shapeId="1172" r:id="rId31" name="Check Box 148">
              <controlPr defaultSize="0" autoFill="0" autoLine="0" autoPict="0">
                <anchor moveWithCells="1">
                  <from>
                    <xdr:col>22</xdr:col>
                    <xdr:colOff>38100</xdr:colOff>
                    <xdr:row>17</xdr:row>
                    <xdr:rowOff>38100</xdr:rowOff>
                  </from>
                  <to>
                    <xdr:col>23</xdr:col>
                    <xdr:colOff>0</xdr:colOff>
                    <xdr:row>17</xdr:row>
                    <xdr:rowOff>200025</xdr:rowOff>
                  </to>
                </anchor>
              </controlPr>
            </control>
          </mc:Choice>
        </mc:AlternateContent>
        <mc:AlternateContent xmlns:mc="http://schemas.openxmlformats.org/markup-compatibility/2006">
          <mc:Choice Requires="x14">
            <control shapeId="1173" r:id="rId32" name="Check Box 149">
              <controlPr defaultSize="0" autoFill="0" autoLine="0" autoPict="0">
                <anchor moveWithCells="1">
                  <from>
                    <xdr:col>22</xdr:col>
                    <xdr:colOff>38100</xdr:colOff>
                    <xdr:row>18</xdr:row>
                    <xdr:rowOff>28575</xdr:rowOff>
                  </from>
                  <to>
                    <xdr:col>23</xdr:col>
                    <xdr:colOff>38100</xdr:colOff>
                    <xdr:row>18</xdr:row>
                    <xdr:rowOff>219075</xdr:rowOff>
                  </to>
                </anchor>
              </controlPr>
            </control>
          </mc:Choice>
        </mc:AlternateContent>
        <mc:AlternateContent xmlns:mc="http://schemas.openxmlformats.org/markup-compatibility/2006">
          <mc:Choice Requires="x14">
            <control shapeId="31299" r:id="rId33" name="Check Box 1603">
              <controlPr defaultSize="0" autoFill="0" autoLine="0" autoPict="0">
                <anchor moveWithCells="1">
                  <from>
                    <xdr:col>37</xdr:col>
                    <xdr:colOff>28575</xdr:colOff>
                    <xdr:row>14</xdr:row>
                    <xdr:rowOff>76200</xdr:rowOff>
                  </from>
                  <to>
                    <xdr:col>38</xdr:col>
                    <xdr:colOff>66675</xdr:colOff>
                    <xdr:row>15</xdr:row>
                    <xdr:rowOff>38100</xdr:rowOff>
                  </to>
                </anchor>
              </controlPr>
            </control>
          </mc:Choice>
        </mc:AlternateContent>
        <mc:AlternateContent xmlns:mc="http://schemas.openxmlformats.org/markup-compatibility/2006">
          <mc:Choice Requires="x14">
            <control shapeId="31301" r:id="rId34" name="Check Box 1605">
              <controlPr defaultSize="0" autoFill="0" autoLine="0" autoPict="0">
                <anchor moveWithCells="1">
                  <from>
                    <xdr:col>27</xdr:col>
                    <xdr:colOff>38100</xdr:colOff>
                    <xdr:row>19</xdr:row>
                    <xdr:rowOff>19050</xdr:rowOff>
                  </from>
                  <to>
                    <xdr:col>28</xdr:col>
                    <xdr:colOff>57150</xdr:colOff>
                    <xdr:row>19</xdr:row>
                    <xdr:rowOff>247650</xdr:rowOff>
                  </to>
                </anchor>
              </controlPr>
            </control>
          </mc:Choice>
        </mc:AlternateContent>
        <mc:AlternateContent xmlns:mc="http://schemas.openxmlformats.org/markup-compatibility/2006">
          <mc:Choice Requires="x14">
            <control shapeId="31310" r:id="rId35" name="Check Box 1614">
              <controlPr defaultSize="0" autoFill="0" autoLine="0" autoPict="0">
                <anchor moveWithCells="1">
                  <from>
                    <xdr:col>42</xdr:col>
                    <xdr:colOff>76200</xdr:colOff>
                    <xdr:row>14</xdr:row>
                    <xdr:rowOff>0</xdr:rowOff>
                  </from>
                  <to>
                    <xdr:col>43</xdr:col>
                    <xdr:colOff>180975</xdr:colOff>
                    <xdr:row>15</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E3594C-1125-4C1B-AEE5-D7547EF7A67D}">
  <sheetPr codeName="Sheet5">
    <tabColor rgb="FF00B0F0"/>
    <outlinePr summaryBelow="0" summaryRight="0"/>
  </sheetPr>
  <dimension ref="A1:AF177"/>
  <sheetViews>
    <sheetView view="pageBreakPreview" topLeftCell="F1" zoomScale="70" zoomScaleNormal="82" zoomScaleSheetLayoutView="70" workbookViewId="0">
      <selection activeCell="O5" sqref="O5"/>
    </sheetView>
  </sheetViews>
  <sheetFormatPr defaultColWidth="11" defaultRowHeight="15.75" customHeight="1"/>
  <cols>
    <col min="1" max="2" width="5" style="827" customWidth="1"/>
    <col min="3" max="16" width="10" style="827" customWidth="1"/>
    <col min="17" max="18" width="5" style="827" customWidth="1"/>
    <col min="19" max="32" width="10" style="827" customWidth="1"/>
    <col min="33" max="16384" width="11" style="827"/>
  </cols>
  <sheetData>
    <row r="1" spans="1:32" ht="15">
      <c r="D1" s="828"/>
      <c r="E1" s="828"/>
      <c r="F1" s="828"/>
      <c r="G1" s="828"/>
      <c r="H1" s="828"/>
      <c r="I1" s="828"/>
      <c r="J1" s="828"/>
      <c r="K1" s="828"/>
      <c r="L1" s="828"/>
      <c r="M1" s="828"/>
      <c r="N1" s="828"/>
      <c r="O1" s="828"/>
      <c r="P1" s="828"/>
      <c r="T1" s="828"/>
      <c r="U1" s="828"/>
      <c r="V1" s="828"/>
      <c r="W1" s="828"/>
      <c r="X1" s="828"/>
      <c r="Y1" s="828"/>
      <c r="Z1" s="828"/>
      <c r="AA1" s="828"/>
      <c r="AB1" s="828"/>
      <c r="AC1" s="828"/>
      <c r="AD1" s="828"/>
      <c r="AE1" s="828"/>
      <c r="AF1" s="828"/>
    </row>
    <row r="2" spans="1:32" ht="46.5" customHeight="1">
      <c r="A2" s="829"/>
      <c r="B2" s="829"/>
      <c r="C2" s="1232" t="s">
        <v>899</v>
      </c>
      <c r="D2" s="1233"/>
      <c r="E2" s="1233"/>
      <c r="F2" s="1233"/>
      <c r="G2" s="1233"/>
      <c r="H2" s="1233"/>
      <c r="I2" s="1233"/>
      <c r="J2" s="1233"/>
      <c r="K2" s="1233"/>
      <c r="L2" s="1233"/>
      <c r="M2" s="1233"/>
      <c r="N2" s="1233"/>
      <c r="O2" s="1233"/>
      <c r="P2" s="1233"/>
      <c r="Q2" s="829"/>
      <c r="R2" s="829"/>
      <c r="S2" s="1232" t="s">
        <v>899</v>
      </c>
      <c r="T2" s="1233"/>
      <c r="U2" s="1233"/>
      <c r="V2" s="1233"/>
      <c r="W2" s="1233"/>
      <c r="X2" s="1233"/>
      <c r="Y2" s="1233"/>
      <c r="Z2" s="1233"/>
      <c r="AA2" s="1233"/>
      <c r="AB2" s="1233"/>
      <c r="AC2" s="1233"/>
      <c r="AD2" s="1233"/>
      <c r="AE2" s="1233"/>
      <c r="AF2" s="1233"/>
    </row>
    <row r="3" spans="1:32" ht="15">
      <c r="E3" s="828"/>
      <c r="F3" s="828"/>
      <c r="G3" s="828"/>
      <c r="H3" s="828"/>
      <c r="I3" s="828"/>
      <c r="J3" s="828"/>
      <c r="K3" s="828"/>
      <c r="L3" s="828"/>
      <c r="M3" s="828"/>
      <c r="N3" s="828"/>
      <c r="O3" s="828"/>
      <c r="P3" s="828"/>
      <c r="U3" s="828"/>
      <c r="V3" s="828"/>
      <c r="W3" s="828"/>
      <c r="X3" s="828"/>
      <c r="Y3" s="828"/>
      <c r="Z3" s="828"/>
      <c r="AA3" s="828"/>
      <c r="AB3" s="828"/>
      <c r="AC3" s="828"/>
      <c r="AD3" s="828"/>
      <c r="AE3" s="828"/>
      <c r="AF3" s="828"/>
    </row>
    <row r="4" spans="1:32" ht="19.5" customHeight="1">
      <c r="B4" s="830"/>
      <c r="C4" s="1290" t="s">
        <v>900</v>
      </c>
      <c r="D4" s="1233"/>
      <c r="E4" s="1291" t="str">
        <f>CONCATENATE('01 使用承認申請書'!D4)</f>
        <v/>
      </c>
      <c r="F4" s="1292"/>
      <c r="G4" s="1292"/>
      <c r="H4" s="1292"/>
      <c r="I4" s="1293"/>
      <c r="J4" s="830"/>
      <c r="K4" s="1283" t="s">
        <v>901</v>
      </c>
      <c r="L4" s="1281">
        <f>'01 使用承認申請書'!B18</f>
        <v>0</v>
      </c>
      <c r="M4" s="830"/>
      <c r="N4" s="830"/>
      <c r="O4" s="830"/>
      <c r="P4" s="831"/>
      <c r="R4" s="830"/>
      <c r="S4" s="1290" t="s">
        <v>900</v>
      </c>
      <c r="T4" s="1233"/>
      <c r="U4" s="1284" t="str">
        <f>CONCATENATE('01 使用承認申請書'!D4)</f>
        <v/>
      </c>
      <c r="V4" s="1285"/>
      <c r="W4" s="1285"/>
      <c r="X4" s="1285"/>
      <c r="Y4" s="1286"/>
      <c r="Z4" s="830"/>
      <c r="AA4" s="1283" t="s">
        <v>901</v>
      </c>
      <c r="AB4" s="1281"/>
      <c r="AC4" s="830"/>
      <c r="AD4" s="830"/>
      <c r="AE4" s="830"/>
      <c r="AF4" s="831"/>
    </row>
    <row r="5" spans="1:32" ht="19.5" customHeight="1">
      <c r="A5" s="832"/>
      <c r="B5" s="830"/>
      <c r="C5" s="1233"/>
      <c r="D5" s="1233"/>
      <c r="E5" s="1294"/>
      <c r="F5" s="1295"/>
      <c r="G5" s="1295"/>
      <c r="H5" s="1295"/>
      <c r="I5" s="1296"/>
      <c r="J5" s="830"/>
      <c r="K5" s="1233"/>
      <c r="L5" s="1282"/>
      <c r="M5" s="830"/>
      <c r="N5" s="830"/>
      <c r="O5" s="830"/>
      <c r="P5" s="831"/>
      <c r="Q5" s="832"/>
      <c r="R5" s="830"/>
      <c r="S5" s="1233"/>
      <c r="T5" s="1233"/>
      <c r="U5" s="1287"/>
      <c r="V5" s="1288"/>
      <c r="W5" s="1288"/>
      <c r="X5" s="1288"/>
      <c r="Y5" s="1289"/>
      <c r="Z5" s="830"/>
      <c r="AA5" s="1233"/>
      <c r="AB5" s="1282"/>
      <c r="AC5" s="950"/>
      <c r="AD5" s="830"/>
      <c r="AE5" s="830"/>
      <c r="AF5" s="831"/>
    </row>
    <row r="6" spans="1:32" ht="19.5" customHeight="1">
      <c r="A6" s="832"/>
      <c r="B6" s="830"/>
      <c r="C6" s="951" t="s">
        <v>924</v>
      </c>
      <c r="E6" s="833"/>
      <c r="F6" s="833"/>
      <c r="G6" s="833"/>
      <c r="H6" s="833"/>
      <c r="I6" s="833"/>
      <c r="J6" s="830"/>
      <c r="L6" s="833"/>
      <c r="M6" s="830"/>
      <c r="N6" s="830"/>
      <c r="O6" s="830"/>
      <c r="P6" s="831"/>
      <c r="Q6" s="832"/>
      <c r="R6" s="830"/>
      <c r="U6" s="833"/>
      <c r="V6" s="833"/>
      <c r="W6" s="833"/>
      <c r="X6" s="833"/>
      <c r="Y6" s="833"/>
      <c r="Z6" s="830"/>
      <c r="AB6" s="833"/>
      <c r="AC6" s="830"/>
      <c r="AD6" s="830"/>
      <c r="AE6" s="830"/>
      <c r="AF6" s="831"/>
    </row>
    <row r="7" spans="1:32" ht="16.5" customHeight="1">
      <c r="A7" s="1277" t="s">
        <v>902</v>
      </c>
      <c r="B7" s="1278"/>
      <c r="C7" s="1274"/>
      <c r="D7" s="1274"/>
      <c r="E7" s="1274"/>
      <c r="F7" s="1274"/>
      <c r="G7" s="1274"/>
      <c r="H7" s="1274"/>
      <c r="I7" s="1274"/>
      <c r="J7" s="1274"/>
      <c r="K7" s="1274"/>
      <c r="L7" s="1274"/>
      <c r="M7" s="1274"/>
      <c r="N7" s="1274"/>
      <c r="O7" s="1274"/>
      <c r="P7" s="1274"/>
      <c r="Q7" s="1277" t="s">
        <v>902</v>
      </c>
      <c r="R7" s="1278"/>
      <c r="S7" s="1305" t="s">
        <v>934</v>
      </c>
      <c r="T7" s="1305"/>
      <c r="U7" s="1305"/>
      <c r="V7" s="1305"/>
      <c r="W7" s="1305"/>
      <c r="X7" s="1305"/>
      <c r="Y7" s="1305"/>
      <c r="Z7" s="1305"/>
      <c r="AA7" s="1305"/>
      <c r="AB7" s="1305"/>
      <c r="AC7" s="1305"/>
      <c r="AD7" s="1305"/>
      <c r="AE7" s="1305"/>
      <c r="AF7" s="1305"/>
    </row>
    <row r="8" spans="1:32" ht="16.5" customHeight="1">
      <c r="A8" s="1279"/>
      <c r="B8" s="1279"/>
      <c r="C8" s="1275"/>
      <c r="D8" s="1275"/>
      <c r="E8" s="1275"/>
      <c r="F8" s="1275"/>
      <c r="G8" s="1275"/>
      <c r="H8" s="1275"/>
      <c r="I8" s="1275"/>
      <c r="J8" s="1275"/>
      <c r="K8" s="1275"/>
      <c r="L8" s="1275"/>
      <c r="M8" s="1275"/>
      <c r="N8" s="1275"/>
      <c r="O8" s="1275"/>
      <c r="P8" s="1275"/>
      <c r="Q8" s="1279"/>
      <c r="R8" s="1279"/>
      <c r="S8" s="1306"/>
      <c r="T8" s="1306"/>
      <c r="U8" s="1306"/>
      <c r="V8" s="1306"/>
      <c r="W8" s="1306"/>
      <c r="X8" s="1306"/>
      <c r="Y8" s="1306"/>
      <c r="Z8" s="1306"/>
      <c r="AA8" s="1306"/>
      <c r="AB8" s="1306"/>
      <c r="AC8" s="1306"/>
      <c r="AD8" s="1306"/>
      <c r="AE8" s="1306"/>
      <c r="AF8" s="1306"/>
    </row>
    <row r="9" spans="1:32" ht="12">
      <c r="A9" s="1279"/>
      <c r="B9" s="1279"/>
      <c r="C9" s="1275"/>
      <c r="D9" s="1275"/>
      <c r="E9" s="1275"/>
      <c r="F9" s="1275"/>
      <c r="G9" s="1275"/>
      <c r="H9" s="1275"/>
      <c r="I9" s="1275"/>
      <c r="J9" s="1275"/>
      <c r="K9" s="1275"/>
      <c r="L9" s="1275"/>
      <c r="M9" s="1275"/>
      <c r="N9" s="1275"/>
      <c r="O9" s="1275"/>
      <c r="P9" s="1275"/>
      <c r="Q9" s="1279"/>
      <c r="R9" s="1279"/>
      <c r="S9" s="1306"/>
      <c r="T9" s="1306"/>
      <c r="U9" s="1306"/>
      <c r="V9" s="1306"/>
      <c r="W9" s="1306"/>
      <c r="X9" s="1306"/>
      <c r="Y9" s="1306"/>
      <c r="Z9" s="1306"/>
      <c r="AA9" s="1306"/>
      <c r="AB9" s="1306"/>
      <c r="AC9" s="1306"/>
      <c r="AD9" s="1306"/>
      <c r="AE9" s="1306"/>
      <c r="AF9" s="1306"/>
    </row>
    <row r="10" spans="1:32" ht="12">
      <c r="A10" s="1279"/>
      <c r="B10" s="1279"/>
      <c r="C10" s="1275"/>
      <c r="D10" s="1275"/>
      <c r="E10" s="1275"/>
      <c r="F10" s="1275"/>
      <c r="G10" s="1275"/>
      <c r="H10" s="1275"/>
      <c r="I10" s="1275"/>
      <c r="J10" s="1275"/>
      <c r="K10" s="1275"/>
      <c r="L10" s="1275"/>
      <c r="M10" s="1275"/>
      <c r="N10" s="1275"/>
      <c r="O10" s="1275"/>
      <c r="P10" s="1275"/>
      <c r="Q10" s="1279"/>
      <c r="R10" s="1279"/>
      <c r="S10" s="1306"/>
      <c r="T10" s="1306"/>
      <c r="U10" s="1306"/>
      <c r="V10" s="1306"/>
      <c r="W10" s="1306"/>
      <c r="X10" s="1306"/>
      <c r="Y10" s="1306"/>
      <c r="Z10" s="1306"/>
      <c r="AA10" s="1306"/>
      <c r="AB10" s="1306"/>
      <c r="AC10" s="1306"/>
      <c r="AD10" s="1306"/>
      <c r="AE10" s="1306"/>
      <c r="AF10" s="1306"/>
    </row>
    <row r="11" spans="1:32" ht="12">
      <c r="A11" s="1279"/>
      <c r="B11" s="1279"/>
      <c r="C11" s="1275"/>
      <c r="D11" s="1275"/>
      <c r="E11" s="1275"/>
      <c r="F11" s="1275"/>
      <c r="G11" s="1275"/>
      <c r="H11" s="1275"/>
      <c r="I11" s="1275"/>
      <c r="J11" s="1275"/>
      <c r="K11" s="1275"/>
      <c r="L11" s="1275"/>
      <c r="M11" s="1275"/>
      <c r="N11" s="1275"/>
      <c r="O11" s="1275"/>
      <c r="P11" s="1275"/>
      <c r="Q11" s="1279"/>
      <c r="R11" s="1279"/>
      <c r="S11" s="1306"/>
      <c r="T11" s="1306"/>
      <c r="U11" s="1306"/>
      <c r="V11" s="1306"/>
      <c r="W11" s="1306"/>
      <c r="X11" s="1306"/>
      <c r="Y11" s="1306"/>
      <c r="Z11" s="1306"/>
      <c r="AA11" s="1306"/>
      <c r="AB11" s="1306"/>
      <c r="AC11" s="1306"/>
      <c r="AD11" s="1306"/>
      <c r="AE11" s="1306"/>
      <c r="AF11" s="1306"/>
    </row>
    <row r="12" spans="1:32" ht="12">
      <c r="A12" s="1280"/>
      <c r="B12" s="1280"/>
      <c r="C12" s="1276"/>
      <c r="D12" s="1276"/>
      <c r="E12" s="1276"/>
      <c r="F12" s="1276"/>
      <c r="G12" s="1276"/>
      <c r="H12" s="1276"/>
      <c r="I12" s="1276"/>
      <c r="J12" s="1276"/>
      <c r="K12" s="1276"/>
      <c r="L12" s="1276"/>
      <c r="M12" s="1276"/>
      <c r="N12" s="1276"/>
      <c r="O12" s="1276"/>
      <c r="P12" s="1276"/>
      <c r="Q12" s="1280"/>
      <c r="R12" s="1280"/>
      <c r="S12" s="1307"/>
      <c r="T12" s="1307"/>
      <c r="U12" s="1307"/>
      <c r="V12" s="1307"/>
      <c r="W12" s="1307"/>
      <c r="X12" s="1307"/>
      <c r="Y12" s="1307"/>
      <c r="Z12" s="1307"/>
      <c r="AA12" s="1307"/>
      <c r="AB12" s="1307"/>
      <c r="AC12" s="1307"/>
      <c r="AD12" s="1307"/>
      <c r="AE12" s="1307"/>
      <c r="AF12" s="1307"/>
    </row>
    <row r="13" spans="1:32" ht="19.5" customHeight="1">
      <c r="A13" s="832"/>
      <c r="B13" s="832"/>
      <c r="C13" s="1225" t="s">
        <v>927</v>
      </c>
      <c r="D13" s="1225"/>
      <c r="E13" s="1225"/>
      <c r="F13" s="1225"/>
      <c r="G13" s="1225"/>
      <c r="H13" s="1225"/>
      <c r="I13" s="1225"/>
      <c r="J13" s="1225"/>
      <c r="K13" s="1225"/>
      <c r="L13" s="1225"/>
      <c r="M13" s="1225"/>
      <c r="N13" s="1225"/>
      <c r="O13" s="1225"/>
      <c r="P13" s="1225"/>
      <c r="Q13" s="832"/>
      <c r="R13" s="832"/>
      <c r="S13" s="832"/>
      <c r="T13" s="832"/>
      <c r="U13" s="832"/>
      <c r="V13" s="832"/>
      <c r="W13" s="832"/>
      <c r="X13" s="830"/>
      <c r="Y13" s="830"/>
      <c r="Z13" s="830"/>
      <c r="AA13" s="830"/>
      <c r="AB13" s="830"/>
      <c r="AC13" s="830"/>
      <c r="AD13" s="830"/>
      <c r="AE13" s="830"/>
      <c r="AF13" s="831"/>
    </row>
    <row r="14" spans="1:32" ht="24" customHeight="1">
      <c r="A14" s="832"/>
      <c r="B14" s="832"/>
      <c r="C14" s="1297" t="s">
        <v>903</v>
      </c>
      <c r="D14" s="1226" t="s">
        <v>965</v>
      </c>
      <c r="E14" s="1227"/>
      <c r="F14" s="1227"/>
      <c r="G14" s="1227"/>
      <c r="H14" s="1227"/>
      <c r="I14" s="1228"/>
      <c r="J14" s="1308"/>
      <c r="K14" s="1226" t="s">
        <v>966</v>
      </c>
      <c r="L14" s="1227"/>
      <c r="M14" s="1227"/>
      <c r="N14" s="1227"/>
      <c r="O14" s="1227"/>
      <c r="P14" s="1228"/>
      <c r="Q14" s="832"/>
      <c r="R14" s="832"/>
      <c r="S14" s="1297" t="s">
        <v>903</v>
      </c>
      <c r="T14" s="1226" t="s">
        <v>965</v>
      </c>
      <c r="U14" s="1227"/>
      <c r="V14" s="1227"/>
      <c r="W14" s="1227"/>
      <c r="X14" s="1227"/>
      <c r="Y14" s="1228"/>
      <c r="Z14" s="1298"/>
      <c r="AA14" s="1226" t="s">
        <v>966</v>
      </c>
      <c r="AB14" s="1227"/>
      <c r="AC14" s="1227"/>
      <c r="AD14" s="1227"/>
      <c r="AE14" s="1227"/>
      <c r="AF14" s="1228"/>
    </row>
    <row r="15" spans="1:32" ht="15" customHeight="1">
      <c r="A15" s="832"/>
      <c r="B15" s="832"/>
      <c r="C15" s="1287"/>
      <c r="D15" s="1229"/>
      <c r="E15" s="1230"/>
      <c r="F15" s="1230"/>
      <c r="G15" s="1230"/>
      <c r="H15" s="1230"/>
      <c r="I15" s="1231"/>
      <c r="J15" s="1309"/>
      <c r="K15" s="1229"/>
      <c r="L15" s="1230"/>
      <c r="M15" s="1230"/>
      <c r="N15" s="1230"/>
      <c r="O15" s="1230"/>
      <c r="P15" s="1231"/>
      <c r="Q15" s="832"/>
      <c r="R15" s="832"/>
      <c r="S15" s="1287"/>
      <c r="T15" s="1229"/>
      <c r="U15" s="1230"/>
      <c r="V15" s="1230"/>
      <c r="W15" s="1230"/>
      <c r="X15" s="1230"/>
      <c r="Y15" s="1231"/>
      <c r="Z15" s="1287"/>
      <c r="AA15" s="1229"/>
      <c r="AB15" s="1230"/>
      <c r="AC15" s="1230"/>
      <c r="AD15" s="1230"/>
      <c r="AE15" s="1230"/>
      <c r="AF15" s="1231"/>
    </row>
    <row r="16" spans="1:32" ht="21">
      <c r="A16" s="834"/>
      <c r="B16" s="834"/>
      <c r="C16" s="835"/>
      <c r="D16" s="1300" t="s">
        <v>904</v>
      </c>
      <c r="E16" s="1285"/>
      <c r="F16" s="1285"/>
      <c r="G16" s="1300" t="s">
        <v>905</v>
      </c>
      <c r="H16" s="1285"/>
      <c r="I16" s="1285"/>
      <c r="J16" s="836"/>
      <c r="K16" s="1299" t="s">
        <v>904</v>
      </c>
      <c r="L16" s="1285"/>
      <c r="M16" s="1285"/>
      <c r="N16" s="1300" t="s">
        <v>905</v>
      </c>
      <c r="O16" s="1285"/>
      <c r="P16" s="1286"/>
      <c r="Q16" s="834"/>
      <c r="R16" s="834"/>
      <c r="S16" s="835"/>
      <c r="T16" s="1300" t="s">
        <v>904</v>
      </c>
      <c r="U16" s="1285"/>
      <c r="V16" s="1285"/>
      <c r="W16" s="1300" t="s">
        <v>905</v>
      </c>
      <c r="X16" s="1285"/>
      <c r="Y16" s="1285"/>
      <c r="Z16" s="836"/>
      <c r="AA16" s="1299" t="s">
        <v>904</v>
      </c>
      <c r="AB16" s="1285"/>
      <c r="AC16" s="1285"/>
      <c r="AD16" s="1300" t="s">
        <v>905</v>
      </c>
      <c r="AE16" s="1285"/>
      <c r="AF16" s="1286"/>
    </row>
    <row r="17" spans="1:32" ht="16.5" customHeight="1">
      <c r="A17" s="837"/>
      <c r="B17" s="1303" t="s">
        <v>906</v>
      </c>
      <c r="C17" s="838">
        <v>0.20833333333333334</v>
      </c>
      <c r="D17" s="1252" t="s">
        <v>640</v>
      </c>
      <c r="E17" s="1253"/>
      <c r="F17" s="1253"/>
      <c r="G17" s="1253"/>
      <c r="H17" s="1253"/>
      <c r="I17" s="1254"/>
      <c r="J17" s="842">
        <v>0.20833333333333334</v>
      </c>
      <c r="K17" s="1252" t="s">
        <v>640</v>
      </c>
      <c r="L17" s="1253"/>
      <c r="M17" s="1253"/>
      <c r="N17" s="1253"/>
      <c r="O17" s="1253"/>
      <c r="P17" s="1254"/>
      <c r="Q17" s="837"/>
      <c r="R17" s="1303" t="s">
        <v>906</v>
      </c>
      <c r="S17" s="838">
        <v>0.20833333333333334</v>
      </c>
      <c r="T17" s="1252" t="s">
        <v>640</v>
      </c>
      <c r="U17" s="1253"/>
      <c r="V17" s="1253"/>
      <c r="W17" s="1253"/>
      <c r="X17" s="1253"/>
      <c r="Y17" s="1254"/>
      <c r="Z17" s="842">
        <v>0.20833333333333334</v>
      </c>
      <c r="AA17" s="1252" t="s">
        <v>640</v>
      </c>
      <c r="AB17" s="1253"/>
      <c r="AC17" s="1253"/>
      <c r="AD17" s="1253"/>
      <c r="AE17" s="1253"/>
      <c r="AF17" s="1254"/>
    </row>
    <row r="18" spans="1:32" ht="16.5" customHeight="1">
      <c r="A18" s="837"/>
      <c r="B18" s="1302"/>
      <c r="C18" s="846">
        <v>0.21875</v>
      </c>
      <c r="D18" s="1255"/>
      <c r="E18" s="1256"/>
      <c r="F18" s="1256"/>
      <c r="G18" s="1256"/>
      <c r="H18" s="1256"/>
      <c r="I18" s="1257"/>
      <c r="J18" s="850">
        <v>0.21875</v>
      </c>
      <c r="K18" s="1255"/>
      <c r="L18" s="1256"/>
      <c r="M18" s="1256"/>
      <c r="N18" s="1256"/>
      <c r="O18" s="1256"/>
      <c r="P18" s="1257"/>
      <c r="Q18" s="837"/>
      <c r="R18" s="1302"/>
      <c r="S18" s="846">
        <v>0.21875</v>
      </c>
      <c r="T18" s="1255"/>
      <c r="U18" s="1256"/>
      <c r="V18" s="1256"/>
      <c r="W18" s="1256"/>
      <c r="X18" s="1256"/>
      <c r="Y18" s="1257"/>
      <c r="Z18" s="850">
        <v>0.21875</v>
      </c>
      <c r="AA18" s="1255"/>
      <c r="AB18" s="1256"/>
      <c r="AC18" s="1256"/>
      <c r="AD18" s="1256"/>
      <c r="AE18" s="1256"/>
      <c r="AF18" s="1257"/>
    </row>
    <row r="19" spans="1:32" ht="16.5" customHeight="1">
      <c r="A19" s="837"/>
      <c r="B19" s="1302"/>
      <c r="C19" s="854">
        <v>0.22916666666666666</v>
      </c>
      <c r="D19" s="1255"/>
      <c r="E19" s="1256"/>
      <c r="F19" s="1256"/>
      <c r="G19" s="1256"/>
      <c r="H19" s="1256"/>
      <c r="I19" s="1257"/>
      <c r="J19" s="855">
        <v>0.22916666666666666</v>
      </c>
      <c r="K19" s="1255"/>
      <c r="L19" s="1256"/>
      <c r="M19" s="1256"/>
      <c r="N19" s="1256"/>
      <c r="O19" s="1256"/>
      <c r="P19" s="1257"/>
      <c r="Q19" s="837"/>
      <c r="R19" s="1302"/>
      <c r="S19" s="854">
        <v>0.22916666666666666</v>
      </c>
      <c r="T19" s="1255"/>
      <c r="U19" s="1256"/>
      <c r="V19" s="1256"/>
      <c r="W19" s="1256"/>
      <c r="X19" s="1256"/>
      <c r="Y19" s="1257"/>
      <c r="Z19" s="855">
        <v>0.22916666666666666</v>
      </c>
      <c r="AA19" s="1255"/>
      <c r="AB19" s="1256"/>
      <c r="AC19" s="1256"/>
      <c r="AD19" s="1256"/>
      <c r="AE19" s="1256"/>
      <c r="AF19" s="1257"/>
    </row>
    <row r="20" spans="1:32" ht="16.5" customHeight="1">
      <c r="A20" s="837"/>
      <c r="B20" s="1282"/>
      <c r="C20" s="856">
        <v>0.23958333333333334</v>
      </c>
      <c r="D20" s="1258"/>
      <c r="E20" s="1259"/>
      <c r="F20" s="1259"/>
      <c r="G20" s="1259"/>
      <c r="H20" s="1259"/>
      <c r="I20" s="1260"/>
      <c r="J20" s="860">
        <v>0.23958333333333334</v>
      </c>
      <c r="K20" s="1258"/>
      <c r="L20" s="1259"/>
      <c r="M20" s="1259"/>
      <c r="N20" s="1259"/>
      <c r="O20" s="1259"/>
      <c r="P20" s="1260"/>
      <c r="Q20" s="837"/>
      <c r="R20" s="1282"/>
      <c r="S20" s="856">
        <v>0.23958333333333334</v>
      </c>
      <c r="T20" s="1258"/>
      <c r="U20" s="1259"/>
      <c r="V20" s="1259"/>
      <c r="W20" s="1259"/>
      <c r="X20" s="1259"/>
      <c r="Y20" s="1260"/>
      <c r="Z20" s="860">
        <v>0.23958333333333334</v>
      </c>
      <c r="AA20" s="1258"/>
      <c r="AB20" s="1259"/>
      <c r="AC20" s="1259"/>
      <c r="AD20" s="1259"/>
      <c r="AE20" s="1259"/>
      <c r="AF20" s="1260"/>
    </row>
    <row r="21" spans="1:32" ht="16.5" customHeight="1">
      <c r="A21" s="864"/>
      <c r="B21" s="864"/>
      <c r="C21" s="865">
        <v>0.25</v>
      </c>
      <c r="D21" s="866"/>
      <c r="E21" s="867"/>
      <c r="F21" s="867"/>
      <c r="G21" s="867"/>
      <c r="H21" s="867"/>
      <c r="I21" s="867"/>
      <c r="J21" s="868">
        <v>0.25</v>
      </c>
      <c r="K21" s="866"/>
      <c r="L21" s="867"/>
      <c r="M21" s="867"/>
      <c r="N21" s="867"/>
      <c r="O21" s="867"/>
      <c r="P21" s="869"/>
      <c r="Q21" s="864"/>
      <c r="R21" s="864"/>
      <c r="S21" s="865">
        <v>0.25</v>
      </c>
      <c r="T21" s="866"/>
      <c r="U21" s="867"/>
      <c r="V21" s="867"/>
      <c r="W21" s="867"/>
      <c r="X21" s="867"/>
      <c r="Y21" s="867"/>
      <c r="Z21" s="868">
        <v>0.25</v>
      </c>
      <c r="AA21" s="866"/>
      <c r="AB21" s="867"/>
      <c r="AC21" s="867"/>
      <c r="AD21" s="867"/>
      <c r="AE21" s="867"/>
      <c r="AF21" s="869"/>
    </row>
    <row r="22" spans="1:32" ht="16.5" customHeight="1">
      <c r="A22" s="870"/>
      <c r="B22" s="870"/>
      <c r="C22" s="871">
        <v>0.26041666666666669</v>
      </c>
      <c r="D22" s="872"/>
      <c r="E22" s="873"/>
      <c r="F22" s="873"/>
      <c r="G22" s="873"/>
      <c r="H22" s="873"/>
      <c r="I22" s="873"/>
      <c r="J22" s="871">
        <v>0.26041666666666669</v>
      </c>
      <c r="K22" s="872"/>
      <c r="L22" s="873"/>
      <c r="M22" s="873"/>
      <c r="N22" s="873"/>
      <c r="O22" s="873"/>
      <c r="P22" s="874"/>
      <c r="Q22" s="870"/>
      <c r="R22" s="870"/>
      <c r="S22" s="871">
        <v>0.26041666666666669</v>
      </c>
      <c r="T22" s="872"/>
      <c r="U22" s="873"/>
      <c r="V22" s="873"/>
      <c r="W22" s="873"/>
      <c r="X22" s="873"/>
      <c r="Y22" s="873"/>
      <c r="Z22" s="871">
        <v>0.26041666666666669</v>
      </c>
      <c r="AA22" s="872"/>
      <c r="AB22" s="873"/>
      <c r="AC22" s="873"/>
      <c r="AD22" s="873"/>
      <c r="AE22" s="873"/>
      <c r="AF22" s="874"/>
    </row>
    <row r="23" spans="1:32" ht="16.5" customHeight="1">
      <c r="A23" s="875"/>
      <c r="B23" s="875"/>
      <c r="C23" s="876">
        <v>0.27083333333333331</v>
      </c>
      <c r="D23" s="872"/>
      <c r="E23" s="873"/>
      <c r="F23" s="873"/>
      <c r="G23" s="873"/>
      <c r="H23" s="873"/>
      <c r="I23" s="873"/>
      <c r="J23" s="876">
        <v>0.27083333333333331</v>
      </c>
      <c r="K23" s="872"/>
      <c r="L23" s="873"/>
      <c r="M23" s="873"/>
      <c r="N23" s="873"/>
      <c r="O23" s="873"/>
      <c r="P23" s="874"/>
      <c r="Q23" s="875"/>
      <c r="R23" s="875"/>
      <c r="S23" s="876">
        <v>0.27083333333333331</v>
      </c>
      <c r="T23" s="872"/>
      <c r="U23" s="873"/>
      <c r="V23" s="873"/>
      <c r="W23" s="873"/>
      <c r="X23" s="873"/>
      <c r="Y23" s="873"/>
      <c r="Z23" s="876">
        <v>0.27083333333333331</v>
      </c>
      <c r="AA23" s="1328" t="s">
        <v>915</v>
      </c>
      <c r="AB23" s="1329"/>
      <c r="AC23" s="1329"/>
      <c r="AD23" s="1329"/>
      <c r="AE23" s="1329"/>
      <c r="AF23" s="1330"/>
    </row>
    <row r="24" spans="1:32" ht="16.5" customHeight="1">
      <c r="A24" s="877"/>
      <c r="B24" s="1301" t="s">
        <v>907</v>
      </c>
      <c r="C24" s="878">
        <v>0.28125</v>
      </c>
      <c r="D24" s="879"/>
      <c r="E24" s="880"/>
      <c r="F24" s="880"/>
      <c r="G24" s="880"/>
      <c r="H24" s="880"/>
      <c r="I24" s="880"/>
      <c r="J24" s="881">
        <v>0.28125</v>
      </c>
      <c r="K24" s="879"/>
      <c r="L24" s="880"/>
      <c r="M24" s="880"/>
      <c r="N24" s="880"/>
      <c r="O24" s="880"/>
      <c r="P24" s="882"/>
      <c r="Q24" s="877"/>
      <c r="R24" s="1301" t="s">
        <v>907</v>
      </c>
      <c r="S24" s="878">
        <v>0.28125</v>
      </c>
      <c r="T24" s="879"/>
      <c r="U24" s="880"/>
      <c r="V24" s="880"/>
      <c r="W24" s="880"/>
      <c r="X24" s="880"/>
      <c r="Y24" s="880"/>
      <c r="Z24" s="881">
        <v>0.28125</v>
      </c>
      <c r="AA24" s="1325"/>
      <c r="AB24" s="1326"/>
      <c r="AC24" s="1326"/>
      <c r="AD24" s="1326"/>
      <c r="AE24" s="1326"/>
      <c r="AF24" s="1327"/>
    </row>
    <row r="25" spans="1:32" ht="16.5" customHeight="1">
      <c r="A25" s="877"/>
      <c r="B25" s="1302"/>
      <c r="C25" s="883">
        <v>0.29166666666666669</v>
      </c>
      <c r="D25" s="884"/>
      <c r="E25" s="885"/>
      <c r="F25" s="885"/>
      <c r="G25" s="885"/>
      <c r="H25" s="885"/>
      <c r="I25" s="885"/>
      <c r="J25" s="886">
        <v>0.29166666666666669</v>
      </c>
      <c r="K25" s="884"/>
      <c r="L25" s="885"/>
      <c r="M25" s="885"/>
      <c r="N25" s="885"/>
      <c r="O25" s="885"/>
      <c r="P25" s="887"/>
      <c r="Q25" s="877"/>
      <c r="R25" s="1302"/>
      <c r="S25" s="883">
        <v>0.29166666666666669</v>
      </c>
      <c r="T25" s="884"/>
      <c r="U25" s="885"/>
      <c r="V25" s="885"/>
      <c r="W25" s="885"/>
      <c r="X25" s="885"/>
      <c r="Y25" s="885"/>
      <c r="Z25" s="886">
        <v>0.29166666666666669</v>
      </c>
      <c r="AA25" s="1319" t="s">
        <v>916</v>
      </c>
      <c r="AB25" s="1320"/>
      <c r="AC25" s="1320"/>
      <c r="AD25" s="1320"/>
      <c r="AE25" s="1320"/>
      <c r="AF25" s="1321"/>
    </row>
    <row r="26" spans="1:32" ht="16.5" customHeight="1">
      <c r="A26" s="877"/>
      <c r="B26" s="1302"/>
      <c r="C26" s="888">
        <v>0.30208333333333331</v>
      </c>
      <c r="D26" s="872"/>
      <c r="E26" s="873"/>
      <c r="F26" s="873"/>
      <c r="G26" s="873"/>
      <c r="H26" s="873"/>
      <c r="I26" s="873"/>
      <c r="J26" s="888">
        <v>0.30208333333333331</v>
      </c>
      <c r="K26" s="872"/>
      <c r="L26" s="873"/>
      <c r="M26" s="873"/>
      <c r="N26" s="873"/>
      <c r="O26" s="873"/>
      <c r="P26" s="874"/>
      <c r="Q26" s="877"/>
      <c r="R26" s="1302"/>
      <c r="S26" s="888">
        <v>0.30208333333333331</v>
      </c>
      <c r="T26" s="872"/>
      <c r="U26" s="873"/>
      <c r="V26" s="873"/>
      <c r="W26" s="873"/>
      <c r="X26" s="873"/>
      <c r="Y26" s="873"/>
      <c r="Z26" s="888">
        <v>0.30208333333333331</v>
      </c>
      <c r="AA26" s="1322"/>
      <c r="AB26" s="1323"/>
      <c r="AC26" s="1323"/>
      <c r="AD26" s="1323"/>
      <c r="AE26" s="1323"/>
      <c r="AF26" s="1324"/>
    </row>
    <row r="27" spans="1:32" ht="16.5" customHeight="1">
      <c r="A27" s="877"/>
      <c r="B27" s="1302"/>
      <c r="C27" s="889">
        <v>0.3125</v>
      </c>
      <c r="D27" s="872"/>
      <c r="E27" s="873"/>
      <c r="F27" s="873"/>
      <c r="G27" s="873"/>
      <c r="H27" s="873"/>
      <c r="I27" s="873"/>
      <c r="J27" s="889">
        <v>0.3125</v>
      </c>
      <c r="K27" s="872"/>
      <c r="L27" s="873"/>
      <c r="M27" s="873"/>
      <c r="N27" s="873"/>
      <c r="O27" s="873"/>
      <c r="P27" s="874"/>
      <c r="Q27" s="877"/>
      <c r="R27" s="1302"/>
      <c r="S27" s="889">
        <v>0.3125</v>
      </c>
      <c r="T27" s="872"/>
      <c r="U27" s="873"/>
      <c r="V27" s="873"/>
      <c r="W27" s="873"/>
      <c r="X27" s="873"/>
      <c r="Y27" s="873"/>
      <c r="Z27" s="889">
        <v>0.3125</v>
      </c>
      <c r="AA27" s="1322"/>
      <c r="AB27" s="1323"/>
      <c r="AC27" s="1323"/>
      <c r="AD27" s="1323"/>
      <c r="AE27" s="1323"/>
      <c r="AF27" s="1324"/>
    </row>
    <row r="28" spans="1:32" ht="16.5" customHeight="1">
      <c r="A28" s="877"/>
      <c r="B28" s="1302"/>
      <c r="C28" s="878">
        <v>0.32291666666666669</v>
      </c>
      <c r="D28" s="879"/>
      <c r="E28" s="880"/>
      <c r="F28" s="880"/>
      <c r="G28" s="880"/>
      <c r="H28" s="880"/>
      <c r="I28" s="880"/>
      <c r="J28" s="881">
        <v>0.32291666666666669</v>
      </c>
      <c r="K28" s="879"/>
      <c r="L28" s="880"/>
      <c r="M28" s="880"/>
      <c r="N28" s="880"/>
      <c r="O28" s="880"/>
      <c r="P28" s="882"/>
      <c r="Q28" s="877"/>
      <c r="R28" s="1302"/>
      <c r="S28" s="878">
        <v>0.32291666666666669</v>
      </c>
      <c r="T28" s="879"/>
      <c r="U28" s="880"/>
      <c r="V28" s="880"/>
      <c r="W28" s="880"/>
      <c r="X28" s="880"/>
      <c r="Y28" s="880"/>
      <c r="Z28" s="881">
        <v>0.32291666666666669</v>
      </c>
      <c r="AA28" s="1325"/>
      <c r="AB28" s="1326"/>
      <c r="AC28" s="1326"/>
      <c r="AD28" s="1326"/>
      <c r="AE28" s="1326"/>
      <c r="AF28" s="1327"/>
    </row>
    <row r="29" spans="1:32" ht="16.5" customHeight="1">
      <c r="A29" s="877"/>
      <c r="B29" s="1302"/>
      <c r="C29" s="883">
        <v>0.33333333333333331</v>
      </c>
      <c r="D29" s="884"/>
      <c r="E29" s="885"/>
      <c r="F29" s="885"/>
      <c r="G29" s="885"/>
      <c r="H29" s="885"/>
      <c r="I29" s="885"/>
      <c r="J29" s="886">
        <v>0.33333333333333331</v>
      </c>
      <c r="K29" s="884"/>
      <c r="L29" s="885"/>
      <c r="M29" s="885"/>
      <c r="N29" s="885"/>
      <c r="O29" s="885"/>
      <c r="P29" s="887"/>
      <c r="Q29" s="877"/>
      <c r="R29" s="1302"/>
      <c r="S29" s="883">
        <v>0.33333333333333331</v>
      </c>
      <c r="T29" s="884"/>
      <c r="U29" s="885"/>
      <c r="V29" s="885"/>
      <c r="W29" s="885"/>
      <c r="X29" s="885"/>
      <c r="Y29" s="885"/>
      <c r="Z29" s="886">
        <v>0.33333333333333331</v>
      </c>
      <c r="AA29" s="1249" t="s">
        <v>919</v>
      </c>
      <c r="AB29" s="1250"/>
      <c r="AC29" s="1250"/>
      <c r="AD29" s="1250"/>
      <c r="AE29" s="1250"/>
      <c r="AF29" s="1251"/>
    </row>
    <row r="30" spans="1:32" ht="16.5" customHeight="1">
      <c r="A30" s="877"/>
      <c r="B30" s="1302"/>
      <c r="C30" s="888">
        <v>0.34375</v>
      </c>
      <c r="D30" s="872"/>
      <c r="E30" s="873"/>
      <c r="F30" s="873"/>
      <c r="G30" s="873"/>
      <c r="H30" s="873"/>
      <c r="I30" s="873"/>
      <c r="J30" s="888">
        <v>0.34375</v>
      </c>
      <c r="K30" s="872"/>
      <c r="L30" s="873"/>
      <c r="M30" s="873"/>
      <c r="N30" s="873"/>
      <c r="O30" s="873"/>
      <c r="P30" s="874"/>
      <c r="Q30" s="877"/>
      <c r="R30" s="1302"/>
      <c r="S30" s="888">
        <v>0.34375</v>
      </c>
      <c r="T30" s="872"/>
      <c r="U30" s="873"/>
      <c r="V30" s="873"/>
      <c r="W30" s="873"/>
      <c r="X30" s="873"/>
      <c r="Y30" s="873"/>
      <c r="Z30" s="888">
        <v>0.34375</v>
      </c>
      <c r="AA30" s="1237"/>
      <c r="AB30" s="1238"/>
      <c r="AC30" s="1238"/>
      <c r="AD30" s="1238"/>
      <c r="AE30" s="1238"/>
      <c r="AF30" s="1239"/>
    </row>
    <row r="31" spans="1:32" ht="16.5" customHeight="1">
      <c r="A31" s="877"/>
      <c r="B31" s="1282"/>
      <c r="C31" s="889">
        <v>0.35416666666666669</v>
      </c>
      <c r="D31" s="872"/>
      <c r="E31" s="873"/>
      <c r="F31" s="873"/>
      <c r="G31" s="873"/>
      <c r="H31" s="873"/>
      <c r="I31" s="873"/>
      <c r="J31" s="889">
        <v>0.35416666666666669</v>
      </c>
      <c r="K31" s="872"/>
      <c r="L31" s="873"/>
      <c r="M31" s="873"/>
      <c r="N31" s="873"/>
      <c r="O31" s="873"/>
      <c r="P31" s="874"/>
      <c r="Q31" s="877"/>
      <c r="R31" s="1282"/>
      <c r="S31" s="889">
        <v>0.35416666666666669</v>
      </c>
      <c r="T31" s="872"/>
      <c r="U31" s="873"/>
      <c r="V31" s="873"/>
      <c r="W31" s="873"/>
      <c r="X31" s="873"/>
      <c r="Y31" s="873"/>
      <c r="Z31" s="889">
        <v>0.35416666666666669</v>
      </c>
      <c r="AA31" s="1240" t="s">
        <v>923</v>
      </c>
      <c r="AB31" s="1241"/>
      <c r="AC31" s="1241"/>
      <c r="AD31" s="1241"/>
      <c r="AE31" s="1241"/>
      <c r="AF31" s="1242"/>
    </row>
    <row r="32" spans="1:32" ht="16.5" customHeight="1" thickBot="1">
      <c r="A32" s="870"/>
      <c r="B32" s="870"/>
      <c r="C32" s="890">
        <v>0.36458333333333331</v>
      </c>
      <c r="D32" s="891"/>
      <c r="E32" s="892"/>
      <c r="F32" s="892"/>
      <c r="G32" s="892"/>
      <c r="H32" s="892"/>
      <c r="I32" s="892"/>
      <c r="J32" s="893">
        <v>0.36458333333333331</v>
      </c>
      <c r="K32" s="879"/>
      <c r="L32" s="880"/>
      <c r="M32" s="880"/>
      <c r="N32" s="880"/>
      <c r="O32" s="880"/>
      <c r="P32" s="882"/>
      <c r="Q32" s="870"/>
      <c r="R32" s="870"/>
      <c r="S32" s="894">
        <v>0.36458333333333331</v>
      </c>
      <c r="T32" s="879"/>
      <c r="U32" s="880"/>
      <c r="V32" s="880"/>
      <c r="W32" s="880"/>
      <c r="X32" s="880"/>
      <c r="Y32" s="880"/>
      <c r="Z32" s="893">
        <v>0.36458333333333331</v>
      </c>
      <c r="AA32" s="1246"/>
      <c r="AB32" s="1247"/>
      <c r="AC32" s="1247"/>
      <c r="AD32" s="1247"/>
      <c r="AE32" s="1247"/>
      <c r="AF32" s="1248"/>
    </row>
    <row r="33" spans="1:32" ht="16.5" customHeight="1" thickTop="1">
      <c r="A33" s="864"/>
      <c r="B33" s="864"/>
      <c r="C33" s="895">
        <v>0.375</v>
      </c>
      <c r="D33" s="896"/>
      <c r="E33" s="897"/>
      <c r="F33" s="897"/>
      <c r="G33" s="897"/>
      <c r="H33" s="897"/>
      <c r="I33" s="898"/>
      <c r="J33" s="868">
        <v>0.375</v>
      </c>
      <c r="K33" s="884"/>
      <c r="L33" s="885"/>
      <c r="M33" s="885"/>
      <c r="N33" s="885"/>
      <c r="O33" s="885"/>
      <c r="P33" s="887"/>
      <c r="Q33" s="864"/>
      <c r="R33" s="864"/>
      <c r="S33" s="895">
        <v>0.375</v>
      </c>
      <c r="T33" s="1310"/>
      <c r="U33" s="1311"/>
      <c r="V33" s="1311"/>
      <c r="W33" s="1311"/>
      <c r="X33" s="1311"/>
      <c r="Y33" s="1312"/>
      <c r="Z33" s="868">
        <v>0.375</v>
      </c>
      <c r="AA33" s="1319" t="s">
        <v>921</v>
      </c>
      <c r="AB33" s="1320"/>
      <c r="AC33" s="1320"/>
      <c r="AD33" s="1320"/>
      <c r="AE33" s="1320"/>
      <c r="AF33" s="1321"/>
    </row>
    <row r="34" spans="1:32" ht="16.5" customHeight="1">
      <c r="A34" s="870"/>
      <c r="B34" s="870"/>
      <c r="C34" s="871">
        <v>0.38541666666666669</v>
      </c>
      <c r="D34" s="872"/>
      <c r="E34" s="873"/>
      <c r="F34" s="873"/>
      <c r="G34" s="873"/>
      <c r="H34" s="873"/>
      <c r="I34" s="873"/>
      <c r="J34" s="871">
        <v>0.38541666666666669</v>
      </c>
      <c r="K34" s="872"/>
      <c r="L34" s="873"/>
      <c r="M34" s="873"/>
      <c r="N34" s="873"/>
      <c r="O34" s="873"/>
      <c r="P34" s="874"/>
      <c r="Q34" s="870"/>
      <c r="R34" s="870"/>
      <c r="S34" s="871">
        <v>0.38541666666666669</v>
      </c>
      <c r="T34" s="1313"/>
      <c r="U34" s="1314"/>
      <c r="V34" s="1314"/>
      <c r="W34" s="1314"/>
      <c r="X34" s="1314"/>
      <c r="Y34" s="1315"/>
      <c r="Z34" s="871">
        <v>0.38541666666666669</v>
      </c>
      <c r="AA34" s="1322"/>
      <c r="AB34" s="1323"/>
      <c r="AC34" s="1323"/>
      <c r="AD34" s="1323"/>
      <c r="AE34" s="1323"/>
      <c r="AF34" s="1324"/>
    </row>
    <row r="35" spans="1:32" ht="16.5" customHeight="1">
      <c r="A35" s="875"/>
      <c r="B35" s="875"/>
      <c r="C35" s="876">
        <v>0.39583333333333331</v>
      </c>
      <c r="D35" s="872"/>
      <c r="E35" s="873"/>
      <c r="F35" s="873"/>
      <c r="G35" s="873"/>
      <c r="H35" s="873"/>
      <c r="I35" s="873"/>
      <c r="J35" s="876">
        <v>0.39583333333333331</v>
      </c>
      <c r="K35" s="872"/>
      <c r="L35" s="873"/>
      <c r="M35" s="873"/>
      <c r="N35" s="873"/>
      <c r="O35" s="873"/>
      <c r="P35" s="874"/>
      <c r="Q35" s="875"/>
      <c r="R35" s="875"/>
      <c r="S35" s="876">
        <v>0.39583333333333331</v>
      </c>
      <c r="T35" s="1313"/>
      <c r="U35" s="1314"/>
      <c r="V35" s="1314"/>
      <c r="W35" s="1314"/>
      <c r="X35" s="1314"/>
      <c r="Y35" s="1315"/>
      <c r="Z35" s="876">
        <v>0.39583333333333331</v>
      </c>
      <c r="AA35" s="1322"/>
      <c r="AB35" s="1323"/>
      <c r="AC35" s="1323"/>
      <c r="AD35" s="1323"/>
      <c r="AE35" s="1323"/>
      <c r="AF35" s="1324"/>
    </row>
    <row r="36" spans="1:32" ht="16.5" customHeight="1" thickBot="1">
      <c r="A36" s="870"/>
      <c r="B36" s="870"/>
      <c r="C36" s="890">
        <v>0.40625</v>
      </c>
      <c r="D36" s="891"/>
      <c r="E36" s="892"/>
      <c r="F36" s="892"/>
      <c r="G36" s="892"/>
      <c r="H36" s="892"/>
      <c r="I36" s="892"/>
      <c r="J36" s="893">
        <v>0.40625</v>
      </c>
      <c r="K36" s="879"/>
      <c r="L36" s="880"/>
      <c r="M36" s="880"/>
      <c r="N36" s="880"/>
      <c r="O36" s="880"/>
      <c r="P36" s="882"/>
      <c r="Q36" s="870"/>
      <c r="R36" s="870"/>
      <c r="S36" s="890">
        <v>0.40625</v>
      </c>
      <c r="T36" s="1316"/>
      <c r="U36" s="1317"/>
      <c r="V36" s="1317"/>
      <c r="W36" s="1317"/>
      <c r="X36" s="1317"/>
      <c r="Y36" s="1318"/>
      <c r="Z36" s="893">
        <v>0.40625</v>
      </c>
      <c r="AA36" s="1325" t="s">
        <v>920</v>
      </c>
      <c r="AB36" s="1326"/>
      <c r="AC36" s="1326"/>
      <c r="AD36" s="1326"/>
      <c r="AE36" s="1326"/>
      <c r="AF36" s="1327"/>
    </row>
    <row r="37" spans="1:32" ht="16.5" customHeight="1" thickTop="1">
      <c r="A37" s="864"/>
      <c r="B37" s="864"/>
      <c r="C37" s="899">
        <v>0.41666666666666669</v>
      </c>
      <c r="D37" s="900"/>
      <c r="E37" s="901"/>
      <c r="F37" s="901"/>
      <c r="G37" s="901"/>
      <c r="H37" s="901"/>
      <c r="I37" s="902"/>
      <c r="J37" s="868">
        <v>0.41666666666666669</v>
      </c>
      <c r="K37" s="884"/>
      <c r="L37" s="885"/>
      <c r="M37" s="885"/>
      <c r="N37" s="885"/>
      <c r="O37" s="885"/>
      <c r="P37" s="887"/>
      <c r="Q37" s="864"/>
      <c r="R37" s="864"/>
      <c r="S37" s="899">
        <v>0.41666666666666669</v>
      </c>
      <c r="T37" s="1234" t="s">
        <v>910</v>
      </c>
      <c r="U37" s="1235"/>
      <c r="V37" s="1235"/>
      <c r="W37" s="1235"/>
      <c r="X37" s="1235"/>
      <c r="Y37" s="1236"/>
      <c r="Z37" s="868">
        <v>0.41666666666666669</v>
      </c>
      <c r="AA37" s="884"/>
      <c r="AB37" s="885"/>
      <c r="AC37" s="885"/>
      <c r="AD37" s="885"/>
      <c r="AE37" s="885"/>
      <c r="AF37" s="887"/>
    </row>
    <row r="38" spans="1:32" ht="16.5" customHeight="1">
      <c r="A38" s="870"/>
      <c r="B38" s="870"/>
      <c r="C38" s="871">
        <v>0.42708333333333331</v>
      </c>
      <c r="D38" s="872"/>
      <c r="E38" s="873"/>
      <c r="F38" s="873"/>
      <c r="G38" s="873"/>
      <c r="H38" s="873"/>
      <c r="I38" s="873"/>
      <c r="J38" s="871">
        <v>0.42708333333333331</v>
      </c>
      <c r="K38" s="872"/>
      <c r="L38" s="873"/>
      <c r="M38" s="873"/>
      <c r="N38" s="873"/>
      <c r="O38" s="873"/>
      <c r="P38" s="874"/>
      <c r="Q38" s="870"/>
      <c r="R38" s="870"/>
      <c r="S38" s="871">
        <v>0.42708333333333331</v>
      </c>
      <c r="T38" s="1237"/>
      <c r="U38" s="1238"/>
      <c r="V38" s="1238"/>
      <c r="W38" s="1238"/>
      <c r="X38" s="1238"/>
      <c r="Y38" s="1239"/>
      <c r="Z38" s="871">
        <v>0.42708333333333331</v>
      </c>
      <c r="AA38" s="872"/>
      <c r="AB38" s="873"/>
      <c r="AC38" s="873"/>
      <c r="AD38" s="873"/>
      <c r="AE38" s="873"/>
      <c r="AF38" s="874"/>
    </row>
    <row r="39" spans="1:32" ht="16.5" customHeight="1">
      <c r="A39" s="875"/>
      <c r="B39" s="875"/>
      <c r="C39" s="876">
        <v>0.4375</v>
      </c>
      <c r="D39" s="872"/>
      <c r="E39" s="873"/>
      <c r="F39" s="873"/>
      <c r="G39" s="873"/>
      <c r="H39" s="873"/>
      <c r="I39" s="873"/>
      <c r="J39" s="876">
        <v>0.4375</v>
      </c>
      <c r="K39" s="872"/>
      <c r="L39" s="873"/>
      <c r="M39" s="873"/>
      <c r="N39" s="873"/>
      <c r="O39" s="873"/>
      <c r="P39" s="874"/>
      <c r="Q39" s="875"/>
      <c r="R39" s="875"/>
      <c r="S39" s="876">
        <v>0.4375</v>
      </c>
      <c r="T39" s="1240" t="s">
        <v>922</v>
      </c>
      <c r="U39" s="1241"/>
      <c r="V39" s="1241"/>
      <c r="W39" s="1241"/>
      <c r="X39" s="1241"/>
      <c r="Y39" s="1242"/>
      <c r="Z39" s="876">
        <v>0.4375</v>
      </c>
      <c r="AA39" s="872"/>
      <c r="AB39" s="873"/>
      <c r="AC39" s="873"/>
      <c r="AD39" s="873"/>
      <c r="AE39" s="873"/>
      <c r="AF39" s="874"/>
    </row>
    <row r="40" spans="1:32" ht="16.5" customHeight="1">
      <c r="A40" s="870"/>
      <c r="B40" s="870"/>
      <c r="C40" s="894">
        <v>0.44791666666666669</v>
      </c>
      <c r="D40" s="879"/>
      <c r="E40" s="880"/>
      <c r="F40" s="880"/>
      <c r="G40" s="880"/>
      <c r="H40" s="880"/>
      <c r="I40" s="880"/>
      <c r="J40" s="893">
        <v>0.44791666666666669</v>
      </c>
      <c r="K40" s="879"/>
      <c r="L40" s="880"/>
      <c r="M40" s="880"/>
      <c r="N40" s="880"/>
      <c r="O40" s="880"/>
      <c r="P40" s="882"/>
      <c r="Q40" s="870"/>
      <c r="R40" s="870"/>
      <c r="S40" s="894">
        <v>0.44791666666666669</v>
      </c>
      <c r="T40" s="1243"/>
      <c r="U40" s="1244"/>
      <c r="V40" s="1244"/>
      <c r="W40" s="1244"/>
      <c r="X40" s="1244"/>
      <c r="Y40" s="1245"/>
      <c r="Z40" s="893">
        <v>0.44791666666666669</v>
      </c>
      <c r="AA40" s="879"/>
      <c r="AB40" s="880"/>
      <c r="AC40" s="880"/>
      <c r="AD40" s="880"/>
      <c r="AE40" s="880"/>
      <c r="AF40" s="882"/>
    </row>
    <row r="41" spans="1:32" ht="16.5" customHeight="1">
      <c r="A41" s="864"/>
      <c r="B41" s="864"/>
      <c r="C41" s="865">
        <v>0.45833333333333331</v>
      </c>
      <c r="D41" s="884"/>
      <c r="E41" s="885"/>
      <c r="F41" s="885"/>
      <c r="G41" s="885"/>
      <c r="H41" s="885"/>
      <c r="I41" s="885"/>
      <c r="J41" s="868">
        <v>0.45833333333333331</v>
      </c>
      <c r="K41" s="884"/>
      <c r="L41" s="885"/>
      <c r="M41" s="885"/>
      <c r="N41" s="885"/>
      <c r="O41" s="885"/>
      <c r="P41" s="887"/>
      <c r="Q41" s="864"/>
      <c r="R41" s="864"/>
      <c r="S41" s="865">
        <v>0.45833333333333331</v>
      </c>
      <c r="T41" s="1243"/>
      <c r="U41" s="1244"/>
      <c r="V41" s="1244"/>
      <c r="W41" s="1244"/>
      <c r="X41" s="1244"/>
      <c r="Y41" s="1245"/>
      <c r="Z41" s="868">
        <v>0.45833333333333331</v>
      </c>
      <c r="AA41" s="884"/>
      <c r="AB41" s="885"/>
      <c r="AC41" s="885"/>
      <c r="AD41" s="885"/>
      <c r="AE41" s="885"/>
      <c r="AF41" s="887"/>
    </row>
    <row r="42" spans="1:32" ht="16.5" customHeight="1">
      <c r="A42" s="870"/>
      <c r="B42" s="870"/>
      <c r="C42" s="871">
        <v>0.46875</v>
      </c>
      <c r="D42" s="872"/>
      <c r="E42" s="873"/>
      <c r="F42" s="873"/>
      <c r="G42" s="873"/>
      <c r="H42" s="873"/>
      <c r="I42" s="873"/>
      <c r="J42" s="871">
        <v>0.46875</v>
      </c>
      <c r="K42" s="872"/>
      <c r="L42" s="873"/>
      <c r="M42" s="873"/>
      <c r="N42" s="873"/>
      <c r="O42" s="873"/>
      <c r="P42" s="874"/>
      <c r="Q42" s="870"/>
      <c r="R42" s="870"/>
      <c r="S42" s="871">
        <v>0.46875</v>
      </c>
      <c r="T42" s="1243"/>
      <c r="U42" s="1244"/>
      <c r="V42" s="1244"/>
      <c r="W42" s="1244"/>
      <c r="X42" s="1244"/>
      <c r="Y42" s="1245"/>
      <c r="Z42" s="871">
        <v>0.46875</v>
      </c>
      <c r="AA42" s="872"/>
      <c r="AB42" s="873"/>
      <c r="AC42" s="873"/>
      <c r="AD42" s="873"/>
      <c r="AE42" s="873"/>
      <c r="AF42" s="874"/>
    </row>
    <row r="43" spans="1:32" ht="16.5" customHeight="1">
      <c r="A43" s="877"/>
      <c r="B43" s="1301" t="s">
        <v>907</v>
      </c>
      <c r="C43" s="889">
        <v>0.47916666666666669</v>
      </c>
      <c r="D43" s="872"/>
      <c r="E43" s="873"/>
      <c r="F43" s="873"/>
      <c r="G43" s="873"/>
      <c r="H43" s="873"/>
      <c r="I43" s="873"/>
      <c r="J43" s="889">
        <v>0.47916666666666669</v>
      </c>
      <c r="K43" s="872"/>
      <c r="L43" s="873"/>
      <c r="M43" s="873"/>
      <c r="N43" s="873"/>
      <c r="O43" s="873"/>
      <c r="P43" s="874"/>
      <c r="Q43" s="877"/>
      <c r="R43" s="1301" t="s">
        <v>907</v>
      </c>
      <c r="S43" s="889">
        <v>0.47916666666666669</v>
      </c>
      <c r="T43" s="1243"/>
      <c r="U43" s="1244"/>
      <c r="V43" s="1244"/>
      <c r="W43" s="1244"/>
      <c r="X43" s="1244"/>
      <c r="Y43" s="1245"/>
      <c r="Z43" s="889">
        <v>0.47916666666666669</v>
      </c>
      <c r="AA43" s="872"/>
      <c r="AB43" s="873"/>
      <c r="AC43" s="873"/>
      <c r="AD43" s="873"/>
      <c r="AE43" s="873"/>
      <c r="AF43" s="874"/>
    </row>
    <row r="44" spans="1:32" ht="16.5" customHeight="1">
      <c r="A44" s="877"/>
      <c r="B44" s="1302"/>
      <c r="C44" s="878">
        <v>0.48958333333333331</v>
      </c>
      <c r="D44" s="879"/>
      <c r="E44" s="880"/>
      <c r="F44" s="880"/>
      <c r="G44" s="880"/>
      <c r="H44" s="880"/>
      <c r="I44" s="880"/>
      <c r="J44" s="881">
        <v>0.48958333333333331</v>
      </c>
      <c r="K44" s="879"/>
      <c r="L44" s="880"/>
      <c r="M44" s="880"/>
      <c r="N44" s="880"/>
      <c r="O44" s="880"/>
      <c r="P44" s="882"/>
      <c r="Q44" s="877"/>
      <c r="R44" s="1302"/>
      <c r="S44" s="878">
        <v>0.48958333333333331</v>
      </c>
      <c r="T44" s="1246"/>
      <c r="U44" s="1247"/>
      <c r="V44" s="1247"/>
      <c r="W44" s="1247"/>
      <c r="X44" s="1247"/>
      <c r="Y44" s="1248"/>
      <c r="Z44" s="881">
        <v>0.48958333333333331</v>
      </c>
      <c r="AA44" s="879"/>
      <c r="AB44" s="880"/>
      <c r="AC44" s="880"/>
      <c r="AD44" s="880"/>
      <c r="AE44" s="880"/>
      <c r="AF44" s="882"/>
    </row>
    <row r="45" spans="1:32" ht="16.5" customHeight="1">
      <c r="A45" s="877"/>
      <c r="B45" s="1302"/>
      <c r="C45" s="883">
        <v>0.5</v>
      </c>
      <c r="D45" s="884"/>
      <c r="E45" s="885"/>
      <c r="F45" s="885"/>
      <c r="G45" s="885"/>
      <c r="H45" s="885"/>
      <c r="I45" s="885"/>
      <c r="J45" s="886">
        <v>0.5</v>
      </c>
      <c r="K45" s="884"/>
      <c r="L45" s="885"/>
      <c r="M45" s="885"/>
      <c r="N45" s="885"/>
      <c r="O45" s="885"/>
      <c r="P45" s="887"/>
      <c r="Q45" s="877"/>
      <c r="R45" s="1302"/>
      <c r="S45" s="883">
        <v>0.5</v>
      </c>
      <c r="T45" s="1249" t="s">
        <v>916</v>
      </c>
      <c r="U45" s="1250"/>
      <c r="V45" s="1250"/>
      <c r="W45" s="1250"/>
      <c r="X45" s="1250"/>
      <c r="Y45" s="1251"/>
      <c r="Z45" s="886">
        <v>0.5</v>
      </c>
      <c r="AA45" s="884"/>
      <c r="AB45" s="885"/>
      <c r="AC45" s="885"/>
      <c r="AD45" s="885"/>
      <c r="AE45" s="885"/>
      <c r="AF45" s="887"/>
    </row>
    <row r="46" spans="1:32" ht="16.5" customHeight="1">
      <c r="A46" s="877"/>
      <c r="B46" s="1302"/>
      <c r="C46" s="888">
        <v>0.51041666666666663</v>
      </c>
      <c r="D46" s="872"/>
      <c r="E46" s="873"/>
      <c r="F46" s="873"/>
      <c r="G46" s="873"/>
      <c r="H46" s="873"/>
      <c r="I46" s="873"/>
      <c r="J46" s="888">
        <v>0.51041666666666663</v>
      </c>
      <c r="K46" s="872"/>
      <c r="L46" s="873"/>
      <c r="M46" s="873"/>
      <c r="N46" s="873"/>
      <c r="O46" s="873"/>
      <c r="P46" s="874"/>
      <c r="Q46" s="877"/>
      <c r="R46" s="1302"/>
      <c r="S46" s="888">
        <v>0.51041666666666663</v>
      </c>
      <c r="T46" s="1243"/>
      <c r="U46" s="1244"/>
      <c r="V46" s="1244"/>
      <c r="W46" s="1244"/>
      <c r="X46" s="1244"/>
      <c r="Y46" s="1245"/>
      <c r="Z46" s="888">
        <v>0.51041666666666663</v>
      </c>
      <c r="AA46" s="872"/>
      <c r="AB46" s="873"/>
      <c r="AC46" s="873"/>
      <c r="AD46" s="873"/>
      <c r="AE46" s="873"/>
      <c r="AF46" s="874"/>
    </row>
    <row r="47" spans="1:32" ht="16.5" customHeight="1">
      <c r="A47" s="877"/>
      <c r="B47" s="1302"/>
      <c r="C47" s="889">
        <v>0.52083333333333337</v>
      </c>
      <c r="D47" s="872"/>
      <c r="E47" s="873"/>
      <c r="F47" s="873"/>
      <c r="G47" s="873"/>
      <c r="H47" s="873"/>
      <c r="I47" s="873"/>
      <c r="J47" s="889">
        <v>0.52083333333333337</v>
      </c>
      <c r="K47" s="872"/>
      <c r="L47" s="873"/>
      <c r="M47" s="873"/>
      <c r="N47" s="873"/>
      <c r="O47" s="873"/>
      <c r="P47" s="874"/>
      <c r="Q47" s="877"/>
      <c r="R47" s="1302"/>
      <c r="S47" s="889">
        <v>0.52083333333333337</v>
      </c>
      <c r="T47" s="1243"/>
      <c r="U47" s="1244"/>
      <c r="V47" s="1244"/>
      <c r="W47" s="1244"/>
      <c r="X47" s="1244"/>
      <c r="Y47" s="1245"/>
      <c r="Z47" s="889">
        <v>0.52083333333333337</v>
      </c>
      <c r="AA47" s="872"/>
      <c r="AB47" s="873"/>
      <c r="AC47" s="873"/>
      <c r="AD47" s="873"/>
      <c r="AE47" s="873"/>
      <c r="AF47" s="874"/>
    </row>
    <row r="48" spans="1:32" ht="16.5" customHeight="1">
      <c r="A48" s="877"/>
      <c r="B48" s="1302"/>
      <c r="C48" s="878">
        <v>0.53125</v>
      </c>
      <c r="D48" s="879"/>
      <c r="E48" s="880"/>
      <c r="F48" s="880"/>
      <c r="G48" s="880"/>
      <c r="H48" s="880"/>
      <c r="I48" s="880"/>
      <c r="J48" s="881">
        <v>0.53125</v>
      </c>
      <c r="K48" s="879"/>
      <c r="L48" s="880"/>
      <c r="M48" s="880"/>
      <c r="N48" s="880"/>
      <c r="O48" s="880"/>
      <c r="P48" s="882"/>
      <c r="Q48" s="877"/>
      <c r="R48" s="1302"/>
      <c r="S48" s="878">
        <v>0.53125</v>
      </c>
      <c r="T48" s="1243"/>
      <c r="U48" s="1244"/>
      <c r="V48" s="1244"/>
      <c r="W48" s="1244"/>
      <c r="X48" s="1244"/>
      <c r="Y48" s="1245"/>
      <c r="Z48" s="881">
        <v>0.53125</v>
      </c>
      <c r="AA48" s="879"/>
      <c r="AB48" s="880"/>
      <c r="AC48" s="880"/>
      <c r="AD48" s="880"/>
      <c r="AE48" s="880"/>
      <c r="AF48" s="882"/>
    </row>
    <row r="49" spans="1:32" ht="16.5" customHeight="1">
      <c r="A49" s="877"/>
      <c r="B49" s="1302"/>
      <c r="C49" s="883">
        <v>0.54166666666666663</v>
      </c>
      <c r="D49" s="884"/>
      <c r="E49" s="885"/>
      <c r="F49" s="885"/>
      <c r="G49" s="885"/>
      <c r="H49" s="885"/>
      <c r="I49" s="885"/>
      <c r="J49" s="886">
        <v>0.54166666666666663</v>
      </c>
      <c r="K49" s="903"/>
      <c r="L49" s="885"/>
      <c r="M49" s="885"/>
      <c r="N49" s="885"/>
      <c r="O49" s="885"/>
      <c r="P49" s="887"/>
      <c r="Q49" s="877"/>
      <c r="R49" s="1302"/>
      <c r="S49" s="883">
        <v>0.54166666666666663</v>
      </c>
      <c r="T49" s="1270" t="s">
        <v>929</v>
      </c>
      <c r="U49" s="1270"/>
      <c r="V49" s="1270"/>
      <c r="W49" s="1270"/>
      <c r="X49" s="1270"/>
      <c r="Y49" s="1270"/>
      <c r="Z49" s="952">
        <v>0.54166666666666663</v>
      </c>
      <c r="AA49" s="903"/>
      <c r="AB49" s="885"/>
      <c r="AC49" s="885"/>
      <c r="AD49" s="885"/>
      <c r="AE49" s="885"/>
      <c r="AF49" s="887"/>
    </row>
    <row r="50" spans="1:32" ht="16.5" customHeight="1">
      <c r="A50" s="877"/>
      <c r="B50" s="1282"/>
      <c r="C50" s="888">
        <v>0.55208333333333337</v>
      </c>
      <c r="D50" s="872"/>
      <c r="E50" s="873"/>
      <c r="F50" s="873"/>
      <c r="G50" s="873"/>
      <c r="H50" s="873"/>
      <c r="I50" s="873"/>
      <c r="J50" s="888">
        <v>0.55208333333333337</v>
      </c>
      <c r="K50" s="872"/>
      <c r="L50" s="873"/>
      <c r="M50" s="873"/>
      <c r="N50" s="873"/>
      <c r="O50" s="873"/>
      <c r="P50" s="874"/>
      <c r="Q50" s="877"/>
      <c r="R50" s="1282"/>
      <c r="S50" s="888">
        <v>0.55208333333333337</v>
      </c>
      <c r="T50" s="1270"/>
      <c r="U50" s="1270"/>
      <c r="V50" s="1270"/>
      <c r="W50" s="1270"/>
      <c r="X50" s="1270"/>
      <c r="Y50" s="1270"/>
      <c r="Z50" s="953">
        <v>0.55208333333333337</v>
      </c>
      <c r="AA50" s="872"/>
      <c r="AB50" s="873"/>
      <c r="AC50" s="873"/>
      <c r="AD50" s="873"/>
      <c r="AE50" s="873"/>
      <c r="AF50" s="874"/>
    </row>
    <row r="51" spans="1:32" ht="16.5" customHeight="1">
      <c r="A51" s="875"/>
      <c r="B51" s="875"/>
      <c r="C51" s="876">
        <v>0.5625</v>
      </c>
      <c r="D51" s="872"/>
      <c r="E51" s="873"/>
      <c r="F51" s="873"/>
      <c r="G51" s="873"/>
      <c r="H51" s="873"/>
      <c r="I51" s="873"/>
      <c r="J51" s="876">
        <v>0.5625</v>
      </c>
      <c r="K51" s="872"/>
      <c r="L51" s="873"/>
      <c r="M51" s="873"/>
      <c r="N51" s="873"/>
      <c r="O51" s="873"/>
      <c r="P51" s="874"/>
      <c r="Q51" s="875"/>
      <c r="R51" s="875"/>
      <c r="S51" s="876">
        <v>0.5625</v>
      </c>
      <c r="T51" s="1271" t="s">
        <v>911</v>
      </c>
      <c r="U51" s="1272"/>
      <c r="V51" s="1273"/>
      <c r="W51" s="1244" t="s">
        <v>912</v>
      </c>
      <c r="X51" s="1244"/>
      <c r="Y51" s="1245"/>
      <c r="Z51" s="904">
        <v>0.5625</v>
      </c>
      <c r="AA51" s="873"/>
      <c r="AB51" s="873"/>
      <c r="AC51" s="873"/>
      <c r="AD51" s="873"/>
      <c r="AE51" s="873"/>
      <c r="AF51" s="874"/>
    </row>
    <row r="52" spans="1:32" ht="16.5" customHeight="1">
      <c r="A52" s="870"/>
      <c r="B52" s="870"/>
      <c r="C52" s="894">
        <v>0.57291666666666663</v>
      </c>
      <c r="D52" s="879"/>
      <c r="E52" s="880"/>
      <c r="F52" s="880"/>
      <c r="G52" s="880"/>
      <c r="H52" s="880"/>
      <c r="I52" s="880"/>
      <c r="J52" s="893">
        <v>0.57291666666666663</v>
      </c>
      <c r="K52" s="879"/>
      <c r="L52" s="880"/>
      <c r="M52" s="880"/>
      <c r="N52" s="880"/>
      <c r="O52" s="880"/>
      <c r="P52" s="882"/>
      <c r="Q52" s="870"/>
      <c r="R52" s="870"/>
      <c r="S52" s="894">
        <v>0.57291666666666663</v>
      </c>
      <c r="T52" s="1243"/>
      <c r="U52" s="1244"/>
      <c r="V52" s="1245"/>
      <c r="W52" s="1244"/>
      <c r="X52" s="1244"/>
      <c r="Y52" s="1245"/>
      <c r="Z52" s="905">
        <v>0.57291666666666663</v>
      </c>
      <c r="AA52" s="880"/>
      <c r="AB52" s="880"/>
      <c r="AC52" s="880"/>
      <c r="AD52" s="880"/>
      <c r="AE52" s="880"/>
      <c r="AF52" s="882"/>
    </row>
    <row r="53" spans="1:32" ht="16.5" customHeight="1">
      <c r="A53" s="864"/>
      <c r="B53" s="864"/>
      <c r="C53" s="865">
        <v>0.58333333333333337</v>
      </c>
      <c r="D53" s="884"/>
      <c r="E53" s="885"/>
      <c r="F53" s="885"/>
      <c r="G53" s="885"/>
      <c r="H53" s="885"/>
      <c r="I53" s="885"/>
      <c r="J53" s="906">
        <v>0.58333333333333337</v>
      </c>
      <c r="K53" s="885"/>
      <c r="L53" s="885"/>
      <c r="M53" s="907"/>
      <c r="N53" s="885"/>
      <c r="O53" s="885"/>
      <c r="P53" s="887"/>
      <c r="Q53" s="864"/>
      <c r="R53" s="864"/>
      <c r="S53" s="865">
        <v>0.58333333333333337</v>
      </c>
      <c r="T53" s="1243"/>
      <c r="U53" s="1244"/>
      <c r="V53" s="1245"/>
      <c r="W53" s="1244"/>
      <c r="X53" s="1244"/>
      <c r="Y53" s="1245"/>
      <c r="Z53" s="906">
        <v>0.58333333333333337</v>
      </c>
      <c r="AA53" s="885"/>
      <c r="AB53" s="885"/>
      <c r="AC53" s="907"/>
      <c r="AD53" s="885"/>
      <c r="AE53" s="885"/>
      <c r="AF53" s="887"/>
    </row>
    <row r="54" spans="1:32" ht="16.5" customHeight="1">
      <c r="A54" s="870"/>
      <c r="B54" s="870"/>
      <c r="C54" s="871">
        <v>0.59375</v>
      </c>
      <c r="D54" s="872"/>
      <c r="E54" s="873"/>
      <c r="F54" s="873"/>
      <c r="G54" s="873"/>
      <c r="H54" s="873"/>
      <c r="I54" s="873"/>
      <c r="J54" s="908">
        <v>0.59375</v>
      </c>
      <c r="K54" s="909"/>
      <c r="L54" s="873"/>
      <c r="M54" s="873"/>
      <c r="N54" s="873"/>
      <c r="O54" s="873"/>
      <c r="P54" s="874"/>
      <c r="Q54" s="870"/>
      <c r="R54" s="870"/>
      <c r="S54" s="871">
        <v>0.59375</v>
      </c>
      <c r="T54" s="1243"/>
      <c r="U54" s="1244"/>
      <c r="V54" s="1245"/>
      <c r="W54" s="1244"/>
      <c r="X54" s="1244"/>
      <c r="Y54" s="1245"/>
      <c r="Z54" s="908">
        <v>0.59375</v>
      </c>
      <c r="AA54" s="909"/>
      <c r="AB54" s="873"/>
      <c r="AC54" s="873"/>
      <c r="AD54" s="873"/>
      <c r="AE54" s="873"/>
      <c r="AF54" s="874"/>
    </row>
    <row r="55" spans="1:32" ht="16.5" customHeight="1">
      <c r="A55" s="875"/>
      <c r="B55" s="875"/>
      <c r="C55" s="876">
        <v>0.60416666666666663</v>
      </c>
      <c r="D55" s="872"/>
      <c r="E55" s="873"/>
      <c r="F55" s="873"/>
      <c r="G55" s="873"/>
      <c r="H55" s="873"/>
      <c r="I55" s="873"/>
      <c r="J55" s="904">
        <v>0.60416666666666663</v>
      </c>
      <c r="K55" s="873"/>
      <c r="L55" s="873"/>
      <c r="M55" s="873"/>
      <c r="N55" s="873"/>
      <c r="O55" s="873"/>
      <c r="P55" s="874"/>
      <c r="Q55" s="875"/>
      <c r="R55" s="875"/>
      <c r="S55" s="876">
        <v>0.60416666666666663</v>
      </c>
      <c r="T55" s="1243"/>
      <c r="U55" s="1244"/>
      <c r="V55" s="1245"/>
      <c r="W55" s="1244"/>
      <c r="X55" s="1244"/>
      <c r="Y55" s="1245"/>
      <c r="Z55" s="904">
        <v>0.60416666666666663</v>
      </c>
      <c r="AA55" s="873"/>
      <c r="AB55" s="873"/>
      <c r="AC55" s="873"/>
      <c r="AD55" s="873"/>
      <c r="AE55" s="873"/>
      <c r="AF55" s="874"/>
    </row>
    <row r="56" spans="1:32" ht="16.5" customHeight="1">
      <c r="A56" s="870"/>
      <c r="B56" s="870"/>
      <c r="C56" s="894">
        <v>0.61458333333333337</v>
      </c>
      <c r="D56" s="879"/>
      <c r="E56" s="880"/>
      <c r="F56" s="880"/>
      <c r="G56" s="880"/>
      <c r="H56" s="880"/>
      <c r="I56" s="880"/>
      <c r="J56" s="905">
        <v>0.61458333333333337</v>
      </c>
      <c r="K56" s="880"/>
      <c r="L56" s="880"/>
      <c r="M56" s="880"/>
      <c r="N56" s="880"/>
      <c r="O56" s="880"/>
      <c r="P56" s="882"/>
      <c r="Q56" s="870"/>
      <c r="R56" s="870"/>
      <c r="S56" s="894">
        <v>0.61458333333333337</v>
      </c>
      <c r="T56" s="1243"/>
      <c r="U56" s="1244"/>
      <c r="V56" s="1245"/>
      <c r="W56" s="1244"/>
      <c r="X56" s="1244"/>
      <c r="Y56" s="1245"/>
      <c r="Z56" s="905">
        <v>0.61458333333333337</v>
      </c>
      <c r="AA56" s="880"/>
      <c r="AB56" s="880"/>
      <c r="AC56" s="880"/>
      <c r="AD56" s="880"/>
      <c r="AE56" s="880"/>
      <c r="AF56" s="882"/>
    </row>
    <row r="57" spans="1:32" ht="16.5" customHeight="1">
      <c r="A57" s="864"/>
      <c r="B57" s="864"/>
      <c r="C57" s="865">
        <v>0.625</v>
      </c>
      <c r="D57" s="884"/>
      <c r="E57" s="885"/>
      <c r="F57" s="885"/>
      <c r="G57" s="885"/>
      <c r="H57" s="885"/>
      <c r="I57" s="885"/>
      <c r="J57" s="906">
        <v>0.625</v>
      </c>
      <c r="K57" s="907"/>
      <c r="L57" s="885"/>
      <c r="M57" s="907"/>
      <c r="N57" s="885"/>
      <c r="O57" s="885"/>
      <c r="P57" s="887"/>
      <c r="Q57" s="864"/>
      <c r="R57" s="864"/>
      <c r="S57" s="865">
        <v>0.625</v>
      </c>
      <c r="T57" s="1243"/>
      <c r="U57" s="1244"/>
      <c r="V57" s="1245"/>
      <c r="W57" s="1244"/>
      <c r="X57" s="1244"/>
      <c r="Y57" s="1245"/>
      <c r="Z57" s="906">
        <v>0.625</v>
      </c>
      <c r="AA57" s="907"/>
      <c r="AB57" s="885"/>
      <c r="AC57" s="907"/>
      <c r="AD57" s="885"/>
      <c r="AE57" s="885"/>
      <c r="AF57" s="887"/>
    </row>
    <row r="58" spans="1:32" ht="16.5" customHeight="1">
      <c r="A58" s="870"/>
      <c r="B58" s="870"/>
      <c r="C58" s="871">
        <v>0.63541666666666663</v>
      </c>
      <c r="D58" s="872"/>
      <c r="E58" s="873"/>
      <c r="F58" s="873"/>
      <c r="G58" s="873"/>
      <c r="H58" s="873"/>
      <c r="I58" s="873"/>
      <c r="J58" s="908">
        <v>0.63541666666666663</v>
      </c>
      <c r="K58" s="909"/>
      <c r="L58" s="873"/>
      <c r="M58" s="873"/>
      <c r="N58" s="873"/>
      <c r="O58" s="873"/>
      <c r="P58" s="874"/>
      <c r="Q58" s="870"/>
      <c r="R58" s="870"/>
      <c r="S58" s="871">
        <v>0.63541666666666663</v>
      </c>
      <c r="T58" s="1243"/>
      <c r="U58" s="1244"/>
      <c r="V58" s="1245"/>
      <c r="W58" s="1244"/>
      <c r="X58" s="1244"/>
      <c r="Y58" s="1245"/>
      <c r="Z58" s="908">
        <v>0.63541666666666663</v>
      </c>
      <c r="AA58" s="909"/>
      <c r="AB58" s="873"/>
      <c r="AC58" s="873"/>
      <c r="AD58" s="873"/>
      <c r="AE58" s="873"/>
      <c r="AF58" s="874"/>
    </row>
    <row r="59" spans="1:32" ht="16.5" customHeight="1">
      <c r="A59" s="875"/>
      <c r="B59" s="875"/>
      <c r="C59" s="876">
        <v>0.64583333333333337</v>
      </c>
      <c r="D59" s="872"/>
      <c r="E59" s="873"/>
      <c r="F59" s="873"/>
      <c r="G59" s="873"/>
      <c r="H59" s="873"/>
      <c r="I59" s="873"/>
      <c r="J59" s="904">
        <v>0.64583333333333337</v>
      </c>
      <c r="K59" s="873"/>
      <c r="L59" s="873"/>
      <c r="M59" s="873"/>
      <c r="N59" s="873"/>
      <c r="O59" s="873"/>
      <c r="P59" s="874"/>
      <c r="Q59" s="875"/>
      <c r="R59" s="875"/>
      <c r="S59" s="876">
        <v>0.64583333333333337</v>
      </c>
      <c r="T59" s="1237"/>
      <c r="U59" s="1238"/>
      <c r="V59" s="1239"/>
      <c r="W59" s="1238"/>
      <c r="X59" s="1238"/>
      <c r="Y59" s="1239"/>
      <c r="Z59" s="904">
        <v>0.64583333333333337</v>
      </c>
      <c r="AA59" s="873"/>
      <c r="AB59" s="873"/>
      <c r="AC59" s="873"/>
      <c r="AD59" s="873"/>
      <c r="AE59" s="873"/>
      <c r="AF59" s="874"/>
    </row>
    <row r="60" spans="1:32" ht="16.5" customHeight="1">
      <c r="A60" s="870"/>
      <c r="B60" s="870"/>
      <c r="C60" s="894">
        <v>0.65625</v>
      </c>
      <c r="D60" s="879"/>
      <c r="E60" s="880"/>
      <c r="F60" s="880"/>
      <c r="G60" s="880"/>
      <c r="H60" s="880"/>
      <c r="I60" s="880"/>
      <c r="J60" s="905">
        <v>0.65625</v>
      </c>
      <c r="K60" s="880"/>
      <c r="L60" s="880"/>
      <c r="M60" s="910"/>
      <c r="N60" s="880"/>
      <c r="O60" s="880"/>
      <c r="P60" s="882"/>
      <c r="Q60" s="870"/>
      <c r="R60" s="870"/>
      <c r="S60" s="894">
        <v>0.65625</v>
      </c>
      <c r="T60" s="879"/>
      <c r="U60" s="880"/>
      <c r="V60" s="880"/>
      <c r="W60" s="880"/>
      <c r="X60" s="880"/>
      <c r="Y60" s="880"/>
      <c r="Z60" s="905">
        <v>0.65625</v>
      </c>
      <c r="AA60" s="880"/>
      <c r="AB60" s="880"/>
      <c r="AC60" s="910"/>
      <c r="AD60" s="880"/>
      <c r="AE60" s="880"/>
      <c r="AF60" s="882"/>
    </row>
    <row r="61" spans="1:32" ht="16.5" customHeight="1">
      <c r="A61" s="1304" t="s">
        <v>908</v>
      </c>
      <c r="B61" s="864"/>
      <c r="C61" s="911">
        <v>0.66666666666666663</v>
      </c>
      <c r="D61" s="884"/>
      <c r="E61" s="885"/>
      <c r="F61" s="885"/>
      <c r="G61" s="885"/>
      <c r="H61" s="885"/>
      <c r="I61" s="885"/>
      <c r="J61" s="912">
        <v>0.66666666666666663</v>
      </c>
      <c r="K61" s="885"/>
      <c r="L61" s="885"/>
      <c r="M61" s="907"/>
      <c r="N61" s="885"/>
      <c r="O61" s="885"/>
      <c r="P61" s="887"/>
      <c r="Q61" s="1304" t="s">
        <v>908</v>
      </c>
      <c r="R61" s="864"/>
      <c r="S61" s="911">
        <v>0.66666666666666663</v>
      </c>
      <c r="T61" s="1249" t="s">
        <v>930</v>
      </c>
      <c r="U61" s="1250"/>
      <c r="V61" s="1250"/>
      <c r="W61" s="1250"/>
      <c r="X61" s="1250"/>
      <c r="Y61" s="1251"/>
      <c r="Z61" s="912">
        <v>0.66666666666666663</v>
      </c>
      <c r="AA61" s="885"/>
      <c r="AB61" s="885"/>
      <c r="AC61" s="907"/>
      <c r="AD61" s="885"/>
      <c r="AE61" s="885"/>
      <c r="AF61" s="887"/>
    </row>
    <row r="62" spans="1:32" ht="16.5" customHeight="1">
      <c r="A62" s="1302"/>
      <c r="B62" s="870"/>
      <c r="C62" s="913">
        <v>0.67708333333333337</v>
      </c>
      <c r="D62" s="872"/>
      <c r="E62" s="873"/>
      <c r="F62" s="873"/>
      <c r="G62" s="873"/>
      <c r="H62" s="873"/>
      <c r="I62" s="873"/>
      <c r="J62" s="914">
        <v>0.67708333333333337</v>
      </c>
      <c r="K62" s="873"/>
      <c r="L62" s="873"/>
      <c r="M62" s="873"/>
      <c r="N62" s="873"/>
      <c r="O62" s="873"/>
      <c r="P62" s="874"/>
      <c r="Q62" s="1302"/>
      <c r="R62" s="870"/>
      <c r="S62" s="913">
        <v>0.67708333333333337</v>
      </c>
      <c r="T62" s="1243"/>
      <c r="U62" s="1244"/>
      <c r="V62" s="1244"/>
      <c r="W62" s="1244"/>
      <c r="X62" s="1244"/>
      <c r="Y62" s="1245"/>
      <c r="Z62" s="914">
        <v>0.67708333333333337</v>
      </c>
      <c r="AA62" s="873"/>
      <c r="AB62" s="873"/>
      <c r="AC62" s="873"/>
      <c r="AD62" s="873"/>
      <c r="AE62" s="873"/>
      <c r="AF62" s="874"/>
    </row>
    <row r="63" spans="1:32" ht="16.5" customHeight="1">
      <c r="A63" s="1302"/>
      <c r="B63" s="875"/>
      <c r="C63" s="915">
        <v>0.6875</v>
      </c>
      <c r="D63" s="872"/>
      <c r="E63" s="873"/>
      <c r="F63" s="873"/>
      <c r="G63" s="873"/>
      <c r="H63" s="873"/>
      <c r="I63" s="873"/>
      <c r="J63" s="916">
        <v>0.6875</v>
      </c>
      <c r="K63" s="873"/>
      <c r="L63" s="873"/>
      <c r="M63" s="873"/>
      <c r="N63" s="873"/>
      <c r="O63" s="909"/>
      <c r="P63" s="874"/>
      <c r="Q63" s="1302"/>
      <c r="R63" s="875"/>
      <c r="S63" s="915">
        <v>0.6875</v>
      </c>
      <c r="T63" s="1243"/>
      <c r="U63" s="1244"/>
      <c r="V63" s="1244"/>
      <c r="W63" s="1244"/>
      <c r="X63" s="1244"/>
      <c r="Y63" s="1245"/>
      <c r="Z63" s="916">
        <v>0.6875</v>
      </c>
      <c r="AA63" s="873"/>
      <c r="AB63" s="873"/>
      <c r="AC63" s="873"/>
      <c r="AD63" s="873"/>
      <c r="AE63" s="909"/>
      <c r="AF63" s="874"/>
    </row>
    <row r="64" spans="1:32" ht="16.5" customHeight="1">
      <c r="A64" s="1302"/>
      <c r="B64" s="870"/>
      <c r="C64" s="917">
        <v>0.69791666666666663</v>
      </c>
      <c r="D64" s="879"/>
      <c r="E64" s="880"/>
      <c r="F64" s="880"/>
      <c r="G64" s="880"/>
      <c r="H64" s="880"/>
      <c r="I64" s="880"/>
      <c r="J64" s="918">
        <v>0.69791666666666663</v>
      </c>
      <c r="K64" s="880"/>
      <c r="L64" s="880"/>
      <c r="M64" s="880"/>
      <c r="N64" s="880"/>
      <c r="O64" s="910"/>
      <c r="P64" s="882"/>
      <c r="Q64" s="1302"/>
      <c r="R64" s="870"/>
      <c r="S64" s="917">
        <v>0.69791666666666663</v>
      </c>
      <c r="T64" s="1246"/>
      <c r="U64" s="1247"/>
      <c r="V64" s="1247"/>
      <c r="W64" s="1247"/>
      <c r="X64" s="1247"/>
      <c r="Y64" s="1248"/>
      <c r="Z64" s="918">
        <v>0.69791666666666663</v>
      </c>
      <c r="AA64" s="880"/>
      <c r="AB64" s="880"/>
      <c r="AC64" s="880"/>
      <c r="AD64" s="880"/>
      <c r="AE64" s="910"/>
      <c r="AF64" s="882"/>
    </row>
    <row r="65" spans="1:32" ht="16.5" customHeight="1">
      <c r="A65" s="1302"/>
      <c r="B65" s="1301" t="s">
        <v>907</v>
      </c>
      <c r="C65" s="883">
        <v>0.70833333333333337</v>
      </c>
      <c r="D65" s="884"/>
      <c r="E65" s="885"/>
      <c r="F65" s="885"/>
      <c r="G65" s="885"/>
      <c r="H65" s="885"/>
      <c r="I65" s="885"/>
      <c r="J65" s="919">
        <v>0.70833333333333337</v>
      </c>
      <c r="K65" s="885"/>
      <c r="L65" s="885"/>
      <c r="M65" s="885"/>
      <c r="N65" s="885"/>
      <c r="O65" s="885"/>
      <c r="P65" s="887"/>
      <c r="Q65" s="1302"/>
      <c r="R65" s="1301" t="s">
        <v>907</v>
      </c>
      <c r="S65" s="883">
        <v>0.70833333333333337</v>
      </c>
      <c r="T65" s="1249" t="s">
        <v>928</v>
      </c>
      <c r="U65" s="1250"/>
      <c r="V65" s="1250"/>
      <c r="W65" s="1250"/>
      <c r="X65" s="1250"/>
      <c r="Y65" s="1251"/>
      <c r="Z65" s="919">
        <v>0.70833333333333337</v>
      </c>
      <c r="AA65" s="885"/>
      <c r="AB65" s="885"/>
      <c r="AC65" s="885"/>
      <c r="AD65" s="885"/>
      <c r="AE65" s="885"/>
      <c r="AF65" s="887"/>
    </row>
    <row r="66" spans="1:32" ht="16.5" customHeight="1">
      <c r="A66" s="1302"/>
      <c r="B66" s="1302"/>
      <c r="C66" s="888">
        <v>0.71875</v>
      </c>
      <c r="D66" s="872"/>
      <c r="E66" s="873"/>
      <c r="F66" s="873"/>
      <c r="G66" s="873"/>
      <c r="H66" s="873"/>
      <c r="I66" s="873"/>
      <c r="J66" s="920">
        <v>0.71875</v>
      </c>
      <c r="K66" s="873"/>
      <c r="L66" s="873"/>
      <c r="M66" s="873"/>
      <c r="N66" s="873"/>
      <c r="O66" s="873"/>
      <c r="P66" s="874"/>
      <c r="Q66" s="1302"/>
      <c r="R66" s="1302"/>
      <c r="S66" s="888">
        <v>0.71875</v>
      </c>
      <c r="T66" s="1243"/>
      <c r="U66" s="1244"/>
      <c r="V66" s="1244"/>
      <c r="W66" s="1244"/>
      <c r="X66" s="1244"/>
      <c r="Y66" s="1245"/>
      <c r="Z66" s="920">
        <v>0.71875</v>
      </c>
      <c r="AA66" s="873"/>
      <c r="AB66" s="873"/>
      <c r="AC66" s="873"/>
      <c r="AD66" s="873"/>
      <c r="AE66" s="873"/>
      <c r="AF66" s="874"/>
    </row>
    <row r="67" spans="1:32" ht="16.5" customHeight="1">
      <c r="A67" s="1302"/>
      <c r="B67" s="1302"/>
      <c r="C67" s="889">
        <v>0.72916666666666663</v>
      </c>
      <c r="D67" s="872"/>
      <c r="E67" s="873"/>
      <c r="F67" s="873"/>
      <c r="G67" s="873"/>
      <c r="H67" s="873"/>
      <c r="I67" s="873"/>
      <c r="J67" s="921">
        <v>0.72916666666666663</v>
      </c>
      <c r="K67" s="873"/>
      <c r="L67" s="873"/>
      <c r="M67" s="873"/>
      <c r="N67" s="873"/>
      <c r="O67" s="873"/>
      <c r="P67" s="874"/>
      <c r="Q67" s="1302"/>
      <c r="R67" s="1302"/>
      <c r="S67" s="889">
        <v>0.72916666666666663</v>
      </c>
      <c r="T67" s="1237"/>
      <c r="U67" s="1238"/>
      <c r="V67" s="1238"/>
      <c r="W67" s="1238"/>
      <c r="X67" s="1238"/>
      <c r="Y67" s="1239"/>
      <c r="Z67" s="921">
        <v>0.72916666666666663</v>
      </c>
      <c r="AA67" s="873"/>
      <c r="AB67" s="873"/>
      <c r="AC67" s="873"/>
      <c r="AD67" s="873"/>
      <c r="AE67" s="873"/>
      <c r="AF67" s="874"/>
    </row>
    <row r="68" spans="1:32" ht="16.5" customHeight="1">
      <c r="A68" s="1302"/>
      <c r="B68" s="1302"/>
      <c r="C68" s="878">
        <v>0.73958333333333337</v>
      </c>
      <c r="D68" s="879"/>
      <c r="E68" s="880"/>
      <c r="F68" s="880"/>
      <c r="G68" s="880"/>
      <c r="H68" s="880"/>
      <c r="I68" s="880"/>
      <c r="J68" s="922">
        <v>0.73958333333333337</v>
      </c>
      <c r="K68" s="923"/>
      <c r="L68" s="923"/>
      <c r="M68" s="923"/>
      <c r="N68" s="923"/>
      <c r="O68" s="923"/>
      <c r="P68" s="924"/>
      <c r="Q68" s="1302"/>
      <c r="R68" s="1302"/>
      <c r="S68" s="878">
        <v>0.73958333333333337</v>
      </c>
      <c r="T68" s="879"/>
      <c r="U68" s="880"/>
      <c r="V68" s="880"/>
      <c r="W68" s="880"/>
      <c r="X68" s="880"/>
      <c r="Y68" s="880"/>
      <c r="Z68" s="922">
        <v>0.73958333333333337</v>
      </c>
      <c r="AA68" s="923"/>
      <c r="AB68" s="923"/>
      <c r="AC68" s="923"/>
      <c r="AD68" s="923"/>
      <c r="AE68" s="923"/>
      <c r="AF68" s="924"/>
    </row>
    <row r="69" spans="1:32" ht="16.5" customHeight="1">
      <c r="A69" s="1302"/>
      <c r="B69" s="1302"/>
      <c r="C69" s="883">
        <v>0.75</v>
      </c>
      <c r="D69" s="884"/>
      <c r="E69" s="885"/>
      <c r="F69" s="885"/>
      <c r="G69" s="885"/>
      <c r="H69" s="885"/>
      <c r="I69" s="887"/>
      <c r="J69" s="925">
        <v>0.75</v>
      </c>
      <c r="K69" s="926"/>
      <c r="L69" s="926"/>
      <c r="M69" s="926"/>
      <c r="N69" s="926"/>
      <c r="O69" s="926"/>
      <c r="P69" s="927"/>
      <c r="Q69" s="1302"/>
      <c r="R69" s="1302"/>
      <c r="S69" s="883">
        <v>0.75</v>
      </c>
      <c r="T69" s="1249" t="s">
        <v>917</v>
      </c>
      <c r="U69" s="1250"/>
      <c r="V69" s="1250"/>
      <c r="W69" s="1250"/>
      <c r="X69" s="1250"/>
      <c r="Y69" s="1251"/>
      <c r="Z69" s="925">
        <v>0.75</v>
      </c>
      <c r="AA69" s="926"/>
      <c r="AB69" s="926"/>
      <c r="AC69" s="926"/>
      <c r="AD69" s="926"/>
      <c r="AE69" s="926"/>
      <c r="AF69" s="927"/>
    </row>
    <row r="70" spans="1:32" ht="16.5" customHeight="1">
      <c r="A70" s="1302"/>
      <c r="B70" s="1302"/>
      <c r="C70" s="888">
        <v>0.76041666666666663</v>
      </c>
      <c r="D70" s="872"/>
      <c r="E70" s="873"/>
      <c r="F70" s="873"/>
      <c r="G70" s="873"/>
      <c r="H70" s="873"/>
      <c r="I70" s="874"/>
      <c r="J70" s="920">
        <v>0.76041666666666663</v>
      </c>
      <c r="K70" s="928"/>
      <c r="L70" s="928"/>
      <c r="M70" s="928"/>
      <c r="N70" s="928"/>
      <c r="O70" s="928"/>
      <c r="P70" s="929"/>
      <c r="Q70" s="1302"/>
      <c r="R70" s="1302"/>
      <c r="S70" s="888">
        <v>0.76041666666666663</v>
      </c>
      <c r="T70" s="1243"/>
      <c r="U70" s="1244"/>
      <c r="V70" s="1244"/>
      <c r="W70" s="1244"/>
      <c r="X70" s="1244"/>
      <c r="Y70" s="1245"/>
      <c r="Z70" s="920">
        <v>0.76041666666666663</v>
      </c>
      <c r="AA70" s="928"/>
      <c r="AB70" s="928"/>
      <c r="AC70" s="928"/>
      <c r="AD70" s="928"/>
      <c r="AE70" s="928"/>
      <c r="AF70" s="929"/>
    </row>
    <row r="71" spans="1:32" ht="16.5" customHeight="1">
      <c r="A71" s="1302"/>
      <c r="B71" s="1302"/>
      <c r="C71" s="889">
        <v>0.77083333333333337</v>
      </c>
      <c r="D71" s="872"/>
      <c r="E71" s="873"/>
      <c r="F71" s="873"/>
      <c r="G71" s="873"/>
      <c r="H71" s="873"/>
      <c r="I71" s="874"/>
      <c r="J71" s="921">
        <v>0.77083333333333337</v>
      </c>
      <c r="K71" s="928"/>
      <c r="L71" s="928"/>
      <c r="M71" s="928"/>
      <c r="N71" s="928"/>
      <c r="O71" s="928"/>
      <c r="P71" s="929"/>
      <c r="Q71" s="1302"/>
      <c r="R71" s="1302"/>
      <c r="S71" s="889">
        <v>0.77083333333333337</v>
      </c>
      <c r="T71" s="1243"/>
      <c r="U71" s="1244"/>
      <c r="V71" s="1244"/>
      <c r="W71" s="1244"/>
      <c r="X71" s="1244"/>
      <c r="Y71" s="1245"/>
      <c r="Z71" s="921">
        <v>0.77083333333333337</v>
      </c>
      <c r="AA71" s="928"/>
      <c r="AB71" s="928"/>
      <c r="AC71" s="928"/>
      <c r="AD71" s="928"/>
      <c r="AE71" s="928"/>
      <c r="AF71" s="929"/>
    </row>
    <row r="72" spans="1:32" ht="16.5" customHeight="1">
      <c r="A72" s="1302"/>
      <c r="B72" s="1282"/>
      <c r="C72" s="878">
        <v>0.78125</v>
      </c>
      <c r="D72" s="879"/>
      <c r="E72" s="880"/>
      <c r="F72" s="880"/>
      <c r="G72" s="880"/>
      <c r="H72" s="880"/>
      <c r="I72" s="882"/>
      <c r="J72" s="930">
        <v>0.78125</v>
      </c>
      <c r="K72" s="923"/>
      <c r="L72" s="923"/>
      <c r="M72" s="923"/>
      <c r="N72" s="923"/>
      <c r="O72" s="923"/>
      <c r="P72" s="924"/>
      <c r="Q72" s="1302"/>
      <c r="R72" s="1282"/>
      <c r="S72" s="878">
        <v>0.78125</v>
      </c>
      <c r="T72" s="1246"/>
      <c r="U72" s="1247"/>
      <c r="V72" s="1247"/>
      <c r="W72" s="1247"/>
      <c r="X72" s="1247"/>
      <c r="Y72" s="1248"/>
      <c r="Z72" s="878">
        <v>0.78125</v>
      </c>
      <c r="AA72" s="931"/>
      <c r="AB72" s="923"/>
      <c r="AC72" s="923"/>
      <c r="AD72" s="923"/>
      <c r="AE72" s="923"/>
      <c r="AF72" s="924"/>
    </row>
    <row r="73" spans="1:32" ht="16.5" customHeight="1">
      <c r="A73" s="1302"/>
      <c r="B73" s="864"/>
      <c r="C73" s="911">
        <v>0.79166666666666663</v>
      </c>
      <c r="D73" s="884"/>
      <c r="E73" s="885"/>
      <c r="F73" s="885"/>
      <c r="G73" s="885"/>
      <c r="H73" s="885"/>
      <c r="I73" s="885"/>
      <c r="J73" s="912">
        <v>0.79166666666666663</v>
      </c>
      <c r="K73" s="926"/>
      <c r="L73" s="926"/>
      <c r="M73" s="926"/>
      <c r="N73" s="926"/>
      <c r="O73" s="926"/>
      <c r="P73" s="927"/>
      <c r="Q73" s="1302"/>
      <c r="R73" s="864"/>
      <c r="S73" s="911">
        <v>0.79166666666666663</v>
      </c>
      <c r="T73" s="884"/>
      <c r="U73" s="885"/>
      <c r="V73" s="885"/>
      <c r="W73" s="885"/>
      <c r="X73" s="885"/>
      <c r="Y73" s="885"/>
      <c r="Z73" s="912">
        <v>0.79166666666666663</v>
      </c>
      <c r="AA73" s="926"/>
      <c r="AB73" s="926"/>
      <c r="AC73" s="926"/>
      <c r="AD73" s="926"/>
      <c r="AE73" s="926"/>
      <c r="AF73" s="927"/>
    </row>
    <row r="74" spans="1:32" ht="16.5" customHeight="1">
      <c r="A74" s="1302"/>
      <c r="B74" s="870"/>
      <c r="C74" s="913">
        <v>0.80208333333333337</v>
      </c>
      <c r="D74" s="872"/>
      <c r="E74" s="873"/>
      <c r="F74" s="873"/>
      <c r="G74" s="873"/>
      <c r="H74" s="873"/>
      <c r="I74" s="873"/>
      <c r="J74" s="914">
        <v>0.80208333333333337</v>
      </c>
      <c r="K74" s="928"/>
      <c r="L74" s="928"/>
      <c r="M74" s="928"/>
      <c r="N74" s="928"/>
      <c r="O74" s="928"/>
      <c r="P74" s="929"/>
      <c r="Q74" s="1302"/>
      <c r="R74" s="870"/>
      <c r="S74" s="913">
        <v>0.80208333333333337</v>
      </c>
      <c r="T74" s="872"/>
      <c r="U74" s="873"/>
      <c r="V74" s="873"/>
      <c r="W74" s="873"/>
      <c r="X74" s="873"/>
      <c r="Y74" s="873"/>
      <c r="Z74" s="914">
        <v>0.80208333333333337</v>
      </c>
      <c r="AA74" s="928"/>
      <c r="AB74" s="928"/>
      <c r="AC74" s="928"/>
      <c r="AD74" s="928"/>
      <c r="AE74" s="928"/>
      <c r="AF74" s="929"/>
    </row>
    <row r="75" spans="1:32" ht="16.5" customHeight="1">
      <c r="A75" s="1302"/>
      <c r="B75" s="875"/>
      <c r="C75" s="915">
        <v>0.8125</v>
      </c>
      <c r="D75" s="872"/>
      <c r="E75" s="873"/>
      <c r="F75" s="873"/>
      <c r="G75" s="873"/>
      <c r="H75" s="873"/>
      <c r="I75" s="873"/>
      <c r="J75" s="916">
        <v>0.8125</v>
      </c>
      <c r="K75" s="928"/>
      <c r="L75" s="928"/>
      <c r="M75" s="928"/>
      <c r="N75" s="928"/>
      <c r="O75" s="928"/>
      <c r="P75" s="929"/>
      <c r="Q75" s="1302"/>
      <c r="R75" s="875"/>
      <c r="S75" s="915">
        <v>0.8125</v>
      </c>
      <c r="T75" s="1240" t="s">
        <v>914</v>
      </c>
      <c r="U75" s="1241"/>
      <c r="V75" s="1241"/>
      <c r="W75" s="1241"/>
      <c r="X75" s="1241"/>
      <c r="Y75" s="1242"/>
      <c r="Z75" s="916">
        <v>0.8125</v>
      </c>
      <c r="AA75" s="928"/>
      <c r="AB75" s="928"/>
      <c r="AC75" s="928"/>
      <c r="AD75" s="928"/>
      <c r="AE75" s="928"/>
      <c r="AF75" s="929"/>
    </row>
    <row r="76" spans="1:32" ht="16.5" customHeight="1">
      <c r="A76" s="1302"/>
      <c r="B76" s="875"/>
      <c r="C76" s="932">
        <v>0.82291666666666663</v>
      </c>
      <c r="D76" s="879"/>
      <c r="E76" s="880"/>
      <c r="F76" s="880"/>
      <c r="G76" s="880"/>
      <c r="H76" s="880"/>
      <c r="I76" s="880"/>
      <c r="J76" s="933">
        <v>0.82291666666666663</v>
      </c>
      <c r="K76" s="923"/>
      <c r="L76" s="923"/>
      <c r="M76" s="923"/>
      <c r="N76" s="923"/>
      <c r="O76" s="923"/>
      <c r="P76" s="924"/>
      <c r="Q76" s="1302"/>
      <c r="R76" s="875"/>
      <c r="S76" s="932">
        <v>0.82291666666666663</v>
      </c>
      <c r="T76" s="1243"/>
      <c r="U76" s="1244"/>
      <c r="V76" s="1244"/>
      <c r="W76" s="1244"/>
      <c r="X76" s="1244"/>
      <c r="Y76" s="1245"/>
      <c r="Z76" s="933">
        <v>0.82291666666666663</v>
      </c>
      <c r="AA76" s="923"/>
      <c r="AB76" s="923"/>
      <c r="AC76" s="923"/>
      <c r="AD76" s="923"/>
      <c r="AE76" s="923"/>
      <c r="AF76" s="924"/>
    </row>
    <row r="77" spans="1:32" ht="16.5" customHeight="1">
      <c r="A77" s="1302"/>
      <c r="B77" s="934"/>
      <c r="C77" s="935">
        <v>0.83333333333333337</v>
      </c>
      <c r="D77" s="884"/>
      <c r="E77" s="885"/>
      <c r="F77" s="885"/>
      <c r="G77" s="885"/>
      <c r="H77" s="885"/>
      <c r="I77" s="885"/>
      <c r="J77" s="936">
        <v>0.83333333333333337</v>
      </c>
      <c r="K77" s="926"/>
      <c r="L77" s="926"/>
      <c r="M77" s="926"/>
      <c r="N77" s="926"/>
      <c r="O77" s="926"/>
      <c r="P77" s="927"/>
      <c r="Q77" s="1302"/>
      <c r="R77" s="934"/>
      <c r="S77" s="935">
        <v>0.83333333333333337</v>
      </c>
      <c r="T77" s="1237"/>
      <c r="U77" s="1238"/>
      <c r="V77" s="1238"/>
      <c r="W77" s="1238"/>
      <c r="X77" s="1238"/>
      <c r="Y77" s="1239"/>
      <c r="Z77" s="936">
        <v>0.83333333333333337</v>
      </c>
      <c r="AA77" s="926"/>
      <c r="AB77" s="926"/>
      <c r="AC77" s="926"/>
      <c r="AD77" s="926"/>
      <c r="AE77" s="926"/>
      <c r="AF77" s="927"/>
    </row>
    <row r="78" spans="1:32" ht="16.5" customHeight="1">
      <c r="A78" s="1302"/>
      <c r="B78" s="875"/>
      <c r="C78" s="915">
        <v>0.84375</v>
      </c>
      <c r="D78" s="872"/>
      <c r="E78" s="873"/>
      <c r="F78" s="873"/>
      <c r="G78" s="873"/>
      <c r="H78" s="873"/>
      <c r="I78" s="873"/>
      <c r="J78" s="916">
        <v>0.84375</v>
      </c>
      <c r="K78" s="928"/>
      <c r="L78" s="928"/>
      <c r="M78" s="928"/>
      <c r="N78" s="928"/>
      <c r="O78" s="928"/>
      <c r="P78" s="929"/>
      <c r="Q78" s="1302"/>
      <c r="R78" s="875"/>
      <c r="S78" s="915">
        <v>0.84375</v>
      </c>
      <c r="T78" s="872"/>
      <c r="U78" s="873"/>
      <c r="V78" s="873"/>
      <c r="W78" s="873"/>
      <c r="X78" s="873"/>
      <c r="Y78" s="873"/>
      <c r="Z78" s="916">
        <v>0.84375</v>
      </c>
      <c r="AA78" s="928"/>
      <c r="AB78" s="928"/>
      <c r="AC78" s="928"/>
      <c r="AD78" s="928"/>
      <c r="AE78" s="928"/>
      <c r="AF78" s="929"/>
    </row>
    <row r="79" spans="1:32" ht="16.5" customHeight="1">
      <c r="A79" s="1302"/>
      <c r="B79" s="870"/>
      <c r="C79" s="913">
        <v>0.85416666666666663</v>
      </c>
      <c r="D79" s="872"/>
      <c r="E79" s="873"/>
      <c r="F79" s="873"/>
      <c r="G79" s="873"/>
      <c r="H79" s="873"/>
      <c r="I79" s="873"/>
      <c r="J79" s="914">
        <v>0.85416666666666663</v>
      </c>
      <c r="K79" s="928"/>
      <c r="L79" s="928"/>
      <c r="M79" s="928"/>
      <c r="N79" s="928"/>
      <c r="O79" s="928"/>
      <c r="P79" s="929"/>
      <c r="Q79" s="1302"/>
      <c r="R79" s="870"/>
      <c r="S79" s="913">
        <v>0.85416666666666663</v>
      </c>
      <c r="T79" s="1240" t="s">
        <v>913</v>
      </c>
      <c r="U79" s="1241"/>
      <c r="V79" s="1241"/>
      <c r="W79" s="1241"/>
      <c r="X79" s="1241"/>
      <c r="Y79" s="1242"/>
      <c r="Z79" s="914">
        <v>0.85416666666666663</v>
      </c>
      <c r="AA79" s="928"/>
      <c r="AB79" s="928"/>
      <c r="AC79" s="928"/>
      <c r="AD79" s="928"/>
      <c r="AE79" s="928"/>
      <c r="AF79" s="929"/>
    </row>
    <row r="80" spans="1:32" ht="16.5" customHeight="1">
      <c r="A80" s="1302"/>
      <c r="B80" s="875"/>
      <c r="C80" s="932">
        <v>0.86458333333333337</v>
      </c>
      <c r="D80" s="879"/>
      <c r="E80" s="880"/>
      <c r="F80" s="880"/>
      <c r="G80" s="880"/>
      <c r="H80" s="880"/>
      <c r="I80" s="880"/>
      <c r="J80" s="933">
        <v>0.86458333333333337</v>
      </c>
      <c r="K80" s="923"/>
      <c r="L80" s="923"/>
      <c r="M80" s="923"/>
      <c r="N80" s="923"/>
      <c r="O80" s="923"/>
      <c r="P80" s="924"/>
      <c r="Q80" s="1302"/>
      <c r="R80" s="875"/>
      <c r="S80" s="932">
        <v>0.86458333333333337</v>
      </c>
      <c r="T80" s="1243"/>
      <c r="U80" s="1244"/>
      <c r="V80" s="1244"/>
      <c r="W80" s="1244"/>
      <c r="X80" s="1244"/>
      <c r="Y80" s="1245"/>
      <c r="Z80" s="933">
        <v>0.86458333333333337</v>
      </c>
      <c r="AA80" s="923"/>
      <c r="AB80" s="923"/>
      <c r="AC80" s="923"/>
      <c r="AD80" s="923"/>
      <c r="AE80" s="923"/>
      <c r="AF80" s="924"/>
    </row>
    <row r="81" spans="1:32" ht="16.5" customHeight="1">
      <c r="A81" s="1302"/>
      <c r="B81" s="934"/>
      <c r="C81" s="935">
        <v>0.875</v>
      </c>
      <c r="D81" s="884"/>
      <c r="E81" s="885"/>
      <c r="F81" s="885"/>
      <c r="G81" s="885"/>
      <c r="H81" s="885"/>
      <c r="I81" s="885"/>
      <c r="J81" s="936">
        <v>0.875</v>
      </c>
      <c r="K81" s="926"/>
      <c r="L81" s="926"/>
      <c r="M81" s="926"/>
      <c r="N81" s="926"/>
      <c r="O81" s="926"/>
      <c r="P81" s="927"/>
      <c r="Q81" s="1302"/>
      <c r="R81" s="934"/>
      <c r="S81" s="935">
        <v>0.875</v>
      </c>
      <c r="T81" s="1237"/>
      <c r="U81" s="1238"/>
      <c r="V81" s="1238"/>
      <c r="W81" s="1238"/>
      <c r="X81" s="1238"/>
      <c r="Y81" s="1239"/>
      <c r="Z81" s="936">
        <v>0.875</v>
      </c>
      <c r="AA81" s="926"/>
      <c r="AB81" s="926"/>
      <c r="AC81" s="926"/>
      <c r="AD81" s="926"/>
      <c r="AE81" s="926"/>
      <c r="AF81" s="927"/>
    </row>
    <row r="82" spans="1:32" ht="16.5" customHeight="1">
      <c r="A82" s="1302"/>
      <c r="B82" s="875"/>
      <c r="C82" s="915">
        <v>0.88541666666666663</v>
      </c>
      <c r="D82" s="872"/>
      <c r="E82" s="873"/>
      <c r="F82" s="873"/>
      <c r="G82" s="873"/>
      <c r="H82" s="873"/>
      <c r="I82" s="873"/>
      <c r="J82" s="916">
        <v>0.88541666666666663</v>
      </c>
      <c r="K82" s="928"/>
      <c r="L82" s="928"/>
      <c r="M82" s="928"/>
      <c r="N82" s="928"/>
      <c r="O82" s="928"/>
      <c r="P82" s="929"/>
      <c r="Q82" s="1302"/>
      <c r="R82" s="875"/>
      <c r="S82" s="915">
        <v>0.88541666666666663</v>
      </c>
      <c r="T82" s="872"/>
      <c r="U82" s="873"/>
      <c r="V82" s="873"/>
      <c r="W82" s="873"/>
      <c r="X82" s="873"/>
      <c r="Y82" s="873"/>
      <c r="Z82" s="916">
        <v>0.88541666666666663</v>
      </c>
      <c r="AA82" s="928"/>
      <c r="AB82" s="928"/>
      <c r="AC82" s="928"/>
      <c r="AD82" s="928"/>
      <c r="AE82" s="928"/>
      <c r="AF82" s="929"/>
    </row>
    <row r="83" spans="1:32" ht="16.5" customHeight="1">
      <c r="A83" s="1302"/>
      <c r="B83" s="870"/>
      <c r="C83" s="913">
        <v>0.89583333333333337</v>
      </c>
      <c r="D83" s="872"/>
      <c r="E83" s="873"/>
      <c r="F83" s="873"/>
      <c r="G83" s="873"/>
      <c r="H83" s="873"/>
      <c r="I83" s="873"/>
      <c r="J83" s="914">
        <v>0.89583333333333337</v>
      </c>
      <c r="K83" s="928"/>
      <c r="L83" s="928"/>
      <c r="M83" s="928"/>
      <c r="N83" s="928"/>
      <c r="O83" s="928"/>
      <c r="P83" s="929"/>
      <c r="Q83" s="1302"/>
      <c r="R83" s="870"/>
      <c r="S83" s="913">
        <v>0.89583333333333337</v>
      </c>
      <c r="T83" s="1240" t="s">
        <v>918</v>
      </c>
      <c r="U83" s="1241"/>
      <c r="V83" s="1241"/>
      <c r="W83" s="1241"/>
      <c r="X83" s="1241"/>
      <c r="Y83" s="1242"/>
      <c r="Z83" s="914">
        <v>0.89583333333333337</v>
      </c>
      <c r="AA83" s="928"/>
      <c r="AB83" s="928"/>
      <c r="AC83" s="928"/>
      <c r="AD83" s="928"/>
      <c r="AE83" s="928"/>
      <c r="AF83" s="929"/>
    </row>
    <row r="84" spans="1:32" ht="16.5" customHeight="1">
      <c r="A84" s="1282"/>
      <c r="B84" s="875"/>
      <c r="C84" s="932">
        <v>0.90625</v>
      </c>
      <c r="D84" s="879"/>
      <c r="E84" s="880"/>
      <c r="F84" s="880"/>
      <c r="G84" s="880"/>
      <c r="H84" s="880"/>
      <c r="I84" s="880"/>
      <c r="J84" s="933">
        <v>0.90625</v>
      </c>
      <c r="K84" s="923"/>
      <c r="L84" s="923"/>
      <c r="M84" s="923"/>
      <c r="N84" s="923"/>
      <c r="O84" s="923"/>
      <c r="P84" s="924"/>
      <c r="Q84" s="1282"/>
      <c r="R84" s="875"/>
      <c r="S84" s="932">
        <v>0.90625</v>
      </c>
      <c r="T84" s="1246"/>
      <c r="U84" s="1247"/>
      <c r="V84" s="1247"/>
      <c r="W84" s="1247"/>
      <c r="X84" s="1247"/>
      <c r="Y84" s="1248"/>
      <c r="Z84" s="933">
        <v>0.90625</v>
      </c>
      <c r="AA84" s="923"/>
      <c r="AB84" s="923"/>
      <c r="AC84" s="923"/>
      <c r="AD84" s="923"/>
      <c r="AE84" s="923"/>
      <c r="AF84" s="924"/>
    </row>
    <row r="85" spans="1:32" ht="16.5" customHeight="1">
      <c r="A85" s="937"/>
      <c r="B85" s="1303" t="s">
        <v>906</v>
      </c>
      <c r="C85" s="842">
        <v>0.91666666666666663</v>
      </c>
      <c r="D85" s="1252" t="s">
        <v>640</v>
      </c>
      <c r="E85" s="1253"/>
      <c r="F85" s="1253"/>
      <c r="G85" s="1253"/>
      <c r="H85" s="1253"/>
      <c r="I85" s="1254"/>
      <c r="J85" s="842">
        <v>0.91666666666666663</v>
      </c>
      <c r="K85" s="1252" t="s">
        <v>640</v>
      </c>
      <c r="L85" s="1253"/>
      <c r="M85" s="1253"/>
      <c r="N85" s="1253"/>
      <c r="O85" s="1253"/>
      <c r="P85" s="1254"/>
      <c r="Q85" s="937"/>
      <c r="R85" s="1303" t="s">
        <v>906</v>
      </c>
      <c r="S85" s="842">
        <v>0.91666666666666663</v>
      </c>
      <c r="T85" s="1252" t="s">
        <v>640</v>
      </c>
      <c r="U85" s="1253"/>
      <c r="V85" s="1253"/>
      <c r="W85" s="1253"/>
      <c r="X85" s="1253"/>
      <c r="Y85" s="1254"/>
      <c r="Z85" s="842">
        <v>0.91666666666666663</v>
      </c>
      <c r="AA85" s="1261" t="s">
        <v>640</v>
      </c>
      <c r="AB85" s="1262"/>
      <c r="AC85" s="1262"/>
      <c r="AD85" s="1262"/>
      <c r="AE85" s="1262"/>
      <c r="AF85" s="1263"/>
    </row>
    <row r="86" spans="1:32" ht="16.5" customHeight="1">
      <c r="A86" s="937"/>
      <c r="B86" s="1302"/>
      <c r="C86" s="850">
        <v>0.92708333333333337</v>
      </c>
      <c r="D86" s="1255"/>
      <c r="E86" s="1256"/>
      <c r="F86" s="1256"/>
      <c r="G86" s="1256"/>
      <c r="H86" s="1256"/>
      <c r="I86" s="1257"/>
      <c r="J86" s="850">
        <v>0.92708333333333337</v>
      </c>
      <c r="K86" s="1255"/>
      <c r="L86" s="1256"/>
      <c r="M86" s="1256"/>
      <c r="N86" s="1256"/>
      <c r="O86" s="1256"/>
      <c r="P86" s="1257"/>
      <c r="Q86" s="937"/>
      <c r="R86" s="1302"/>
      <c r="S86" s="850">
        <v>0.92708333333333337</v>
      </c>
      <c r="T86" s="1255"/>
      <c r="U86" s="1256"/>
      <c r="V86" s="1256"/>
      <c r="W86" s="1256"/>
      <c r="X86" s="1256"/>
      <c r="Y86" s="1257"/>
      <c r="Z86" s="850">
        <v>0.92708333333333337</v>
      </c>
      <c r="AA86" s="1264"/>
      <c r="AB86" s="1265"/>
      <c r="AC86" s="1265"/>
      <c r="AD86" s="1265"/>
      <c r="AE86" s="1265"/>
      <c r="AF86" s="1266"/>
    </row>
    <row r="87" spans="1:32" ht="16.5" customHeight="1">
      <c r="A87" s="937"/>
      <c r="B87" s="1302"/>
      <c r="C87" s="855">
        <v>0.9375</v>
      </c>
      <c r="D87" s="1255"/>
      <c r="E87" s="1256"/>
      <c r="F87" s="1256"/>
      <c r="G87" s="1256"/>
      <c r="H87" s="1256"/>
      <c r="I87" s="1257"/>
      <c r="J87" s="855">
        <v>0.9375</v>
      </c>
      <c r="K87" s="1255"/>
      <c r="L87" s="1256"/>
      <c r="M87" s="1256"/>
      <c r="N87" s="1256"/>
      <c r="O87" s="1256"/>
      <c r="P87" s="1257"/>
      <c r="Q87" s="937"/>
      <c r="R87" s="1302"/>
      <c r="S87" s="855">
        <v>0.9375</v>
      </c>
      <c r="T87" s="1255"/>
      <c r="U87" s="1256"/>
      <c r="V87" s="1256"/>
      <c r="W87" s="1256"/>
      <c r="X87" s="1256"/>
      <c r="Y87" s="1257"/>
      <c r="Z87" s="855">
        <v>0.9375</v>
      </c>
      <c r="AA87" s="1264"/>
      <c r="AB87" s="1265"/>
      <c r="AC87" s="1265"/>
      <c r="AD87" s="1265"/>
      <c r="AE87" s="1265"/>
      <c r="AF87" s="1266"/>
    </row>
    <row r="88" spans="1:32" ht="16.5" customHeight="1">
      <c r="A88" s="937"/>
      <c r="B88" s="1282"/>
      <c r="C88" s="860">
        <v>0.94791666666666663</v>
      </c>
      <c r="D88" s="1258"/>
      <c r="E88" s="1259"/>
      <c r="F88" s="1259"/>
      <c r="G88" s="1259"/>
      <c r="H88" s="1259"/>
      <c r="I88" s="1260"/>
      <c r="J88" s="860">
        <v>0.94791666666666663</v>
      </c>
      <c r="K88" s="1258"/>
      <c r="L88" s="1259"/>
      <c r="M88" s="1259"/>
      <c r="N88" s="1259"/>
      <c r="O88" s="1259"/>
      <c r="P88" s="1260"/>
      <c r="Q88" s="937"/>
      <c r="R88" s="1282"/>
      <c r="S88" s="860">
        <v>0.94791666666666663</v>
      </c>
      <c r="T88" s="1258"/>
      <c r="U88" s="1259"/>
      <c r="V88" s="1259"/>
      <c r="W88" s="1259"/>
      <c r="X88" s="1259"/>
      <c r="Y88" s="1260"/>
      <c r="Z88" s="860">
        <v>0.94791666666666663</v>
      </c>
      <c r="AA88" s="1267"/>
      <c r="AB88" s="1268"/>
      <c r="AC88" s="1268"/>
      <c r="AD88" s="1268"/>
      <c r="AE88" s="1268"/>
      <c r="AF88" s="1269"/>
    </row>
    <row r="89" spans="1:32" ht="15">
      <c r="D89" s="828"/>
      <c r="E89" s="828"/>
      <c r="F89" s="828"/>
      <c r="G89" s="828"/>
      <c r="H89" s="828"/>
      <c r="I89" s="828"/>
      <c r="J89" s="828"/>
      <c r="K89" s="828"/>
      <c r="L89" s="828"/>
      <c r="M89" s="828"/>
      <c r="N89" s="828"/>
      <c r="O89" s="828"/>
      <c r="P89" s="828"/>
      <c r="T89" s="828"/>
      <c r="U89" s="828"/>
      <c r="V89" s="828"/>
      <c r="W89" s="828"/>
      <c r="X89" s="828"/>
      <c r="Y89" s="828"/>
      <c r="Z89" s="828"/>
      <c r="AA89" s="828"/>
      <c r="AB89" s="828"/>
      <c r="AC89" s="828"/>
      <c r="AD89" s="828"/>
      <c r="AE89" s="828"/>
      <c r="AF89" s="828"/>
    </row>
    <row r="90" spans="1:32" ht="46.5" customHeight="1">
      <c r="A90" s="829"/>
      <c r="B90" s="829"/>
      <c r="C90" s="1232" t="s">
        <v>899</v>
      </c>
      <c r="D90" s="1233"/>
      <c r="E90" s="1233"/>
      <c r="F90" s="1233"/>
      <c r="G90" s="1233"/>
      <c r="H90" s="1233"/>
      <c r="I90" s="1233"/>
      <c r="J90" s="1233"/>
      <c r="K90" s="1233"/>
      <c r="L90" s="1233"/>
      <c r="M90" s="1233"/>
      <c r="N90" s="1233"/>
      <c r="O90" s="1233"/>
      <c r="P90" s="1233"/>
      <c r="Q90" s="829"/>
      <c r="R90" s="829"/>
      <c r="S90" s="1232" t="s">
        <v>899</v>
      </c>
      <c r="T90" s="1233"/>
      <c r="U90" s="1233"/>
      <c r="V90" s="1233"/>
      <c r="W90" s="1233"/>
      <c r="X90" s="1233"/>
      <c r="Y90" s="1233"/>
      <c r="Z90" s="1233"/>
      <c r="AA90" s="1233"/>
      <c r="AB90" s="1233"/>
      <c r="AC90" s="1233"/>
      <c r="AD90" s="1233"/>
      <c r="AE90" s="1233"/>
      <c r="AF90" s="1233"/>
    </row>
    <row r="91" spans="1:32" ht="15">
      <c r="E91" s="828"/>
      <c r="F91" s="828"/>
      <c r="G91" s="828"/>
      <c r="H91" s="828"/>
      <c r="I91" s="828"/>
      <c r="J91" s="828"/>
      <c r="K91" s="828"/>
      <c r="L91" s="828"/>
      <c r="M91" s="828"/>
      <c r="N91" s="828"/>
      <c r="O91" s="828"/>
      <c r="P91" s="828"/>
      <c r="U91" s="828"/>
      <c r="V91" s="828"/>
      <c r="W91" s="828"/>
      <c r="X91" s="828"/>
      <c r="Y91" s="828"/>
      <c r="Z91" s="828"/>
      <c r="AA91" s="828"/>
      <c r="AB91" s="828"/>
      <c r="AC91" s="828"/>
      <c r="AD91" s="828"/>
      <c r="AE91" s="828"/>
      <c r="AF91" s="828"/>
    </row>
    <row r="92" spans="1:32" ht="19.5" customHeight="1">
      <c r="B92" s="830"/>
      <c r="C92" s="1290" t="s">
        <v>900</v>
      </c>
      <c r="D92" s="1233"/>
      <c r="E92" s="1291" t="str">
        <f>CONCATENATE('01 使用承認申請書'!D92)</f>
        <v/>
      </c>
      <c r="F92" s="1292"/>
      <c r="G92" s="1292"/>
      <c r="H92" s="1292"/>
      <c r="I92" s="1293"/>
      <c r="J92" s="830"/>
      <c r="K92" s="1283" t="s">
        <v>901</v>
      </c>
      <c r="L92" s="1281">
        <f>'01 使用承認申請書'!B106</f>
        <v>0</v>
      </c>
      <c r="M92" s="830"/>
      <c r="N92" s="830"/>
      <c r="O92" s="830"/>
      <c r="P92" s="831"/>
      <c r="R92" s="830"/>
      <c r="S92" s="1290" t="s">
        <v>900</v>
      </c>
      <c r="T92" s="1233"/>
      <c r="U92" s="1284" t="str">
        <f>CONCATENATE('01 使用承認申請書'!D92)</f>
        <v/>
      </c>
      <c r="V92" s="1285"/>
      <c r="W92" s="1285"/>
      <c r="X92" s="1285"/>
      <c r="Y92" s="1286"/>
      <c r="Z92" s="830"/>
      <c r="AA92" s="1283" t="s">
        <v>901</v>
      </c>
      <c r="AB92" s="1281"/>
      <c r="AC92" s="830"/>
      <c r="AD92" s="830"/>
      <c r="AE92" s="830"/>
      <c r="AF92" s="831"/>
    </row>
    <row r="93" spans="1:32" ht="19.5" customHeight="1">
      <c r="A93" s="832"/>
      <c r="B93" s="830"/>
      <c r="C93" s="1233"/>
      <c r="D93" s="1233"/>
      <c r="E93" s="1294"/>
      <c r="F93" s="1295"/>
      <c r="G93" s="1295"/>
      <c r="H93" s="1295"/>
      <c r="I93" s="1296"/>
      <c r="J93" s="830"/>
      <c r="K93" s="1233"/>
      <c r="L93" s="1282"/>
      <c r="M93" s="830"/>
      <c r="N93" s="830"/>
      <c r="O93" s="830"/>
      <c r="P93" s="831"/>
      <c r="Q93" s="832"/>
      <c r="R93" s="830"/>
      <c r="S93" s="1233"/>
      <c r="T93" s="1233"/>
      <c r="U93" s="1287"/>
      <c r="V93" s="1288"/>
      <c r="W93" s="1288"/>
      <c r="X93" s="1288"/>
      <c r="Y93" s="1289"/>
      <c r="Z93" s="830"/>
      <c r="AA93" s="1233"/>
      <c r="AB93" s="1282"/>
      <c r="AC93" s="830"/>
      <c r="AD93" s="830"/>
      <c r="AE93" s="830"/>
      <c r="AF93" s="831"/>
    </row>
    <row r="94" spans="1:32" ht="19.5" customHeight="1">
      <c r="A94" s="832"/>
      <c r="B94" s="830"/>
      <c r="E94" s="833"/>
      <c r="F94" s="833"/>
      <c r="G94" s="833"/>
      <c r="H94" s="833"/>
      <c r="I94" s="833"/>
      <c r="J94" s="830"/>
      <c r="L94" s="833"/>
      <c r="M94" s="830"/>
      <c r="N94" s="830"/>
      <c r="O94" s="830"/>
      <c r="P94" s="831"/>
      <c r="Q94" s="832"/>
      <c r="R94" s="830"/>
      <c r="U94" s="833"/>
      <c r="V94" s="833"/>
      <c r="W94" s="833"/>
      <c r="X94" s="833"/>
      <c r="Y94" s="833"/>
      <c r="Z94" s="830"/>
      <c r="AB94" s="833"/>
      <c r="AC94" s="830"/>
      <c r="AD94" s="830"/>
      <c r="AE94" s="830"/>
      <c r="AF94" s="831"/>
    </row>
    <row r="95" spans="1:32" ht="16.5" customHeight="1">
      <c r="A95" s="1277" t="s">
        <v>902</v>
      </c>
      <c r="B95" s="1278"/>
      <c r="C95" s="1274"/>
      <c r="D95" s="1274"/>
      <c r="E95" s="1274"/>
      <c r="F95" s="1274"/>
      <c r="G95" s="1274"/>
      <c r="H95" s="1274"/>
      <c r="I95" s="1274"/>
      <c r="J95" s="1274"/>
      <c r="K95" s="1274"/>
      <c r="L95" s="1274"/>
      <c r="M95" s="1274"/>
      <c r="N95" s="1274"/>
      <c r="O95" s="1274"/>
      <c r="P95" s="1274"/>
      <c r="Q95" s="1277" t="s">
        <v>902</v>
      </c>
      <c r="R95" s="1278"/>
      <c r="S95" s="1274"/>
      <c r="T95" s="1274"/>
      <c r="U95" s="1274"/>
      <c r="V95" s="1274"/>
      <c r="W95" s="1274"/>
      <c r="X95" s="1274"/>
      <c r="Y95" s="1274"/>
      <c r="Z95" s="1274"/>
      <c r="AA95" s="1274"/>
      <c r="AB95" s="1274"/>
      <c r="AC95" s="1274"/>
      <c r="AD95" s="1274"/>
      <c r="AE95" s="1274"/>
      <c r="AF95" s="1274"/>
    </row>
    <row r="96" spans="1:32" ht="16.5" customHeight="1">
      <c r="A96" s="1279"/>
      <c r="B96" s="1279"/>
      <c r="C96" s="1275"/>
      <c r="D96" s="1275"/>
      <c r="E96" s="1275"/>
      <c r="F96" s="1275"/>
      <c r="G96" s="1275"/>
      <c r="H96" s="1275"/>
      <c r="I96" s="1275"/>
      <c r="J96" s="1275"/>
      <c r="K96" s="1275"/>
      <c r="L96" s="1275"/>
      <c r="M96" s="1275"/>
      <c r="N96" s="1275"/>
      <c r="O96" s="1275"/>
      <c r="P96" s="1275"/>
      <c r="Q96" s="1279"/>
      <c r="R96" s="1279"/>
      <c r="S96" s="1275"/>
      <c r="T96" s="1275"/>
      <c r="U96" s="1275"/>
      <c r="V96" s="1275"/>
      <c r="W96" s="1275"/>
      <c r="X96" s="1275"/>
      <c r="Y96" s="1275"/>
      <c r="Z96" s="1275"/>
      <c r="AA96" s="1275"/>
      <c r="AB96" s="1275"/>
      <c r="AC96" s="1275"/>
      <c r="AD96" s="1275"/>
      <c r="AE96" s="1275"/>
      <c r="AF96" s="1275"/>
    </row>
    <row r="97" spans="1:32" ht="12">
      <c r="A97" s="1279"/>
      <c r="B97" s="1279"/>
      <c r="C97" s="1275"/>
      <c r="D97" s="1275"/>
      <c r="E97" s="1275"/>
      <c r="F97" s="1275"/>
      <c r="G97" s="1275"/>
      <c r="H97" s="1275"/>
      <c r="I97" s="1275"/>
      <c r="J97" s="1275"/>
      <c r="K97" s="1275"/>
      <c r="L97" s="1275"/>
      <c r="M97" s="1275"/>
      <c r="N97" s="1275"/>
      <c r="O97" s="1275"/>
      <c r="P97" s="1275"/>
      <c r="Q97" s="1279"/>
      <c r="R97" s="1279"/>
      <c r="S97" s="1275"/>
      <c r="T97" s="1275"/>
      <c r="U97" s="1275"/>
      <c r="V97" s="1275"/>
      <c r="W97" s="1275"/>
      <c r="X97" s="1275"/>
      <c r="Y97" s="1275"/>
      <c r="Z97" s="1275"/>
      <c r="AA97" s="1275"/>
      <c r="AB97" s="1275"/>
      <c r="AC97" s="1275"/>
      <c r="AD97" s="1275"/>
      <c r="AE97" s="1275"/>
      <c r="AF97" s="1275"/>
    </row>
    <row r="98" spans="1:32" ht="12">
      <c r="A98" s="1279"/>
      <c r="B98" s="1279"/>
      <c r="C98" s="1275"/>
      <c r="D98" s="1275"/>
      <c r="E98" s="1275"/>
      <c r="F98" s="1275"/>
      <c r="G98" s="1275"/>
      <c r="H98" s="1275"/>
      <c r="I98" s="1275"/>
      <c r="J98" s="1275"/>
      <c r="K98" s="1275"/>
      <c r="L98" s="1275"/>
      <c r="M98" s="1275"/>
      <c r="N98" s="1275"/>
      <c r="O98" s="1275"/>
      <c r="P98" s="1275"/>
      <c r="Q98" s="1279"/>
      <c r="R98" s="1279"/>
      <c r="S98" s="1275"/>
      <c r="T98" s="1275"/>
      <c r="U98" s="1275"/>
      <c r="V98" s="1275"/>
      <c r="W98" s="1275"/>
      <c r="X98" s="1275"/>
      <c r="Y98" s="1275"/>
      <c r="Z98" s="1275"/>
      <c r="AA98" s="1275"/>
      <c r="AB98" s="1275"/>
      <c r="AC98" s="1275"/>
      <c r="AD98" s="1275"/>
      <c r="AE98" s="1275"/>
      <c r="AF98" s="1275"/>
    </row>
    <row r="99" spans="1:32" ht="12">
      <c r="A99" s="1279"/>
      <c r="B99" s="1279"/>
      <c r="C99" s="1275"/>
      <c r="D99" s="1275"/>
      <c r="E99" s="1275"/>
      <c r="F99" s="1275"/>
      <c r="G99" s="1275"/>
      <c r="H99" s="1275"/>
      <c r="I99" s="1275"/>
      <c r="J99" s="1275"/>
      <c r="K99" s="1275"/>
      <c r="L99" s="1275"/>
      <c r="M99" s="1275"/>
      <c r="N99" s="1275"/>
      <c r="O99" s="1275"/>
      <c r="P99" s="1275"/>
      <c r="Q99" s="1279"/>
      <c r="R99" s="1279"/>
      <c r="S99" s="1275"/>
      <c r="T99" s="1275"/>
      <c r="U99" s="1275"/>
      <c r="V99" s="1275"/>
      <c r="W99" s="1275"/>
      <c r="X99" s="1275"/>
      <c r="Y99" s="1275"/>
      <c r="Z99" s="1275"/>
      <c r="AA99" s="1275"/>
      <c r="AB99" s="1275"/>
      <c r="AC99" s="1275"/>
      <c r="AD99" s="1275"/>
      <c r="AE99" s="1275"/>
      <c r="AF99" s="1275"/>
    </row>
    <row r="100" spans="1:32" ht="12">
      <c r="A100" s="1280"/>
      <c r="B100" s="1280"/>
      <c r="C100" s="1276"/>
      <c r="D100" s="1276"/>
      <c r="E100" s="1276"/>
      <c r="F100" s="1276"/>
      <c r="G100" s="1276"/>
      <c r="H100" s="1276"/>
      <c r="I100" s="1276"/>
      <c r="J100" s="1276"/>
      <c r="K100" s="1276"/>
      <c r="L100" s="1276"/>
      <c r="M100" s="1276"/>
      <c r="N100" s="1276"/>
      <c r="O100" s="1276"/>
      <c r="P100" s="1276"/>
      <c r="Q100" s="1280"/>
      <c r="R100" s="1280"/>
      <c r="S100" s="1276"/>
      <c r="T100" s="1276"/>
      <c r="U100" s="1276"/>
      <c r="V100" s="1276"/>
      <c r="W100" s="1276"/>
      <c r="X100" s="1276"/>
      <c r="Y100" s="1276"/>
      <c r="Z100" s="1276"/>
      <c r="AA100" s="1276"/>
      <c r="AB100" s="1276"/>
      <c r="AC100" s="1276"/>
      <c r="AD100" s="1276"/>
      <c r="AE100" s="1276"/>
      <c r="AF100" s="1276"/>
    </row>
    <row r="101" spans="1:32" ht="19.5" customHeight="1">
      <c r="A101" s="832"/>
      <c r="B101" s="832"/>
      <c r="C101" s="832"/>
      <c r="D101" s="832"/>
      <c r="E101" s="832"/>
      <c r="F101" s="832"/>
      <c r="G101" s="832"/>
      <c r="H101" s="830"/>
      <c r="I101" s="830"/>
      <c r="J101" s="830"/>
      <c r="K101" s="830"/>
      <c r="L101" s="830"/>
      <c r="M101" s="830"/>
      <c r="N101" s="830"/>
      <c r="O101" s="830"/>
      <c r="P101" s="831"/>
      <c r="Q101" s="832"/>
      <c r="R101" s="832"/>
      <c r="S101" s="832"/>
      <c r="T101" s="832"/>
      <c r="U101" s="832"/>
      <c r="V101" s="832"/>
      <c r="W101" s="832"/>
      <c r="X101" s="830"/>
      <c r="Y101" s="830"/>
      <c r="Z101" s="830"/>
      <c r="AA101" s="830"/>
      <c r="AB101" s="830"/>
      <c r="AC101" s="830"/>
      <c r="AD101" s="830"/>
      <c r="AE101" s="830"/>
      <c r="AF101" s="831"/>
    </row>
    <row r="102" spans="1:32" ht="24" customHeight="1">
      <c r="A102" s="832"/>
      <c r="B102" s="832"/>
      <c r="C102" s="1297" t="s">
        <v>903</v>
      </c>
      <c r="D102" s="1219" t="s">
        <v>967</v>
      </c>
      <c r="E102" s="1220"/>
      <c r="F102" s="1220"/>
      <c r="G102" s="1220"/>
      <c r="H102" s="1220"/>
      <c r="I102" s="1221"/>
      <c r="J102" s="1298"/>
      <c r="K102" s="1219" t="s">
        <v>968</v>
      </c>
      <c r="L102" s="1220"/>
      <c r="M102" s="1220"/>
      <c r="N102" s="1220"/>
      <c r="O102" s="1220"/>
      <c r="P102" s="1221"/>
      <c r="Q102" s="832"/>
      <c r="R102" s="832"/>
      <c r="S102" s="1297" t="s">
        <v>903</v>
      </c>
      <c r="T102" s="1219" t="s">
        <v>969</v>
      </c>
      <c r="U102" s="1220"/>
      <c r="V102" s="1220"/>
      <c r="W102" s="1220"/>
      <c r="X102" s="1220"/>
      <c r="Y102" s="1221"/>
      <c r="Z102" s="1298"/>
      <c r="AA102" s="1219"/>
      <c r="AB102" s="1220"/>
      <c r="AC102" s="1220"/>
      <c r="AD102" s="1220"/>
      <c r="AE102" s="1220"/>
      <c r="AF102" s="1221"/>
    </row>
    <row r="103" spans="1:32" ht="15">
      <c r="A103" s="832"/>
      <c r="B103" s="832"/>
      <c r="C103" s="1287"/>
      <c r="D103" s="1222"/>
      <c r="E103" s="1223"/>
      <c r="F103" s="1223"/>
      <c r="G103" s="1223"/>
      <c r="H103" s="1223"/>
      <c r="I103" s="1224"/>
      <c r="J103" s="1287"/>
      <c r="K103" s="1222"/>
      <c r="L103" s="1223"/>
      <c r="M103" s="1223"/>
      <c r="N103" s="1223"/>
      <c r="O103" s="1223"/>
      <c r="P103" s="1224"/>
      <c r="Q103" s="832"/>
      <c r="R103" s="832"/>
      <c r="S103" s="1287"/>
      <c r="T103" s="1222"/>
      <c r="U103" s="1223"/>
      <c r="V103" s="1223"/>
      <c r="W103" s="1223"/>
      <c r="X103" s="1223"/>
      <c r="Y103" s="1224"/>
      <c r="Z103" s="1287"/>
      <c r="AA103" s="1222"/>
      <c r="AB103" s="1223"/>
      <c r="AC103" s="1223"/>
      <c r="AD103" s="1223"/>
      <c r="AE103" s="1223"/>
      <c r="AF103" s="1224"/>
    </row>
    <row r="104" spans="1:32" ht="21">
      <c r="A104" s="834"/>
      <c r="B104" s="834"/>
      <c r="C104" s="835"/>
      <c r="D104" s="1300" t="s">
        <v>904</v>
      </c>
      <c r="E104" s="1285"/>
      <c r="F104" s="1285"/>
      <c r="G104" s="1300" t="s">
        <v>905</v>
      </c>
      <c r="H104" s="1285"/>
      <c r="I104" s="1285"/>
      <c r="J104" s="836"/>
      <c r="K104" s="1299" t="s">
        <v>904</v>
      </c>
      <c r="L104" s="1285"/>
      <c r="M104" s="1285"/>
      <c r="N104" s="1300" t="s">
        <v>905</v>
      </c>
      <c r="O104" s="1285"/>
      <c r="P104" s="1286"/>
      <c r="Q104" s="834"/>
      <c r="R104" s="834"/>
      <c r="S104" s="835"/>
      <c r="T104" s="1300" t="s">
        <v>904</v>
      </c>
      <c r="U104" s="1285"/>
      <c r="V104" s="1285"/>
      <c r="W104" s="1300" t="s">
        <v>905</v>
      </c>
      <c r="X104" s="1285"/>
      <c r="Y104" s="1285"/>
      <c r="Z104" s="836"/>
      <c r="AA104" s="1299" t="s">
        <v>904</v>
      </c>
      <c r="AB104" s="1285"/>
      <c r="AC104" s="1285"/>
      <c r="AD104" s="1300" t="s">
        <v>905</v>
      </c>
      <c r="AE104" s="1285"/>
      <c r="AF104" s="1286"/>
    </row>
    <row r="105" spans="1:32" ht="16.5" customHeight="1">
      <c r="A105" s="837"/>
      <c r="B105" s="1303" t="s">
        <v>906</v>
      </c>
      <c r="C105" s="838">
        <v>0.20833333333333334</v>
      </c>
      <c r="D105" s="839"/>
      <c r="E105" s="840"/>
      <c r="F105" s="840"/>
      <c r="G105" s="840"/>
      <c r="H105" s="840"/>
      <c r="I105" s="841"/>
      <c r="J105" s="842">
        <v>0.20833333333333334</v>
      </c>
      <c r="K105" s="843"/>
      <c r="L105" s="844"/>
      <c r="M105" s="844"/>
      <c r="N105" s="844"/>
      <c r="O105" s="844"/>
      <c r="P105" s="845"/>
      <c r="Q105" s="837"/>
      <c r="R105" s="1303" t="s">
        <v>906</v>
      </c>
      <c r="S105" s="838">
        <v>0.20833333333333334</v>
      </c>
      <c r="T105" s="839"/>
      <c r="U105" s="840"/>
      <c r="V105" s="840"/>
      <c r="W105" s="840"/>
      <c r="X105" s="840"/>
      <c r="Y105" s="841"/>
      <c r="Z105" s="842">
        <v>0.20833333333333334</v>
      </c>
      <c r="AA105" s="843"/>
      <c r="AB105" s="844"/>
      <c r="AC105" s="844"/>
      <c r="AD105" s="844"/>
      <c r="AE105" s="844"/>
      <c r="AF105" s="845"/>
    </row>
    <row r="106" spans="1:32" ht="16.5" customHeight="1">
      <c r="A106" s="837"/>
      <c r="B106" s="1302"/>
      <c r="C106" s="846">
        <v>0.21875</v>
      </c>
      <c r="D106" s="847"/>
      <c r="E106" s="848"/>
      <c r="F106" s="848"/>
      <c r="G106" s="848"/>
      <c r="H106" s="848"/>
      <c r="I106" s="849"/>
      <c r="J106" s="850">
        <v>0.21875</v>
      </c>
      <c r="K106" s="851"/>
      <c r="L106" s="852"/>
      <c r="M106" s="852"/>
      <c r="N106" s="852"/>
      <c r="O106" s="852"/>
      <c r="P106" s="853"/>
      <c r="Q106" s="837"/>
      <c r="R106" s="1302"/>
      <c r="S106" s="846">
        <v>0.21875</v>
      </c>
      <c r="T106" s="847"/>
      <c r="U106" s="848"/>
      <c r="V106" s="848"/>
      <c r="W106" s="848"/>
      <c r="X106" s="848"/>
      <c r="Y106" s="849"/>
      <c r="Z106" s="850">
        <v>0.21875</v>
      </c>
      <c r="AA106" s="851"/>
      <c r="AB106" s="852"/>
      <c r="AC106" s="852"/>
      <c r="AD106" s="852"/>
      <c r="AE106" s="852"/>
      <c r="AF106" s="853"/>
    </row>
    <row r="107" spans="1:32" ht="16.5" customHeight="1">
      <c r="A107" s="837"/>
      <c r="B107" s="1302"/>
      <c r="C107" s="854">
        <v>0.22916666666666666</v>
      </c>
      <c r="D107" s="847"/>
      <c r="E107" s="848"/>
      <c r="F107" s="848"/>
      <c r="G107" s="848"/>
      <c r="H107" s="848"/>
      <c r="I107" s="849"/>
      <c r="J107" s="855">
        <v>0.22916666666666666</v>
      </c>
      <c r="K107" s="851"/>
      <c r="L107" s="852"/>
      <c r="M107" s="852"/>
      <c r="N107" s="852"/>
      <c r="O107" s="852"/>
      <c r="P107" s="853"/>
      <c r="Q107" s="837"/>
      <c r="R107" s="1302"/>
      <c r="S107" s="854">
        <v>0.22916666666666666</v>
      </c>
      <c r="T107" s="847"/>
      <c r="U107" s="848"/>
      <c r="V107" s="848"/>
      <c r="W107" s="848"/>
      <c r="X107" s="848"/>
      <c r="Y107" s="849"/>
      <c r="Z107" s="855">
        <v>0.22916666666666666</v>
      </c>
      <c r="AA107" s="851"/>
      <c r="AB107" s="852"/>
      <c r="AC107" s="852"/>
      <c r="AD107" s="852"/>
      <c r="AE107" s="852"/>
      <c r="AF107" s="853"/>
    </row>
    <row r="108" spans="1:32" ht="16.5" customHeight="1">
      <c r="A108" s="837"/>
      <c r="B108" s="1282"/>
      <c r="C108" s="856">
        <v>0.23958333333333334</v>
      </c>
      <c r="D108" s="857"/>
      <c r="E108" s="858"/>
      <c r="F108" s="858"/>
      <c r="G108" s="858"/>
      <c r="H108" s="858"/>
      <c r="I108" s="859"/>
      <c r="J108" s="860">
        <v>0.23958333333333334</v>
      </c>
      <c r="K108" s="861"/>
      <c r="L108" s="862"/>
      <c r="M108" s="862"/>
      <c r="N108" s="862"/>
      <c r="O108" s="862"/>
      <c r="P108" s="863"/>
      <c r="Q108" s="837"/>
      <c r="R108" s="1282"/>
      <c r="S108" s="856">
        <v>0.23958333333333334</v>
      </c>
      <c r="T108" s="857"/>
      <c r="U108" s="858"/>
      <c r="V108" s="858"/>
      <c r="W108" s="858"/>
      <c r="X108" s="858"/>
      <c r="Y108" s="859"/>
      <c r="Z108" s="860">
        <v>0.23958333333333334</v>
      </c>
      <c r="AA108" s="861"/>
      <c r="AB108" s="862"/>
      <c r="AC108" s="862"/>
      <c r="AD108" s="862"/>
      <c r="AE108" s="862"/>
      <c r="AF108" s="863"/>
    </row>
    <row r="109" spans="1:32" ht="16.5" customHeight="1">
      <c r="A109" s="864"/>
      <c r="B109" s="864"/>
      <c r="C109" s="865">
        <v>0.25</v>
      </c>
      <c r="D109" s="866"/>
      <c r="E109" s="867"/>
      <c r="F109" s="867"/>
      <c r="G109" s="867"/>
      <c r="H109" s="867"/>
      <c r="I109" s="867"/>
      <c r="J109" s="868">
        <v>0.25</v>
      </c>
      <c r="K109" s="866"/>
      <c r="L109" s="867"/>
      <c r="M109" s="867"/>
      <c r="N109" s="867"/>
      <c r="O109" s="867"/>
      <c r="P109" s="869"/>
      <c r="Q109" s="864"/>
      <c r="R109" s="864"/>
      <c r="S109" s="865">
        <v>0.25</v>
      </c>
      <c r="T109" s="866"/>
      <c r="U109" s="867"/>
      <c r="V109" s="867"/>
      <c r="W109" s="867"/>
      <c r="X109" s="867"/>
      <c r="Y109" s="867"/>
      <c r="Z109" s="868">
        <v>0.25</v>
      </c>
      <c r="AA109" s="866"/>
      <c r="AB109" s="867"/>
      <c r="AC109" s="867"/>
      <c r="AD109" s="867"/>
      <c r="AE109" s="867"/>
      <c r="AF109" s="869"/>
    </row>
    <row r="110" spans="1:32" ht="16.5" customHeight="1">
      <c r="A110" s="870"/>
      <c r="B110" s="870"/>
      <c r="C110" s="871">
        <v>0.26041666666666669</v>
      </c>
      <c r="D110" s="872"/>
      <c r="E110" s="873"/>
      <c r="F110" s="873"/>
      <c r="G110" s="873"/>
      <c r="H110" s="873"/>
      <c r="I110" s="873"/>
      <c r="J110" s="871">
        <v>0.26041666666666669</v>
      </c>
      <c r="K110" s="872"/>
      <c r="L110" s="873"/>
      <c r="M110" s="873"/>
      <c r="N110" s="873"/>
      <c r="O110" s="873"/>
      <c r="P110" s="874"/>
      <c r="Q110" s="870"/>
      <c r="R110" s="870"/>
      <c r="S110" s="871">
        <v>0.26041666666666669</v>
      </c>
      <c r="T110" s="872"/>
      <c r="U110" s="873"/>
      <c r="V110" s="873"/>
      <c r="W110" s="873"/>
      <c r="X110" s="873"/>
      <c r="Y110" s="873"/>
      <c r="Z110" s="871">
        <v>0.26041666666666669</v>
      </c>
      <c r="AA110" s="872"/>
      <c r="AB110" s="873"/>
      <c r="AC110" s="873"/>
      <c r="AD110" s="873"/>
      <c r="AE110" s="873"/>
      <c r="AF110" s="874"/>
    </row>
    <row r="111" spans="1:32" ht="16.5" customHeight="1">
      <c r="A111" s="875"/>
      <c r="B111" s="875"/>
      <c r="C111" s="876">
        <v>0.27083333333333331</v>
      </c>
      <c r="D111" s="872"/>
      <c r="E111" s="873"/>
      <c r="F111" s="873"/>
      <c r="G111" s="873"/>
      <c r="H111" s="873"/>
      <c r="I111" s="873"/>
      <c r="J111" s="876">
        <v>0.27083333333333331</v>
      </c>
      <c r="K111" s="872"/>
      <c r="L111" s="873"/>
      <c r="M111" s="873"/>
      <c r="N111" s="873"/>
      <c r="O111" s="873"/>
      <c r="P111" s="874"/>
      <c r="Q111" s="875"/>
      <c r="R111" s="875"/>
      <c r="S111" s="876">
        <v>0.27083333333333331</v>
      </c>
      <c r="T111" s="872"/>
      <c r="U111" s="873"/>
      <c r="V111" s="873"/>
      <c r="W111" s="873"/>
      <c r="X111" s="873"/>
      <c r="Y111" s="873"/>
      <c r="Z111" s="876">
        <v>0.27083333333333331</v>
      </c>
      <c r="AA111" s="872"/>
      <c r="AB111" s="873"/>
      <c r="AC111" s="873"/>
      <c r="AD111" s="873"/>
      <c r="AE111" s="873"/>
      <c r="AF111" s="874"/>
    </row>
    <row r="112" spans="1:32" ht="16.5" customHeight="1">
      <c r="A112" s="877"/>
      <c r="B112" s="1301" t="s">
        <v>907</v>
      </c>
      <c r="C112" s="878">
        <v>0.28125</v>
      </c>
      <c r="D112" s="879"/>
      <c r="E112" s="880"/>
      <c r="F112" s="880"/>
      <c r="G112" s="880"/>
      <c r="H112" s="880"/>
      <c r="I112" s="880"/>
      <c r="J112" s="881">
        <v>0.28125</v>
      </c>
      <c r="K112" s="879"/>
      <c r="L112" s="880"/>
      <c r="M112" s="880"/>
      <c r="N112" s="880"/>
      <c r="O112" s="880"/>
      <c r="P112" s="882"/>
      <c r="Q112" s="877"/>
      <c r="R112" s="1301" t="s">
        <v>907</v>
      </c>
      <c r="S112" s="878">
        <v>0.28125</v>
      </c>
      <c r="T112" s="879"/>
      <c r="U112" s="880"/>
      <c r="V112" s="880"/>
      <c r="W112" s="880"/>
      <c r="X112" s="880"/>
      <c r="Y112" s="880"/>
      <c r="Z112" s="881">
        <v>0.28125</v>
      </c>
      <c r="AA112" s="879"/>
      <c r="AB112" s="880"/>
      <c r="AC112" s="880"/>
      <c r="AD112" s="880"/>
      <c r="AE112" s="880"/>
      <c r="AF112" s="882"/>
    </row>
    <row r="113" spans="1:32" ht="16.5" customHeight="1">
      <c r="A113" s="877"/>
      <c r="B113" s="1302"/>
      <c r="C113" s="883">
        <v>0.29166666666666669</v>
      </c>
      <c r="D113" s="884"/>
      <c r="E113" s="885"/>
      <c r="F113" s="885"/>
      <c r="G113" s="885"/>
      <c r="H113" s="885"/>
      <c r="I113" s="885"/>
      <c r="J113" s="886">
        <v>0.29166666666666669</v>
      </c>
      <c r="K113" s="884"/>
      <c r="L113" s="885"/>
      <c r="M113" s="885"/>
      <c r="N113" s="885"/>
      <c r="O113" s="885"/>
      <c r="P113" s="887"/>
      <c r="Q113" s="877"/>
      <c r="R113" s="1302"/>
      <c r="S113" s="883">
        <v>0.29166666666666669</v>
      </c>
      <c r="T113" s="884"/>
      <c r="U113" s="885"/>
      <c r="V113" s="885"/>
      <c r="W113" s="885"/>
      <c r="X113" s="885"/>
      <c r="Y113" s="885"/>
      <c r="Z113" s="886">
        <v>0.29166666666666669</v>
      </c>
      <c r="AA113" s="884"/>
      <c r="AB113" s="885"/>
      <c r="AC113" s="885"/>
      <c r="AD113" s="885"/>
      <c r="AE113" s="885"/>
      <c r="AF113" s="887"/>
    </row>
    <row r="114" spans="1:32" ht="16.5" customHeight="1">
      <c r="A114" s="877"/>
      <c r="B114" s="1302"/>
      <c r="C114" s="888">
        <v>0.30208333333333331</v>
      </c>
      <c r="D114" s="872"/>
      <c r="E114" s="873"/>
      <c r="F114" s="873"/>
      <c r="G114" s="873"/>
      <c r="H114" s="873"/>
      <c r="I114" s="873"/>
      <c r="J114" s="888">
        <v>0.30208333333333331</v>
      </c>
      <c r="K114" s="872"/>
      <c r="L114" s="873"/>
      <c r="M114" s="873"/>
      <c r="N114" s="873"/>
      <c r="O114" s="873"/>
      <c r="P114" s="874"/>
      <c r="Q114" s="877"/>
      <c r="R114" s="1302"/>
      <c r="S114" s="888">
        <v>0.30208333333333331</v>
      </c>
      <c r="T114" s="872"/>
      <c r="U114" s="873"/>
      <c r="V114" s="873"/>
      <c r="W114" s="873"/>
      <c r="X114" s="873"/>
      <c r="Y114" s="873"/>
      <c r="Z114" s="888">
        <v>0.30208333333333331</v>
      </c>
      <c r="AA114" s="872"/>
      <c r="AB114" s="873"/>
      <c r="AC114" s="873"/>
      <c r="AD114" s="873"/>
      <c r="AE114" s="873"/>
      <c r="AF114" s="874"/>
    </row>
    <row r="115" spans="1:32" ht="16.5" customHeight="1">
      <c r="A115" s="877"/>
      <c r="B115" s="1302"/>
      <c r="C115" s="889">
        <v>0.3125</v>
      </c>
      <c r="D115" s="872"/>
      <c r="E115" s="873"/>
      <c r="F115" s="873"/>
      <c r="G115" s="873"/>
      <c r="H115" s="873"/>
      <c r="I115" s="873"/>
      <c r="J115" s="889">
        <v>0.3125</v>
      </c>
      <c r="K115" s="872"/>
      <c r="L115" s="873"/>
      <c r="M115" s="873"/>
      <c r="N115" s="873"/>
      <c r="O115" s="873"/>
      <c r="P115" s="874"/>
      <c r="Q115" s="877"/>
      <c r="R115" s="1302"/>
      <c r="S115" s="889">
        <v>0.3125</v>
      </c>
      <c r="T115" s="872"/>
      <c r="U115" s="873"/>
      <c r="V115" s="873"/>
      <c r="W115" s="873"/>
      <c r="X115" s="873"/>
      <c r="Y115" s="873"/>
      <c r="Z115" s="889">
        <v>0.3125</v>
      </c>
      <c r="AA115" s="872"/>
      <c r="AB115" s="873"/>
      <c r="AC115" s="873"/>
      <c r="AD115" s="873"/>
      <c r="AE115" s="873"/>
      <c r="AF115" s="874"/>
    </row>
    <row r="116" spans="1:32" ht="16.5" customHeight="1">
      <c r="A116" s="877"/>
      <c r="B116" s="1302"/>
      <c r="C116" s="878">
        <v>0.32291666666666669</v>
      </c>
      <c r="D116" s="879"/>
      <c r="E116" s="880"/>
      <c r="F116" s="880"/>
      <c r="G116" s="880"/>
      <c r="H116" s="880"/>
      <c r="I116" s="880"/>
      <c r="J116" s="881">
        <v>0.32291666666666669</v>
      </c>
      <c r="K116" s="879"/>
      <c r="L116" s="880"/>
      <c r="M116" s="880"/>
      <c r="N116" s="880"/>
      <c r="O116" s="880"/>
      <c r="P116" s="882"/>
      <c r="Q116" s="877"/>
      <c r="R116" s="1302"/>
      <c r="S116" s="878">
        <v>0.32291666666666669</v>
      </c>
      <c r="T116" s="879"/>
      <c r="U116" s="880"/>
      <c r="V116" s="880"/>
      <c r="W116" s="880"/>
      <c r="X116" s="880"/>
      <c r="Y116" s="880"/>
      <c r="Z116" s="881">
        <v>0.32291666666666669</v>
      </c>
      <c r="AA116" s="879"/>
      <c r="AB116" s="880"/>
      <c r="AC116" s="880"/>
      <c r="AD116" s="880"/>
      <c r="AE116" s="880"/>
      <c r="AF116" s="882"/>
    </row>
    <row r="117" spans="1:32" ht="16.5" customHeight="1">
      <c r="A117" s="877"/>
      <c r="B117" s="1302"/>
      <c r="C117" s="883">
        <v>0.33333333333333331</v>
      </c>
      <c r="D117" s="884"/>
      <c r="E117" s="885"/>
      <c r="F117" s="885"/>
      <c r="G117" s="885"/>
      <c r="H117" s="885"/>
      <c r="I117" s="885"/>
      <c r="J117" s="886">
        <v>0.33333333333333331</v>
      </c>
      <c r="K117" s="884"/>
      <c r="L117" s="885"/>
      <c r="M117" s="885"/>
      <c r="N117" s="885"/>
      <c r="O117" s="885"/>
      <c r="P117" s="887"/>
      <c r="Q117" s="877"/>
      <c r="R117" s="1302"/>
      <c r="S117" s="883">
        <v>0.33333333333333331</v>
      </c>
      <c r="T117" s="884"/>
      <c r="U117" s="885"/>
      <c r="V117" s="885"/>
      <c r="W117" s="885"/>
      <c r="X117" s="885"/>
      <c r="Y117" s="885"/>
      <c r="Z117" s="886">
        <v>0.33333333333333331</v>
      </c>
      <c r="AA117" s="884"/>
      <c r="AB117" s="885"/>
      <c r="AC117" s="885"/>
      <c r="AD117" s="885"/>
      <c r="AE117" s="885"/>
      <c r="AF117" s="887"/>
    </row>
    <row r="118" spans="1:32" ht="16.5" customHeight="1">
      <c r="A118" s="877"/>
      <c r="B118" s="1302"/>
      <c r="C118" s="888">
        <v>0.34375</v>
      </c>
      <c r="D118" s="872"/>
      <c r="E118" s="873"/>
      <c r="F118" s="873"/>
      <c r="G118" s="873"/>
      <c r="H118" s="873"/>
      <c r="I118" s="873"/>
      <c r="J118" s="888">
        <v>0.34375</v>
      </c>
      <c r="K118" s="872"/>
      <c r="L118" s="873"/>
      <c r="M118" s="873"/>
      <c r="N118" s="873"/>
      <c r="O118" s="873"/>
      <c r="P118" s="874"/>
      <c r="Q118" s="877"/>
      <c r="R118" s="1302"/>
      <c r="S118" s="888">
        <v>0.34375</v>
      </c>
      <c r="T118" s="872"/>
      <c r="U118" s="873"/>
      <c r="V118" s="873"/>
      <c r="W118" s="873"/>
      <c r="X118" s="873"/>
      <c r="Y118" s="873"/>
      <c r="Z118" s="888">
        <v>0.34375</v>
      </c>
      <c r="AA118" s="872"/>
      <c r="AB118" s="873"/>
      <c r="AC118" s="873"/>
      <c r="AD118" s="873"/>
      <c r="AE118" s="873"/>
      <c r="AF118" s="874"/>
    </row>
    <row r="119" spans="1:32" ht="16.5" customHeight="1">
      <c r="A119" s="877"/>
      <c r="B119" s="1282"/>
      <c r="C119" s="889">
        <v>0.35416666666666669</v>
      </c>
      <c r="D119" s="872"/>
      <c r="E119" s="873"/>
      <c r="F119" s="873"/>
      <c r="G119" s="873"/>
      <c r="H119" s="873"/>
      <c r="I119" s="873"/>
      <c r="J119" s="889">
        <v>0.35416666666666669</v>
      </c>
      <c r="K119" s="872"/>
      <c r="L119" s="873"/>
      <c r="M119" s="873"/>
      <c r="N119" s="873"/>
      <c r="O119" s="873"/>
      <c r="P119" s="874"/>
      <c r="Q119" s="877"/>
      <c r="R119" s="1282"/>
      <c r="S119" s="889">
        <v>0.35416666666666669</v>
      </c>
      <c r="T119" s="872"/>
      <c r="U119" s="873"/>
      <c r="V119" s="873"/>
      <c r="W119" s="873"/>
      <c r="X119" s="873"/>
      <c r="Y119" s="873"/>
      <c r="Z119" s="889">
        <v>0.35416666666666669</v>
      </c>
      <c r="AA119" s="872"/>
      <c r="AB119" s="873"/>
      <c r="AC119" s="873"/>
      <c r="AD119" s="873"/>
      <c r="AE119" s="873"/>
      <c r="AF119" s="874"/>
    </row>
    <row r="120" spans="1:32" ht="16.5" customHeight="1" thickBot="1">
      <c r="A120" s="870"/>
      <c r="B120" s="870"/>
      <c r="C120" s="890">
        <v>0.36458333333333331</v>
      </c>
      <c r="D120" s="891"/>
      <c r="E120" s="892"/>
      <c r="F120" s="892"/>
      <c r="G120" s="892"/>
      <c r="H120" s="892"/>
      <c r="I120" s="892"/>
      <c r="J120" s="893">
        <v>0.36458333333333331</v>
      </c>
      <c r="K120" s="879"/>
      <c r="L120" s="880"/>
      <c r="M120" s="880"/>
      <c r="N120" s="880"/>
      <c r="O120" s="880"/>
      <c r="P120" s="882"/>
      <c r="Q120" s="870"/>
      <c r="R120" s="870"/>
      <c r="S120" s="894">
        <v>0.36458333333333331</v>
      </c>
      <c r="T120" s="879"/>
      <c r="U120" s="880"/>
      <c r="V120" s="880"/>
      <c r="W120" s="880"/>
      <c r="X120" s="880"/>
      <c r="Y120" s="880"/>
      <c r="Z120" s="893">
        <v>0.36458333333333331</v>
      </c>
      <c r="AA120" s="879"/>
      <c r="AB120" s="880"/>
      <c r="AC120" s="880"/>
      <c r="AD120" s="880"/>
      <c r="AE120" s="880"/>
      <c r="AF120" s="882"/>
    </row>
    <row r="121" spans="1:32" ht="16.5" customHeight="1" thickTop="1">
      <c r="A121" s="864"/>
      <c r="B121" s="864"/>
      <c r="C121" s="895">
        <v>0.375</v>
      </c>
      <c r="D121" s="896"/>
      <c r="E121" s="897"/>
      <c r="F121" s="897"/>
      <c r="G121" s="897"/>
      <c r="H121" s="897"/>
      <c r="I121" s="898"/>
      <c r="J121" s="868">
        <v>0.375</v>
      </c>
      <c r="K121" s="884"/>
      <c r="L121" s="885"/>
      <c r="M121" s="885"/>
      <c r="N121" s="885"/>
      <c r="O121" s="885"/>
      <c r="P121" s="887"/>
      <c r="Q121" s="864"/>
      <c r="R121" s="864"/>
      <c r="S121" s="865">
        <v>0.375</v>
      </c>
      <c r="T121" s="884"/>
      <c r="U121" s="885"/>
      <c r="V121" s="885"/>
      <c r="W121" s="885"/>
      <c r="X121" s="885"/>
      <c r="Y121" s="885"/>
      <c r="Z121" s="868">
        <v>0.375</v>
      </c>
      <c r="AA121" s="884"/>
      <c r="AB121" s="885"/>
      <c r="AC121" s="885"/>
      <c r="AD121" s="885"/>
      <c r="AE121" s="885"/>
      <c r="AF121" s="887"/>
    </row>
    <row r="122" spans="1:32" ht="16.5" customHeight="1">
      <c r="A122" s="870"/>
      <c r="B122" s="870"/>
      <c r="C122" s="871">
        <v>0.38541666666666669</v>
      </c>
      <c r="D122" s="872"/>
      <c r="E122" s="873"/>
      <c r="F122" s="873"/>
      <c r="G122" s="873"/>
      <c r="H122" s="873"/>
      <c r="I122" s="873"/>
      <c r="J122" s="871">
        <v>0.38541666666666669</v>
      </c>
      <c r="K122" s="872"/>
      <c r="L122" s="873"/>
      <c r="M122" s="873"/>
      <c r="N122" s="873"/>
      <c r="O122" s="873"/>
      <c r="P122" s="874"/>
      <c r="Q122" s="870"/>
      <c r="R122" s="870"/>
      <c r="S122" s="871">
        <v>0.38541666666666669</v>
      </c>
      <c r="T122" s="872"/>
      <c r="U122" s="873"/>
      <c r="V122" s="873"/>
      <c r="W122" s="873"/>
      <c r="X122" s="873"/>
      <c r="Y122" s="873"/>
      <c r="Z122" s="871">
        <v>0.38541666666666669</v>
      </c>
      <c r="AA122" s="872"/>
      <c r="AB122" s="873"/>
      <c r="AC122" s="873"/>
      <c r="AD122" s="873"/>
      <c r="AE122" s="873"/>
      <c r="AF122" s="874"/>
    </row>
    <row r="123" spans="1:32" ht="16.5" customHeight="1">
      <c r="A123" s="875"/>
      <c r="B123" s="875"/>
      <c r="C123" s="876">
        <v>0.39583333333333331</v>
      </c>
      <c r="D123" s="872"/>
      <c r="E123" s="873"/>
      <c r="F123" s="873"/>
      <c r="G123" s="873"/>
      <c r="H123" s="873"/>
      <c r="I123" s="873"/>
      <c r="J123" s="876">
        <v>0.39583333333333331</v>
      </c>
      <c r="K123" s="872"/>
      <c r="L123" s="873"/>
      <c r="M123" s="873"/>
      <c r="N123" s="873"/>
      <c r="O123" s="873"/>
      <c r="P123" s="874"/>
      <c r="Q123" s="875"/>
      <c r="R123" s="875"/>
      <c r="S123" s="876">
        <v>0.39583333333333331</v>
      </c>
      <c r="T123" s="872"/>
      <c r="U123" s="873"/>
      <c r="V123" s="873"/>
      <c r="W123" s="873"/>
      <c r="X123" s="873"/>
      <c r="Y123" s="873"/>
      <c r="Z123" s="876">
        <v>0.39583333333333331</v>
      </c>
      <c r="AA123" s="872"/>
      <c r="AB123" s="873"/>
      <c r="AC123" s="873"/>
      <c r="AD123" s="873"/>
      <c r="AE123" s="873"/>
      <c r="AF123" s="874"/>
    </row>
    <row r="124" spans="1:32" ht="16.5" customHeight="1" thickBot="1">
      <c r="A124" s="870"/>
      <c r="B124" s="870"/>
      <c r="C124" s="890">
        <v>0.40625</v>
      </c>
      <c r="D124" s="891"/>
      <c r="E124" s="892"/>
      <c r="F124" s="892"/>
      <c r="G124" s="892"/>
      <c r="H124" s="892"/>
      <c r="I124" s="892"/>
      <c r="J124" s="893">
        <v>0.40625</v>
      </c>
      <c r="K124" s="879"/>
      <c r="L124" s="880"/>
      <c r="M124" s="880"/>
      <c r="N124" s="880"/>
      <c r="O124" s="880"/>
      <c r="P124" s="882"/>
      <c r="Q124" s="870"/>
      <c r="R124" s="870"/>
      <c r="S124" s="894">
        <v>0.40625</v>
      </c>
      <c r="T124" s="879"/>
      <c r="U124" s="880"/>
      <c r="V124" s="880"/>
      <c r="W124" s="880"/>
      <c r="X124" s="880"/>
      <c r="Y124" s="880"/>
      <c r="Z124" s="893">
        <v>0.40625</v>
      </c>
      <c r="AA124" s="879"/>
      <c r="AB124" s="880"/>
      <c r="AC124" s="880"/>
      <c r="AD124" s="880"/>
      <c r="AE124" s="880"/>
      <c r="AF124" s="882"/>
    </row>
    <row r="125" spans="1:32" ht="16.5" customHeight="1" thickTop="1">
      <c r="A125" s="864"/>
      <c r="B125" s="864"/>
      <c r="C125" s="899">
        <v>0.41666666666666669</v>
      </c>
      <c r="D125" s="900"/>
      <c r="E125" s="901"/>
      <c r="F125" s="901"/>
      <c r="G125" s="901"/>
      <c r="H125" s="901"/>
      <c r="I125" s="902"/>
      <c r="J125" s="868">
        <v>0.41666666666666669</v>
      </c>
      <c r="K125" s="884"/>
      <c r="L125" s="885"/>
      <c r="M125" s="885"/>
      <c r="N125" s="885"/>
      <c r="O125" s="885"/>
      <c r="P125" s="887"/>
      <c r="Q125" s="864"/>
      <c r="R125" s="864"/>
      <c r="S125" s="865">
        <v>0.41666666666666669</v>
      </c>
      <c r="T125" s="884"/>
      <c r="U125" s="885"/>
      <c r="V125" s="885"/>
      <c r="W125" s="885"/>
      <c r="X125" s="885"/>
      <c r="Y125" s="885"/>
      <c r="Z125" s="868">
        <v>0.41666666666666669</v>
      </c>
      <c r="AA125" s="884"/>
      <c r="AB125" s="885"/>
      <c r="AC125" s="885"/>
      <c r="AD125" s="885"/>
      <c r="AE125" s="885"/>
      <c r="AF125" s="887"/>
    </row>
    <row r="126" spans="1:32" ht="16.5" customHeight="1">
      <c r="A126" s="870"/>
      <c r="B126" s="870"/>
      <c r="C126" s="871">
        <v>0.42708333333333331</v>
      </c>
      <c r="D126" s="872"/>
      <c r="E126" s="873"/>
      <c r="F126" s="873"/>
      <c r="G126" s="873"/>
      <c r="H126" s="873"/>
      <c r="I126" s="873"/>
      <c r="J126" s="871">
        <v>0.42708333333333331</v>
      </c>
      <c r="K126" s="872"/>
      <c r="L126" s="873"/>
      <c r="M126" s="873"/>
      <c r="N126" s="873"/>
      <c r="O126" s="873"/>
      <c r="P126" s="874"/>
      <c r="Q126" s="870"/>
      <c r="R126" s="870"/>
      <c r="S126" s="871">
        <v>0.42708333333333331</v>
      </c>
      <c r="T126" s="872"/>
      <c r="U126" s="873"/>
      <c r="V126" s="873"/>
      <c r="W126" s="873"/>
      <c r="X126" s="873"/>
      <c r="Y126" s="873"/>
      <c r="Z126" s="871">
        <v>0.42708333333333331</v>
      </c>
      <c r="AA126" s="872"/>
      <c r="AB126" s="873"/>
      <c r="AC126" s="873"/>
      <c r="AD126" s="873"/>
      <c r="AE126" s="873"/>
      <c r="AF126" s="874"/>
    </row>
    <row r="127" spans="1:32" ht="16.5" customHeight="1">
      <c r="A127" s="875"/>
      <c r="B127" s="875"/>
      <c r="C127" s="876">
        <v>0.4375</v>
      </c>
      <c r="D127" s="872"/>
      <c r="E127" s="873"/>
      <c r="F127" s="873"/>
      <c r="G127" s="873"/>
      <c r="H127" s="873"/>
      <c r="I127" s="873"/>
      <c r="J127" s="876">
        <v>0.4375</v>
      </c>
      <c r="K127" s="872"/>
      <c r="L127" s="873"/>
      <c r="M127" s="873"/>
      <c r="N127" s="873"/>
      <c r="O127" s="873"/>
      <c r="P127" s="874"/>
      <c r="Q127" s="875"/>
      <c r="R127" s="875"/>
      <c r="S127" s="876">
        <v>0.4375</v>
      </c>
      <c r="T127" s="872"/>
      <c r="U127" s="873"/>
      <c r="V127" s="873"/>
      <c r="W127" s="873"/>
      <c r="X127" s="873"/>
      <c r="Y127" s="873"/>
      <c r="Z127" s="876">
        <v>0.4375</v>
      </c>
      <c r="AA127" s="872"/>
      <c r="AB127" s="873"/>
      <c r="AC127" s="873"/>
      <c r="AD127" s="873"/>
      <c r="AE127" s="873"/>
      <c r="AF127" s="874"/>
    </row>
    <row r="128" spans="1:32" ht="16.5" customHeight="1">
      <c r="A128" s="870"/>
      <c r="B128" s="870"/>
      <c r="C128" s="894">
        <v>0.44791666666666669</v>
      </c>
      <c r="D128" s="879"/>
      <c r="E128" s="880"/>
      <c r="F128" s="880"/>
      <c r="G128" s="880"/>
      <c r="H128" s="880"/>
      <c r="I128" s="880"/>
      <c r="J128" s="893">
        <v>0.44791666666666669</v>
      </c>
      <c r="K128" s="879"/>
      <c r="L128" s="880"/>
      <c r="M128" s="880"/>
      <c r="N128" s="880"/>
      <c r="O128" s="880"/>
      <c r="P128" s="882"/>
      <c r="Q128" s="870"/>
      <c r="R128" s="870"/>
      <c r="S128" s="894">
        <v>0.44791666666666669</v>
      </c>
      <c r="T128" s="879"/>
      <c r="U128" s="880"/>
      <c r="V128" s="880"/>
      <c r="W128" s="880"/>
      <c r="X128" s="880"/>
      <c r="Y128" s="880"/>
      <c r="Z128" s="893">
        <v>0.44791666666666669</v>
      </c>
      <c r="AA128" s="879"/>
      <c r="AB128" s="880"/>
      <c r="AC128" s="880"/>
      <c r="AD128" s="880"/>
      <c r="AE128" s="880"/>
      <c r="AF128" s="882"/>
    </row>
    <row r="129" spans="1:32" ht="16.5" customHeight="1">
      <c r="A129" s="864"/>
      <c r="B129" s="864"/>
      <c r="C129" s="865">
        <v>0.45833333333333331</v>
      </c>
      <c r="D129" s="884"/>
      <c r="E129" s="885"/>
      <c r="F129" s="885"/>
      <c r="G129" s="885"/>
      <c r="H129" s="885"/>
      <c r="I129" s="885"/>
      <c r="J129" s="868">
        <v>0.45833333333333331</v>
      </c>
      <c r="K129" s="884"/>
      <c r="L129" s="885"/>
      <c r="M129" s="885"/>
      <c r="N129" s="885"/>
      <c r="O129" s="885"/>
      <c r="P129" s="887"/>
      <c r="Q129" s="864"/>
      <c r="R129" s="864"/>
      <c r="S129" s="865">
        <v>0.45833333333333331</v>
      </c>
      <c r="T129" s="884"/>
      <c r="U129" s="885"/>
      <c r="V129" s="885"/>
      <c r="W129" s="885"/>
      <c r="X129" s="885"/>
      <c r="Y129" s="885"/>
      <c r="Z129" s="868">
        <v>0.45833333333333331</v>
      </c>
      <c r="AA129" s="884"/>
      <c r="AB129" s="885"/>
      <c r="AC129" s="885"/>
      <c r="AD129" s="885"/>
      <c r="AE129" s="885"/>
      <c r="AF129" s="887"/>
    </row>
    <row r="130" spans="1:32" ht="16.5" customHeight="1">
      <c r="A130" s="870"/>
      <c r="B130" s="870"/>
      <c r="C130" s="871">
        <v>0.46875</v>
      </c>
      <c r="D130" s="872"/>
      <c r="E130" s="873"/>
      <c r="F130" s="873"/>
      <c r="G130" s="873"/>
      <c r="H130" s="873"/>
      <c r="I130" s="873"/>
      <c r="J130" s="871">
        <v>0.46875</v>
      </c>
      <c r="K130" s="872"/>
      <c r="L130" s="873"/>
      <c r="M130" s="873"/>
      <c r="N130" s="873"/>
      <c r="O130" s="873"/>
      <c r="P130" s="874"/>
      <c r="Q130" s="870"/>
      <c r="R130" s="870"/>
      <c r="S130" s="871">
        <v>0.46875</v>
      </c>
      <c r="T130" s="872"/>
      <c r="U130" s="873"/>
      <c r="V130" s="873"/>
      <c r="W130" s="873"/>
      <c r="X130" s="873"/>
      <c r="Y130" s="873"/>
      <c r="Z130" s="871">
        <v>0.46875</v>
      </c>
      <c r="AA130" s="872"/>
      <c r="AB130" s="873"/>
      <c r="AC130" s="873"/>
      <c r="AD130" s="873"/>
      <c r="AE130" s="873"/>
      <c r="AF130" s="874"/>
    </row>
    <row r="131" spans="1:32" ht="16.5" customHeight="1">
      <c r="A131" s="877"/>
      <c r="B131" s="1301" t="s">
        <v>907</v>
      </c>
      <c r="C131" s="889">
        <v>0.47916666666666669</v>
      </c>
      <c r="D131" s="872"/>
      <c r="E131" s="873"/>
      <c r="F131" s="873"/>
      <c r="G131" s="873"/>
      <c r="H131" s="873"/>
      <c r="I131" s="873"/>
      <c r="J131" s="889">
        <v>0.47916666666666669</v>
      </c>
      <c r="K131" s="872"/>
      <c r="L131" s="873"/>
      <c r="M131" s="873"/>
      <c r="N131" s="873"/>
      <c r="O131" s="873"/>
      <c r="P131" s="874"/>
      <c r="Q131" s="877"/>
      <c r="R131" s="1301" t="s">
        <v>907</v>
      </c>
      <c r="S131" s="889">
        <v>0.47916666666666669</v>
      </c>
      <c r="T131" s="872"/>
      <c r="U131" s="873"/>
      <c r="V131" s="873"/>
      <c r="W131" s="873"/>
      <c r="X131" s="873"/>
      <c r="Y131" s="873"/>
      <c r="Z131" s="889">
        <v>0.47916666666666669</v>
      </c>
      <c r="AA131" s="872"/>
      <c r="AB131" s="873"/>
      <c r="AC131" s="873"/>
      <c r="AD131" s="873"/>
      <c r="AE131" s="873"/>
      <c r="AF131" s="874"/>
    </row>
    <row r="132" spans="1:32" ht="16.5" customHeight="1">
      <c r="A132" s="877"/>
      <c r="B132" s="1302"/>
      <c r="C132" s="878">
        <v>0.48958333333333331</v>
      </c>
      <c r="D132" s="879"/>
      <c r="E132" s="880"/>
      <c r="F132" s="880"/>
      <c r="G132" s="880"/>
      <c r="H132" s="880"/>
      <c r="I132" s="880"/>
      <c r="J132" s="881">
        <v>0.48958333333333331</v>
      </c>
      <c r="K132" s="879"/>
      <c r="L132" s="880"/>
      <c r="M132" s="880"/>
      <c r="N132" s="880"/>
      <c r="O132" s="880"/>
      <c r="P132" s="882"/>
      <c r="Q132" s="877"/>
      <c r="R132" s="1302"/>
      <c r="S132" s="878">
        <v>0.48958333333333331</v>
      </c>
      <c r="T132" s="879"/>
      <c r="U132" s="880"/>
      <c r="V132" s="880"/>
      <c r="W132" s="880"/>
      <c r="X132" s="880"/>
      <c r="Y132" s="880"/>
      <c r="Z132" s="881">
        <v>0.48958333333333331</v>
      </c>
      <c r="AA132" s="879"/>
      <c r="AB132" s="880"/>
      <c r="AC132" s="880"/>
      <c r="AD132" s="880"/>
      <c r="AE132" s="880"/>
      <c r="AF132" s="882"/>
    </row>
    <row r="133" spans="1:32" ht="16.5" customHeight="1">
      <c r="A133" s="877"/>
      <c r="B133" s="1302"/>
      <c r="C133" s="883">
        <v>0.5</v>
      </c>
      <c r="D133" s="884"/>
      <c r="E133" s="885"/>
      <c r="F133" s="885"/>
      <c r="G133" s="885"/>
      <c r="H133" s="885"/>
      <c r="I133" s="885"/>
      <c r="J133" s="886">
        <v>0.5</v>
      </c>
      <c r="K133" s="884"/>
      <c r="L133" s="885"/>
      <c r="M133" s="885"/>
      <c r="N133" s="885"/>
      <c r="O133" s="885"/>
      <c r="P133" s="887"/>
      <c r="Q133" s="877"/>
      <c r="R133" s="1302"/>
      <c r="S133" s="883">
        <v>0.5</v>
      </c>
      <c r="T133" s="884"/>
      <c r="U133" s="885"/>
      <c r="V133" s="885"/>
      <c r="W133" s="885"/>
      <c r="X133" s="885"/>
      <c r="Y133" s="885"/>
      <c r="Z133" s="886">
        <v>0.5</v>
      </c>
      <c r="AA133" s="884"/>
      <c r="AB133" s="885"/>
      <c r="AC133" s="885"/>
      <c r="AD133" s="885"/>
      <c r="AE133" s="885"/>
      <c r="AF133" s="887"/>
    </row>
    <row r="134" spans="1:32" ht="16.5" customHeight="1">
      <c r="A134" s="877"/>
      <c r="B134" s="1302"/>
      <c r="C134" s="888">
        <v>0.51041666666666663</v>
      </c>
      <c r="D134" s="872"/>
      <c r="E134" s="873"/>
      <c r="F134" s="873"/>
      <c r="G134" s="873"/>
      <c r="H134" s="873"/>
      <c r="I134" s="873"/>
      <c r="J134" s="888">
        <v>0.51041666666666663</v>
      </c>
      <c r="K134" s="872"/>
      <c r="L134" s="873"/>
      <c r="M134" s="873"/>
      <c r="N134" s="873"/>
      <c r="O134" s="873"/>
      <c r="P134" s="874"/>
      <c r="Q134" s="877"/>
      <c r="R134" s="1302"/>
      <c r="S134" s="888">
        <v>0.51041666666666663</v>
      </c>
      <c r="T134" s="872"/>
      <c r="U134" s="873"/>
      <c r="V134" s="873"/>
      <c r="W134" s="873"/>
      <c r="X134" s="873"/>
      <c r="Y134" s="873"/>
      <c r="Z134" s="888">
        <v>0.51041666666666663</v>
      </c>
      <c r="AA134" s="872"/>
      <c r="AB134" s="873"/>
      <c r="AC134" s="873"/>
      <c r="AD134" s="873"/>
      <c r="AE134" s="873"/>
      <c r="AF134" s="874"/>
    </row>
    <row r="135" spans="1:32" ht="16.5" customHeight="1">
      <c r="A135" s="877"/>
      <c r="B135" s="1302"/>
      <c r="C135" s="889">
        <v>0.52083333333333337</v>
      </c>
      <c r="D135" s="872"/>
      <c r="E135" s="873"/>
      <c r="F135" s="873"/>
      <c r="G135" s="873"/>
      <c r="H135" s="873"/>
      <c r="I135" s="873"/>
      <c r="J135" s="889">
        <v>0.52083333333333337</v>
      </c>
      <c r="K135" s="872"/>
      <c r="L135" s="873"/>
      <c r="M135" s="873"/>
      <c r="N135" s="873"/>
      <c r="O135" s="873"/>
      <c r="P135" s="874"/>
      <c r="Q135" s="877"/>
      <c r="R135" s="1302"/>
      <c r="S135" s="889">
        <v>0.52083333333333337</v>
      </c>
      <c r="T135" s="872"/>
      <c r="U135" s="873"/>
      <c r="V135" s="873"/>
      <c r="W135" s="873"/>
      <c r="X135" s="873"/>
      <c r="Y135" s="873"/>
      <c r="Z135" s="889">
        <v>0.52083333333333337</v>
      </c>
      <c r="AA135" s="872"/>
      <c r="AB135" s="873"/>
      <c r="AC135" s="873"/>
      <c r="AD135" s="873"/>
      <c r="AE135" s="873"/>
      <c r="AF135" s="874"/>
    </row>
    <row r="136" spans="1:32" ht="16.5" customHeight="1">
      <c r="A136" s="877"/>
      <c r="B136" s="1302"/>
      <c r="C136" s="878">
        <v>0.53125</v>
      </c>
      <c r="D136" s="879"/>
      <c r="E136" s="880"/>
      <c r="F136" s="880"/>
      <c r="G136" s="880"/>
      <c r="H136" s="880"/>
      <c r="I136" s="880"/>
      <c r="J136" s="881">
        <v>0.53125</v>
      </c>
      <c r="K136" s="879"/>
      <c r="L136" s="880"/>
      <c r="M136" s="880"/>
      <c r="N136" s="880"/>
      <c r="O136" s="880"/>
      <c r="P136" s="882"/>
      <c r="Q136" s="877"/>
      <c r="R136" s="1302"/>
      <c r="S136" s="878">
        <v>0.53125</v>
      </c>
      <c r="T136" s="879"/>
      <c r="U136" s="880"/>
      <c r="V136" s="880"/>
      <c r="W136" s="880"/>
      <c r="X136" s="880"/>
      <c r="Y136" s="880"/>
      <c r="Z136" s="881">
        <v>0.53125</v>
      </c>
      <c r="AA136" s="879"/>
      <c r="AB136" s="880"/>
      <c r="AC136" s="880"/>
      <c r="AD136" s="880"/>
      <c r="AE136" s="880"/>
      <c r="AF136" s="882"/>
    </row>
    <row r="137" spans="1:32" ht="16.5" customHeight="1">
      <c r="A137" s="877"/>
      <c r="B137" s="1302"/>
      <c r="C137" s="883">
        <v>0.54166666666666663</v>
      </c>
      <c r="D137" s="884"/>
      <c r="E137" s="885"/>
      <c r="F137" s="885"/>
      <c r="G137" s="885"/>
      <c r="H137" s="885"/>
      <c r="I137" s="885"/>
      <c r="J137" s="886">
        <v>0.54166666666666663</v>
      </c>
      <c r="K137" s="903"/>
      <c r="L137" s="885"/>
      <c r="M137" s="885"/>
      <c r="N137" s="885"/>
      <c r="O137" s="885"/>
      <c r="P137" s="887"/>
      <c r="Q137" s="877"/>
      <c r="R137" s="1302"/>
      <c r="S137" s="883">
        <v>0.54166666666666663</v>
      </c>
      <c r="T137" s="884"/>
      <c r="U137" s="885"/>
      <c r="V137" s="885"/>
      <c r="W137" s="885"/>
      <c r="X137" s="885"/>
      <c r="Y137" s="885"/>
      <c r="Z137" s="886">
        <v>0.54166666666666663</v>
      </c>
      <c r="AA137" s="903"/>
      <c r="AB137" s="885"/>
      <c r="AC137" s="885"/>
      <c r="AD137" s="885"/>
      <c r="AE137" s="885"/>
      <c r="AF137" s="887"/>
    </row>
    <row r="138" spans="1:32" ht="16.5" customHeight="1">
      <c r="A138" s="877"/>
      <c r="B138" s="1282"/>
      <c r="C138" s="888">
        <v>0.55208333333333337</v>
      </c>
      <c r="D138" s="872"/>
      <c r="E138" s="873"/>
      <c r="F138" s="873"/>
      <c r="G138" s="873"/>
      <c r="H138" s="873"/>
      <c r="I138" s="873"/>
      <c r="J138" s="888">
        <v>0.55208333333333337</v>
      </c>
      <c r="K138" s="872"/>
      <c r="L138" s="873"/>
      <c r="M138" s="873"/>
      <c r="N138" s="873"/>
      <c r="O138" s="873"/>
      <c r="P138" s="874"/>
      <c r="Q138" s="877"/>
      <c r="R138" s="1282"/>
      <c r="S138" s="888">
        <v>0.55208333333333337</v>
      </c>
      <c r="T138" s="872"/>
      <c r="U138" s="873"/>
      <c r="V138" s="873"/>
      <c r="W138" s="873"/>
      <c r="X138" s="873"/>
      <c r="Y138" s="873"/>
      <c r="Z138" s="888">
        <v>0.55208333333333337</v>
      </c>
      <c r="AA138" s="872"/>
      <c r="AB138" s="873"/>
      <c r="AC138" s="873"/>
      <c r="AD138" s="873"/>
      <c r="AE138" s="873"/>
      <c r="AF138" s="874"/>
    </row>
    <row r="139" spans="1:32" ht="16.5" customHeight="1">
      <c r="A139" s="875"/>
      <c r="B139" s="875"/>
      <c r="C139" s="876">
        <v>0.5625</v>
      </c>
      <c r="D139" s="872"/>
      <c r="E139" s="873"/>
      <c r="F139" s="873"/>
      <c r="G139" s="873"/>
      <c r="H139" s="873"/>
      <c r="I139" s="873"/>
      <c r="J139" s="876">
        <v>0.5625</v>
      </c>
      <c r="K139" s="872"/>
      <c r="L139" s="873"/>
      <c r="M139" s="873"/>
      <c r="N139" s="873"/>
      <c r="O139" s="873"/>
      <c r="P139" s="874"/>
      <c r="Q139" s="875"/>
      <c r="R139" s="875"/>
      <c r="S139" s="876">
        <v>0.5625</v>
      </c>
      <c r="T139" s="872"/>
      <c r="U139" s="873"/>
      <c r="V139" s="873"/>
      <c r="W139" s="873"/>
      <c r="X139" s="873"/>
      <c r="Y139" s="873"/>
      <c r="Z139" s="904">
        <v>0.5625</v>
      </c>
      <c r="AA139" s="873"/>
      <c r="AB139" s="873"/>
      <c r="AC139" s="873"/>
      <c r="AD139" s="873"/>
      <c r="AE139" s="873"/>
      <c r="AF139" s="874"/>
    </row>
    <row r="140" spans="1:32" ht="16.5" customHeight="1">
      <c r="A140" s="870"/>
      <c r="B140" s="870"/>
      <c r="C140" s="894">
        <v>0.57291666666666663</v>
      </c>
      <c r="D140" s="879"/>
      <c r="E140" s="880"/>
      <c r="F140" s="880"/>
      <c r="G140" s="880"/>
      <c r="H140" s="880"/>
      <c r="I140" s="880"/>
      <c r="J140" s="893">
        <v>0.57291666666666663</v>
      </c>
      <c r="K140" s="879"/>
      <c r="L140" s="880"/>
      <c r="M140" s="880"/>
      <c r="N140" s="880"/>
      <c r="O140" s="880"/>
      <c r="P140" s="882"/>
      <c r="Q140" s="870"/>
      <c r="R140" s="870"/>
      <c r="S140" s="894">
        <v>0.57291666666666663</v>
      </c>
      <c r="T140" s="879"/>
      <c r="U140" s="880"/>
      <c r="V140" s="880"/>
      <c r="W140" s="880"/>
      <c r="X140" s="880"/>
      <c r="Y140" s="880"/>
      <c r="Z140" s="905">
        <v>0.57291666666666663</v>
      </c>
      <c r="AA140" s="880"/>
      <c r="AB140" s="880"/>
      <c r="AC140" s="880"/>
      <c r="AD140" s="880"/>
      <c r="AE140" s="880"/>
      <c r="AF140" s="882"/>
    </row>
    <row r="141" spans="1:32" ht="16.5" customHeight="1">
      <c r="A141" s="864"/>
      <c r="B141" s="864"/>
      <c r="C141" s="865">
        <v>0.58333333333333337</v>
      </c>
      <c r="D141" s="884"/>
      <c r="E141" s="885"/>
      <c r="F141" s="885"/>
      <c r="G141" s="885"/>
      <c r="H141" s="885"/>
      <c r="I141" s="885"/>
      <c r="J141" s="906">
        <v>0.58333333333333337</v>
      </c>
      <c r="K141" s="885"/>
      <c r="L141" s="885"/>
      <c r="M141" s="907"/>
      <c r="N141" s="885"/>
      <c r="O141" s="885"/>
      <c r="P141" s="887"/>
      <c r="Q141" s="864"/>
      <c r="R141" s="864"/>
      <c r="S141" s="865">
        <v>0.58333333333333337</v>
      </c>
      <c r="T141" s="884"/>
      <c r="U141" s="885"/>
      <c r="V141" s="885"/>
      <c r="W141" s="885"/>
      <c r="X141" s="885"/>
      <c r="Y141" s="885"/>
      <c r="Z141" s="906">
        <v>0.58333333333333337</v>
      </c>
      <c r="AA141" s="885"/>
      <c r="AB141" s="885"/>
      <c r="AC141" s="907"/>
      <c r="AD141" s="885"/>
      <c r="AE141" s="885"/>
      <c r="AF141" s="887"/>
    </row>
    <row r="142" spans="1:32" ht="16.5" customHeight="1">
      <c r="A142" s="870"/>
      <c r="B142" s="870"/>
      <c r="C142" s="871">
        <v>0.59375</v>
      </c>
      <c r="D142" s="872"/>
      <c r="E142" s="873"/>
      <c r="F142" s="873"/>
      <c r="G142" s="873"/>
      <c r="H142" s="873"/>
      <c r="I142" s="873"/>
      <c r="J142" s="908">
        <v>0.59375</v>
      </c>
      <c r="K142" s="909"/>
      <c r="L142" s="873"/>
      <c r="M142" s="873"/>
      <c r="N142" s="873"/>
      <c r="O142" s="873"/>
      <c r="P142" s="874"/>
      <c r="Q142" s="870"/>
      <c r="R142" s="870"/>
      <c r="S142" s="871">
        <v>0.59375</v>
      </c>
      <c r="T142" s="872"/>
      <c r="U142" s="873"/>
      <c r="V142" s="873"/>
      <c r="W142" s="873"/>
      <c r="X142" s="873"/>
      <c r="Y142" s="873"/>
      <c r="Z142" s="908">
        <v>0.59375</v>
      </c>
      <c r="AA142" s="909"/>
      <c r="AB142" s="873"/>
      <c r="AC142" s="873"/>
      <c r="AD142" s="873"/>
      <c r="AE142" s="873"/>
      <c r="AF142" s="874"/>
    </row>
    <row r="143" spans="1:32" ht="16.5" customHeight="1">
      <c r="A143" s="875"/>
      <c r="B143" s="875"/>
      <c r="C143" s="876">
        <v>0.60416666666666663</v>
      </c>
      <c r="D143" s="872"/>
      <c r="E143" s="873"/>
      <c r="F143" s="873"/>
      <c r="G143" s="873"/>
      <c r="H143" s="873"/>
      <c r="I143" s="873"/>
      <c r="J143" s="904">
        <v>0.60416666666666663</v>
      </c>
      <c r="K143" s="873"/>
      <c r="L143" s="873"/>
      <c r="M143" s="873"/>
      <c r="N143" s="873"/>
      <c r="O143" s="873"/>
      <c r="P143" s="874"/>
      <c r="Q143" s="875"/>
      <c r="R143" s="875"/>
      <c r="S143" s="876">
        <v>0.60416666666666663</v>
      </c>
      <c r="T143" s="872"/>
      <c r="U143" s="873"/>
      <c r="V143" s="873"/>
      <c r="W143" s="873"/>
      <c r="X143" s="873"/>
      <c r="Y143" s="873"/>
      <c r="Z143" s="904">
        <v>0.60416666666666663</v>
      </c>
      <c r="AA143" s="873"/>
      <c r="AB143" s="873"/>
      <c r="AC143" s="873"/>
      <c r="AD143" s="873"/>
      <c r="AE143" s="873"/>
      <c r="AF143" s="874"/>
    </row>
    <row r="144" spans="1:32" ht="16.5" customHeight="1">
      <c r="A144" s="870"/>
      <c r="B144" s="870"/>
      <c r="C144" s="894">
        <v>0.61458333333333337</v>
      </c>
      <c r="D144" s="879"/>
      <c r="E144" s="880"/>
      <c r="F144" s="880"/>
      <c r="G144" s="880"/>
      <c r="H144" s="880"/>
      <c r="I144" s="880"/>
      <c r="J144" s="905">
        <v>0.61458333333333337</v>
      </c>
      <c r="K144" s="880"/>
      <c r="L144" s="880"/>
      <c r="M144" s="880"/>
      <c r="N144" s="880"/>
      <c r="O144" s="880"/>
      <c r="P144" s="882"/>
      <c r="Q144" s="870"/>
      <c r="R144" s="870"/>
      <c r="S144" s="894">
        <v>0.61458333333333337</v>
      </c>
      <c r="T144" s="879"/>
      <c r="U144" s="880"/>
      <c r="V144" s="880"/>
      <c r="W144" s="880"/>
      <c r="X144" s="880"/>
      <c r="Y144" s="880"/>
      <c r="Z144" s="905">
        <v>0.61458333333333337</v>
      </c>
      <c r="AA144" s="880"/>
      <c r="AB144" s="880"/>
      <c r="AC144" s="880"/>
      <c r="AD144" s="880"/>
      <c r="AE144" s="880"/>
      <c r="AF144" s="882"/>
    </row>
    <row r="145" spans="1:32" ht="16.5" customHeight="1">
      <c r="A145" s="864"/>
      <c r="B145" s="864"/>
      <c r="C145" s="865">
        <v>0.625</v>
      </c>
      <c r="D145" s="884"/>
      <c r="E145" s="885"/>
      <c r="F145" s="885"/>
      <c r="G145" s="885"/>
      <c r="H145" s="885"/>
      <c r="I145" s="885"/>
      <c r="J145" s="906">
        <v>0.625</v>
      </c>
      <c r="K145" s="907"/>
      <c r="L145" s="885"/>
      <c r="M145" s="907"/>
      <c r="N145" s="885"/>
      <c r="O145" s="885"/>
      <c r="P145" s="887"/>
      <c r="Q145" s="864"/>
      <c r="R145" s="864"/>
      <c r="S145" s="865">
        <v>0.625</v>
      </c>
      <c r="T145" s="884"/>
      <c r="U145" s="885"/>
      <c r="V145" s="885"/>
      <c r="W145" s="885"/>
      <c r="X145" s="885"/>
      <c r="Y145" s="885"/>
      <c r="Z145" s="906">
        <v>0.625</v>
      </c>
      <c r="AA145" s="907"/>
      <c r="AB145" s="885"/>
      <c r="AC145" s="907"/>
      <c r="AD145" s="885"/>
      <c r="AE145" s="885"/>
      <c r="AF145" s="887"/>
    </row>
    <row r="146" spans="1:32" ht="16.5" customHeight="1">
      <c r="A146" s="870"/>
      <c r="B146" s="870"/>
      <c r="C146" s="871">
        <v>0.63541666666666663</v>
      </c>
      <c r="D146" s="872"/>
      <c r="E146" s="873"/>
      <c r="F146" s="873"/>
      <c r="G146" s="873"/>
      <c r="H146" s="873"/>
      <c r="I146" s="873"/>
      <c r="J146" s="908">
        <v>0.63541666666666663</v>
      </c>
      <c r="K146" s="909"/>
      <c r="L146" s="873"/>
      <c r="M146" s="873"/>
      <c r="N146" s="873"/>
      <c r="O146" s="873"/>
      <c r="P146" s="874"/>
      <c r="Q146" s="870"/>
      <c r="R146" s="870"/>
      <c r="S146" s="871">
        <v>0.63541666666666663</v>
      </c>
      <c r="T146" s="872"/>
      <c r="U146" s="873"/>
      <c r="V146" s="873"/>
      <c r="W146" s="873"/>
      <c r="X146" s="873"/>
      <c r="Y146" s="873"/>
      <c r="Z146" s="908">
        <v>0.63541666666666663</v>
      </c>
      <c r="AA146" s="909"/>
      <c r="AB146" s="873"/>
      <c r="AC146" s="873"/>
      <c r="AD146" s="873"/>
      <c r="AE146" s="873"/>
      <c r="AF146" s="874"/>
    </row>
    <row r="147" spans="1:32" ht="16.5" customHeight="1">
      <c r="A147" s="875"/>
      <c r="B147" s="875"/>
      <c r="C147" s="876">
        <v>0.64583333333333337</v>
      </c>
      <c r="D147" s="872"/>
      <c r="E147" s="873"/>
      <c r="F147" s="873"/>
      <c r="G147" s="873"/>
      <c r="H147" s="873"/>
      <c r="I147" s="873"/>
      <c r="J147" s="904">
        <v>0.64583333333333337</v>
      </c>
      <c r="K147" s="873"/>
      <c r="L147" s="873"/>
      <c r="M147" s="873"/>
      <c r="N147" s="873"/>
      <c r="O147" s="873"/>
      <c r="P147" s="874"/>
      <c r="Q147" s="875"/>
      <c r="R147" s="875"/>
      <c r="S147" s="876">
        <v>0.64583333333333337</v>
      </c>
      <c r="T147" s="872"/>
      <c r="U147" s="873"/>
      <c r="V147" s="873"/>
      <c r="W147" s="873"/>
      <c r="X147" s="873"/>
      <c r="Y147" s="873"/>
      <c r="Z147" s="904">
        <v>0.64583333333333337</v>
      </c>
      <c r="AA147" s="873"/>
      <c r="AB147" s="873"/>
      <c r="AC147" s="873"/>
      <c r="AD147" s="873"/>
      <c r="AE147" s="873"/>
      <c r="AF147" s="874"/>
    </row>
    <row r="148" spans="1:32" ht="16.5" customHeight="1">
      <c r="A148" s="870"/>
      <c r="B148" s="870"/>
      <c r="C148" s="894">
        <v>0.65625</v>
      </c>
      <c r="D148" s="879"/>
      <c r="E148" s="880"/>
      <c r="F148" s="880"/>
      <c r="G148" s="880"/>
      <c r="H148" s="880"/>
      <c r="I148" s="880"/>
      <c r="J148" s="905">
        <v>0.65625</v>
      </c>
      <c r="K148" s="880"/>
      <c r="L148" s="880"/>
      <c r="M148" s="910"/>
      <c r="N148" s="880"/>
      <c r="O148" s="880"/>
      <c r="P148" s="882"/>
      <c r="Q148" s="870"/>
      <c r="R148" s="870"/>
      <c r="S148" s="894">
        <v>0.65625</v>
      </c>
      <c r="T148" s="879"/>
      <c r="U148" s="880"/>
      <c r="V148" s="880"/>
      <c r="W148" s="880"/>
      <c r="X148" s="880"/>
      <c r="Y148" s="880"/>
      <c r="Z148" s="905">
        <v>0.65625</v>
      </c>
      <c r="AA148" s="880"/>
      <c r="AB148" s="880"/>
      <c r="AC148" s="910"/>
      <c r="AD148" s="880"/>
      <c r="AE148" s="880"/>
      <c r="AF148" s="882"/>
    </row>
    <row r="149" spans="1:32" ht="16.5" customHeight="1">
      <c r="A149" s="1304" t="s">
        <v>908</v>
      </c>
      <c r="B149" s="864"/>
      <c r="C149" s="911">
        <v>0.66666666666666663</v>
      </c>
      <c r="D149" s="884"/>
      <c r="E149" s="885"/>
      <c r="F149" s="885"/>
      <c r="G149" s="885"/>
      <c r="H149" s="885"/>
      <c r="I149" s="885"/>
      <c r="J149" s="912">
        <v>0.66666666666666663</v>
      </c>
      <c r="K149" s="885"/>
      <c r="L149" s="885"/>
      <c r="M149" s="907"/>
      <c r="N149" s="885"/>
      <c r="O149" s="885"/>
      <c r="P149" s="887"/>
      <c r="Q149" s="1304" t="s">
        <v>908</v>
      </c>
      <c r="R149" s="864"/>
      <c r="S149" s="911">
        <v>0.66666666666666663</v>
      </c>
      <c r="T149" s="884"/>
      <c r="U149" s="885"/>
      <c r="V149" s="885"/>
      <c r="W149" s="885"/>
      <c r="X149" s="885"/>
      <c r="Y149" s="885"/>
      <c r="Z149" s="912">
        <v>0.66666666666666663</v>
      </c>
      <c r="AA149" s="885"/>
      <c r="AB149" s="885"/>
      <c r="AC149" s="907"/>
      <c r="AD149" s="885"/>
      <c r="AE149" s="885"/>
      <c r="AF149" s="887"/>
    </row>
    <row r="150" spans="1:32" ht="16.5" customHeight="1">
      <c r="A150" s="1302"/>
      <c r="B150" s="870"/>
      <c r="C150" s="913">
        <v>0.67708333333333337</v>
      </c>
      <c r="D150" s="872"/>
      <c r="E150" s="873"/>
      <c r="F150" s="873"/>
      <c r="G150" s="873"/>
      <c r="H150" s="873"/>
      <c r="I150" s="873"/>
      <c r="J150" s="914">
        <v>0.67708333333333337</v>
      </c>
      <c r="K150" s="873"/>
      <c r="L150" s="873"/>
      <c r="M150" s="873"/>
      <c r="N150" s="873"/>
      <c r="O150" s="873"/>
      <c r="P150" s="874"/>
      <c r="Q150" s="1302"/>
      <c r="R150" s="870"/>
      <c r="S150" s="913">
        <v>0.67708333333333337</v>
      </c>
      <c r="T150" s="872"/>
      <c r="U150" s="873"/>
      <c r="V150" s="873"/>
      <c r="W150" s="873"/>
      <c r="X150" s="873"/>
      <c r="Y150" s="873"/>
      <c r="Z150" s="914">
        <v>0.67708333333333337</v>
      </c>
      <c r="AA150" s="873"/>
      <c r="AB150" s="873"/>
      <c r="AC150" s="873"/>
      <c r="AD150" s="873"/>
      <c r="AE150" s="873"/>
      <c r="AF150" s="874"/>
    </row>
    <row r="151" spans="1:32" ht="16.5" customHeight="1">
      <c r="A151" s="1302"/>
      <c r="B151" s="875"/>
      <c r="C151" s="915">
        <v>0.6875</v>
      </c>
      <c r="D151" s="872"/>
      <c r="E151" s="873"/>
      <c r="F151" s="873"/>
      <c r="G151" s="873"/>
      <c r="H151" s="873"/>
      <c r="I151" s="873"/>
      <c r="J151" s="916">
        <v>0.6875</v>
      </c>
      <c r="K151" s="873"/>
      <c r="L151" s="873"/>
      <c r="M151" s="873"/>
      <c r="N151" s="873"/>
      <c r="O151" s="909"/>
      <c r="P151" s="874"/>
      <c r="Q151" s="1302"/>
      <c r="R151" s="875"/>
      <c r="S151" s="915">
        <v>0.6875</v>
      </c>
      <c r="T151" s="872"/>
      <c r="U151" s="873"/>
      <c r="V151" s="873"/>
      <c r="W151" s="873"/>
      <c r="X151" s="873"/>
      <c r="Y151" s="873"/>
      <c r="Z151" s="916">
        <v>0.6875</v>
      </c>
      <c r="AA151" s="873"/>
      <c r="AB151" s="873"/>
      <c r="AC151" s="873"/>
      <c r="AD151" s="873"/>
      <c r="AE151" s="909"/>
      <c r="AF151" s="874"/>
    </row>
    <row r="152" spans="1:32" ht="16.5" customHeight="1">
      <c r="A152" s="1302"/>
      <c r="B152" s="870"/>
      <c r="C152" s="917">
        <v>0.69791666666666663</v>
      </c>
      <c r="D152" s="879"/>
      <c r="E152" s="880"/>
      <c r="F152" s="880"/>
      <c r="G152" s="880"/>
      <c r="H152" s="880"/>
      <c r="I152" s="880"/>
      <c r="J152" s="918">
        <v>0.69791666666666663</v>
      </c>
      <c r="K152" s="880"/>
      <c r="L152" s="880"/>
      <c r="M152" s="880"/>
      <c r="N152" s="880"/>
      <c r="O152" s="910"/>
      <c r="P152" s="882"/>
      <c r="Q152" s="1302"/>
      <c r="R152" s="870"/>
      <c r="S152" s="917">
        <v>0.69791666666666663</v>
      </c>
      <c r="T152" s="879"/>
      <c r="U152" s="880"/>
      <c r="V152" s="880"/>
      <c r="W152" s="880"/>
      <c r="X152" s="880"/>
      <c r="Y152" s="880"/>
      <c r="Z152" s="918">
        <v>0.69791666666666663</v>
      </c>
      <c r="AA152" s="880"/>
      <c r="AB152" s="880"/>
      <c r="AC152" s="880"/>
      <c r="AD152" s="880"/>
      <c r="AE152" s="910"/>
      <c r="AF152" s="882"/>
    </row>
    <row r="153" spans="1:32" ht="16.5" customHeight="1">
      <c r="A153" s="1302"/>
      <c r="B153" s="1301" t="s">
        <v>907</v>
      </c>
      <c r="C153" s="883">
        <v>0.70833333333333337</v>
      </c>
      <c r="D153" s="884"/>
      <c r="E153" s="885"/>
      <c r="F153" s="885"/>
      <c r="G153" s="885"/>
      <c r="H153" s="885"/>
      <c r="I153" s="885"/>
      <c r="J153" s="919">
        <v>0.70833333333333337</v>
      </c>
      <c r="K153" s="885"/>
      <c r="L153" s="885"/>
      <c r="M153" s="885"/>
      <c r="N153" s="885"/>
      <c r="O153" s="885"/>
      <c r="P153" s="887"/>
      <c r="Q153" s="1302"/>
      <c r="R153" s="1301" t="s">
        <v>907</v>
      </c>
      <c r="S153" s="883">
        <v>0.70833333333333337</v>
      </c>
      <c r="T153" s="884"/>
      <c r="U153" s="885"/>
      <c r="V153" s="885"/>
      <c r="W153" s="885"/>
      <c r="X153" s="885"/>
      <c r="Y153" s="885"/>
      <c r="Z153" s="919">
        <v>0.70833333333333337</v>
      </c>
      <c r="AA153" s="885"/>
      <c r="AB153" s="885"/>
      <c r="AC153" s="885"/>
      <c r="AD153" s="885"/>
      <c r="AE153" s="885"/>
      <c r="AF153" s="887"/>
    </row>
    <row r="154" spans="1:32" ht="16.5" customHeight="1">
      <c r="A154" s="1302"/>
      <c r="B154" s="1302"/>
      <c r="C154" s="888">
        <v>0.71875</v>
      </c>
      <c r="D154" s="872"/>
      <c r="E154" s="873"/>
      <c r="F154" s="873"/>
      <c r="G154" s="873"/>
      <c r="H154" s="873"/>
      <c r="I154" s="873"/>
      <c r="J154" s="920">
        <v>0.71875</v>
      </c>
      <c r="K154" s="873"/>
      <c r="L154" s="873"/>
      <c r="M154" s="873"/>
      <c r="N154" s="873"/>
      <c r="O154" s="873"/>
      <c r="P154" s="874"/>
      <c r="Q154" s="1302"/>
      <c r="R154" s="1302"/>
      <c r="S154" s="888">
        <v>0.71875</v>
      </c>
      <c r="T154" s="872"/>
      <c r="U154" s="873"/>
      <c r="V154" s="873"/>
      <c r="W154" s="873"/>
      <c r="X154" s="873"/>
      <c r="Y154" s="873"/>
      <c r="Z154" s="920">
        <v>0.71875</v>
      </c>
      <c r="AA154" s="873"/>
      <c r="AB154" s="873"/>
      <c r="AC154" s="873"/>
      <c r="AD154" s="873"/>
      <c r="AE154" s="873"/>
      <c r="AF154" s="874"/>
    </row>
    <row r="155" spans="1:32" ht="16.5" customHeight="1">
      <c r="A155" s="1302"/>
      <c r="B155" s="1302"/>
      <c r="C155" s="889">
        <v>0.72916666666666663</v>
      </c>
      <c r="D155" s="872"/>
      <c r="E155" s="873"/>
      <c r="F155" s="873"/>
      <c r="G155" s="873"/>
      <c r="H155" s="873"/>
      <c r="I155" s="873"/>
      <c r="J155" s="921">
        <v>0.72916666666666663</v>
      </c>
      <c r="K155" s="873"/>
      <c r="L155" s="873"/>
      <c r="M155" s="873"/>
      <c r="N155" s="873"/>
      <c r="O155" s="873"/>
      <c r="P155" s="874"/>
      <c r="Q155" s="1302"/>
      <c r="R155" s="1302"/>
      <c r="S155" s="889">
        <v>0.72916666666666663</v>
      </c>
      <c r="T155" s="872"/>
      <c r="U155" s="873"/>
      <c r="V155" s="873"/>
      <c r="W155" s="873"/>
      <c r="X155" s="873"/>
      <c r="Y155" s="873"/>
      <c r="Z155" s="921">
        <v>0.72916666666666663</v>
      </c>
      <c r="AA155" s="873"/>
      <c r="AB155" s="873"/>
      <c r="AC155" s="873"/>
      <c r="AD155" s="873"/>
      <c r="AE155" s="873"/>
      <c r="AF155" s="874"/>
    </row>
    <row r="156" spans="1:32" ht="16.5" customHeight="1">
      <c r="A156" s="1302"/>
      <c r="B156" s="1302"/>
      <c r="C156" s="878">
        <v>0.73958333333333337</v>
      </c>
      <c r="D156" s="879"/>
      <c r="E156" s="880"/>
      <c r="F156" s="880"/>
      <c r="G156" s="880"/>
      <c r="H156" s="880"/>
      <c r="I156" s="880"/>
      <c r="J156" s="922">
        <v>0.73958333333333337</v>
      </c>
      <c r="K156" s="923"/>
      <c r="L156" s="923"/>
      <c r="M156" s="923"/>
      <c r="N156" s="923"/>
      <c r="O156" s="923"/>
      <c r="P156" s="924"/>
      <c r="Q156" s="1302"/>
      <c r="R156" s="1302"/>
      <c r="S156" s="878">
        <v>0.73958333333333337</v>
      </c>
      <c r="T156" s="879"/>
      <c r="U156" s="880"/>
      <c r="V156" s="880"/>
      <c r="W156" s="880"/>
      <c r="X156" s="880"/>
      <c r="Y156" s="880"/>
      <c r="Z156" s="922">
        <v>0.73958333333333337</v>
      </c>
      <c r="AA156" s="923"/>
      <c r="AB156" s="923"/>
      <c r="AC156" s="923"/>
      <c r="AD156" s="923"/>
      <c r="AE156" s="923"/>
      <c r="AF156" s="924"/>
    </row>
    <row r="157" spans="1:32" ht="16.5" customHeight="1">
      <c r="A157" s="1302"/>
      <c r="B157" s="1302"/>
      <c r="C157" s="883">
        <v>0.75</v>
      </c>
      <c r="D157" s="884"/>
      <c r="E157" s="885"/>
      <c r="F157" s="885"/>
      <c r="G157" s="885"/>
      <c r="H157" s="885"/>
      <c r="I157" s="887"/>
      <c r="J157" s="925">
        <v>0.75</v>
      </c>
      <c r="K157" s="926"/>
      <c r="L157" s="926"/>
      <c r="M157" s="926"/>
      <c r="N157" s="926"/>
      <c r="O157" s="926"/>
      <c r="P157" s="927"/>
      <c r="Q157" s="1302"/>
      <c r="R157" s="1302"/>
      <c r="S157" s="883">
        <v>0.75</v>
      </c>
      <c r="T157" s="884"/>
      <c r="U157" s="885"/>
      <c r="V157" s="885"/>
      <c r="W157" s="885"/>
      <c r="X157" s="885"/>
      <c r="Y157" s="887"/>
      <c r="Z157" s="925">
        <v>0.75</v>
      </c>
      <c r="AA157" s="926"/>
      <c r="AB157" s="926"/>
      <c r="AC157" s="926"/>
      <c r="AD157" s="926"/>
      <c r="AE157" s="926"/>
      <c r="AF157" s="927"/>
    </row>
    <row r="158" spans="1:32" ht="16.5" customHeight="1">
      <c r="A158" s="1302"/>
      <c r="B158" s="1302"/>
      <c r="C158" s="888">
        <v>0.76041666666666663</v>
      </c>
      <c r="D158" s="872"/>
      <c r="E158" s="873"/>
      <c r="F158" s="873"/>
      <c r="G158" s="873"/>
      <c r="H158" s="873"/>
      <c r="I158" s="874"/>
      <c r="J158" s="920">
        <v>0.76041666666666663</v>
      </c>
      <c r="K158" s="928"/>
      <c r="L158" s="928"/>
      <c r="M158" s="928"/>
      <c r="N158" s="928"/>
      <c r="O158" s="928"/>
      <c r="P158" s="929"/>
      <c r="Q158" s="1302"/>
      <c r="R158" s="1302"/>
      <c r="S158" s="888">
        <v>0.76041666666666663</v>
      </c>
      <c r="T158" s="872"/>
      <c r="U158" s="873"/>
      <c r="V158" s="873"/>
      <c r="W158" s="873"/>
      <c r="X158" s="873"/>
      <c r="Y158" s="874"/>
      <c r="Z158" s="920">
        <v>0.76041666666666663</v>
      </c>
      <c r="AA158" s="928"/>
      <c r="AB158" s="928"/>
      <c r="AC158" s="928"/>
      <c r="AD158" s="928"/>
      <c r="AE158" s="928"/>
      <c r="AF158" s="929"/>
    </row>
    <row r="159" spans="1:32" ht="16.5" customHeight="1">
      <c r="A159" s="1302"/>
      <c r="B159" s="1302"/>
      <c r="C159" s="889">
        <v>0.77083333333333337</v>
      </c>
      <c r="D159" s="872"/>
      <c r="E159" s="873"/>
      <c r="F159" s="873"/>
      <c r="G159" s="873"/>
      <c r="H159" s="873"/>
      <c r="I159" s="874"/>
      <c r="J159" s="921">
        <v>0.77083333333333337</v>
      </c>
      <c r="K159" s="928"/>
      <c r="L159" s="928"/>
      <c r="M159" s="928"/>
      <c r="N159" s="928"/>
      <c r="O159" s="928"/>
      <c r="P159" s="929"/>
      <c r="Q159" s="1302"/>
      <c r="R159" s="1302"/>
      <c r="S159" s="889">
        <v>0.77083333333333337</v>
      </c>
      <c r="T159" s="872"/>
      <c r="U159" s="873"/>
      <c r="V159" s="873"/>
      <c r="W159" s="873"/>
      <c r="X159" s="873"/>
      <c r="Y159" s="874"/>
      <c r="Z159" s="921">
        <v>0.77083333333333337</v>
      </c>
      <c r="AA159" s="928"/>
      <c r="AB159" s="928"/>
      <c r="AC159" s="928"/>
      <c r="AD159" s="928"/>
      <c r="AE159" s="928"/>
      <c r="AF159" s="929"/>
    </row>
    <row r="160" spans="1:32" ht="16.5" customHeight="1">
      <c r="A160" s="1302"/>
      <c r="B160" s="1282"/>
      <c r="C160" s="878">
        <v>0.78125</v>
      </c>
      <c r="D160" s="879"/>
      <c r="E160" s="880"/>
      <c r="F160" s="880"/>
      <c r="G160" s="880"/>
      <c r="H160" s="880"/>
      <c r="I160" s="882"/>
      <c r="J160" s="930">
        <v>0.78125</v>
      </c>
      <c r="K160" s="923"/>
      <c r="L160" s="923"/>
      <c r="M160" s="923"/>
      <c r="N160" s="923"/>
      <c r="O160" s="923"/>
      <c r="P160" s="924"/>
      <c r="Q160" s="1302"/>
      <c r="R160" s="1282"/>
      <c r="S160" s="878">
        <v>0.78125</v>
      </c>
      <c r="T160" s="879"/>
      <c r="U160" s="880"/>
      <c r="V160" s="880"/>
      <c r="W160" s="880"/>
      <c r="X160" s="880"/>
      <c r="Y160" s="882"/>
      <c r="Z160" s="878">
        <v>0.78125</v>
      </c>
      <c r="AA160" s="931"/>
      <c r="AB160" s="923"/>
      <c r="AC160" s="923"/>
      <c r="AD160" s="923"/>
      <c r="AE160" s="923"/>
      <c r="AF160" s="924"/>
    </row>
    <row r="161" spans="1:32" ht="16.5" customHeight="1">
      <c r="A161" s="1302"/>
      <c r="B161" s="864"/>
      <c r="C161" s="911">
        <v>0.79166666666666663</v>
      </c>
      <c r="D161" s="884"/>
      <c r="E161" s="885"/>
      <c r="F161" s="885"/>
      <c r="G161" s="885"/>
      <c r="H161" s="885"/>
      <c r="I161" s="885"/>
      <c r="J161" s="912">
        <v>0.79166666666666663</v>
      </c>
      <c r="K161" s="926"/>
      <c r="L161" s="926"/>
      <c r="M161" s="926"/>
      <c r="N161" s="926"/>
      <c r="O161" s="926"/>
      <c r="P161" s="927"/>
      <c r="Q161" s="1302"/>
      <c r="R161" s="864"/>
      <c r="S161" s="911">
        <v>0.79166666666666663</v>
      </c>
      <c r="T161" s="884"/>
      <c r="U161" s="885"/>
      <c r="V161" s="885"/>
      <c r="W161" s="885"/>
      <c r="X161" s="885"/>
      <c r="Y161" s="885"/>
      <c r="Z161" s="912">
        <v>0.79166666666666663</v>
      </c>
      <c r="AA161" s="926"/>
      <c r="AB161" s="926"/>
      <c r="AC161" s="926"/>
      <c r="AD161" s="926"/>
      <c r="AE161" s="926"/>
      <c r="AF161" s="927"/>
    </row>
    <row r="162" spans="1:32" ht="16.5" customHeight="1">
      <c r="A162" s="1302"/>
      <c r="B162" s="870"/>
      <c r="C162" s="913">
        <v>0.80208333333333337</v>
      </c>
      <c r="D162" s="872"/>
      <c r="E162" s="873"/>
      <c r="F162" s="873"/>
      <c r="G162" s="873"/>
      <c r="H162" s="873"/>
      <c r="I162" s="873"/>
      <c r="J162" s="914">
        <v>0.80208333333333337</v>
      </c>
      <c r="K162" s="928"/>
      <c r="L162" s="928"/>
      <c r="M162" s="928"/>
      <c r="N162" s="928"/>
      <c r="O162" s="928"/>
      <c r="P162" s="929"/>
      <c r="Q162" s="1302"/>
      <c r="R162" s="870"/>
      <c r="S162" s="913">
        <v>0.80208333333333337</v>
      </c>
      <c r="T162" s="872"/>
      <c r="U162" s="873"/>
      <c r="V162" s="873"/>
      <c r="W162" s="873"/>
      <c r="X162" s="873"/>
      <c r="Y162" s="873"/>
      <c r="Z162" s="914">
        <v>0.80208333333333337</v>
      </c>
      <c r="AA162" s="928"/>
      <c r="AB162" s="928"/>
      <c r="AC162" s="928"/>
      <c r="AD162" s="928"/>
      <c r="AE162" s="928"/>
      <c r="AF162" s="929"/>
    </row>
    <row r="163" spans="1:32" ht="16.5" customHeight="1">
      <c r="A163" s="1302"/>
      <c r="B163" s="875"/>
      <c r="C163" s="915">
        <v>0.8125</v>
      </c>
      <c r="D163" s="872"/>
      <c r="E163" s="873"/>
      <c r="F163" s="873"/>
      <c r="G163" s="873"/>
      <c r="H163" s="873"/>
      <c r="I163" s="873"/>
      <c r="J163" s="916">
        <v>0.8125</v>
      </c>
      <c r="K163" s="928"/>
      <c r="L163" s="928"/>
      <c r="M163" s="928"/>
      <c r="N163" s="928"/>
      <c r="O163" s="928"/>
      <c r="P163" s="929"/>
      <c r="Q163" s="1302"/>
      <c r="R163" s="875"/>
      <c r="S163" s="915">
        <v>0.8125</v>
      </c>
      <c r="T163" s="872"/>
      <c r="U163" s="873"/>
      <c r="V163" s="873"/>
      <c r="W163" s="873"/>
      <c r="X163" s="873"/>
      <c r="Y163" s="873"/>
      <c r="Z163" s="916">
        <v>0.8125</v>
      </c>
      <c r="AA163" s="928"/>
      <c r="AB163" s="928"/>
      <c r="AC163" s="928"/>
      <c r="AD163" s="928"/>
      <c r="AE163" s="928"/>
      <c r="AF163" s="929"/>
    </row>
    <row r="164" spans="1:32" ht="16.5" customHeight="1">
      <c r="A164" s="1302"/>
      <c r="B164" s="875"/>
      <c r="C164" s="932">
        <v>0.82291666666666663</v>
      </c>
      <c r="D164" s="879"/>
      <c r="E164" s="880"/>
      <c r="F164" s="880"/>
      <c r="G164" s="880"/>
      <c r="H164" s="880"/>
      <c r="I164" s="880"/>
      <c r="J164" s="933">
        <v>0.82291666666666663</v>
      </c>
      <c r="K164" s="923"/>
      <c r="L164" s="923"/>
      <c r="M164" s="923"/>
      <c r="N164" s="923"/>
      <c r="O164" s="923"/>
      <c r="P164" s="924"/>
      <c r="Q164" s="1302"/>
      <c r="R164" s="875"/>
      <c r="S164" s="932">
        <v>0.82291666666666663</v>
      </c>
      <c r="T164" s="879"/>
      <c r="U164" s="880"/>
      <c r="V164" s="880"/>
      <c r="W164" s="880"/>
      <c r="X164" s="880"/>
      <c r="Y164" s="880"/>
      <c r="Z164" s="933">
        <v>0.82291666666666663</v>
      </c>
      <c r="AA164" s="923"/>
      <c r="AB164" s="923"/>
      <c r="AC164" s="923"/>
      <c r="AD164" s="923"/>
      <c r="AE164" s="923"/>
      <c r="AF164" s="924"/>
    </row>
    <row r="165" spans="1:32" ht="16.5" customHeight="1">
      <c r="A165" s="1302"/>
      <c r="B165" s="934"/>
      <c r="C165" s="935">
        <v>0.83333333333333337</v>
      </c>
      <c r="D165" s="884"/>
      <c r="E165" s="885"/>
      <c r="F165" s="885"/>
      <c r="G165" s="885"/>
      <c r="H165" s="885"/>
      <c r="I165" s="885"/>
      <c r="J165" s="936">
        <v>0.83333333333333337</v>
      </c>
      <c r="K165" s="926"/>
      <c r="L165" s="926"/>
      <c r="M165" s="926"/>
      <c r="N165" s="926"/>
      <c r="O165" s="926"/>
      <c r="P165" s="927"/>
      <c r="Q165" s="1302"/>
      <c r="R165" s="934"/>
      <c r="S165" s="935">
        <v>0.83333333333333337</v>
      </c>
      <c r="T165" s="884"/>
      <c r="U165" s="885"/>
      <c r="V165" s="885"/>
      <c r="W165" s="885"/>
      <c r="X165" s="885"/>
      <c r="Y165" s="885"/>
      <c r="Z165" s="936">
        <v>0.83333333333333337</v>
      </c>
      <c r="AA165" s="926"/>
      <c r="AB165" s="926"/>
      <c r="AC165" s="926"/>
      <c r="AD165" s="926"/>
      <c r="AE165" s="926"/>
      <c r="AF165" s="927"/>
    </row>
    <row r="166" spans="1:32" ht="16.5" customHeight="1">
      <c r="A166" s="1302"/>
      <c r="B166" s="875"/>
      <c r="C166" s="915">
        <v>0.84375</v>
      </c>
      <c r="D166" s="872"/>
      <c r="E166" s="873"/>
      <c r="F166" s="873"/>
      <c r="G166" s="873"/>
      <c r="H166" s="873"/>
      <c r="I166" s="873"/>
      <c r="J166" s="916">
        <v>0.84375</v>
      </c>
      <c r="K166" s="928"/>
      <c r="L166" s="928"/>
      <c r="M166" s="928"/>
      <c r="N166" s="928"/>
      <c r="O166" s="928"/>
      <c r="P166" s="929"/>
      <c r="Q166" s="1302"/>
      <c r="R166" s="875"/>
      <c r="S166" s="915">
        <v>0.84375</v>
      </c>
      <c r="T166" s="872"/>
      <c r="U166" s="873"/>
      <c r="V166" s="873"/>
      <c r="W166" s="873"/>
      <c r="X166" s="873"/>
      <c r="Y166" s="873"/>
      <c r="Z166" s="916">
        <v>0.84375</v>
      </c>
      <c r="AA166" s="928"/>
      <c r="AB166" s="928"/>
      <c r="AC166" s="928"/>
      <c r="AD166" s="928"/>
      <c r="AE166" s="928"/>
      <c r="AF166" s="929"/>
    </row>
    <row r="167" spans="1:32" ht="16.5" customHeight="1">
      <c r="A167" s="1302"/>
      <c r="B167" s="870"/>
      <c r="C167" s="913">
        <v>0.85416666666666663</v>
      </c>
      <c r="D167" s="872"/>
      <c r="E167" s="873"/>
      <c r="F167" s="873"/>
      <c r="G167" s="873"/>
      <c r="H167" s="873"/>
      <c r="I167" s="873"/>
      <c r="J167" s="914">
        <v>0.85416666666666663</v>
      </c>
      <c r="K167" s="928"/>
      <c r="L167" s="928"/>
      <c r="M167" s="928"/>
      <c r="N167" s="928"/>
      <c r="O167" s="928"/>
      <c r="P167" s="929"/>
      <c r="Q167" s="1302"/>
      <c r="R167" s="870"/>
      <c r="S167" s="913">
        <v>0.85416666666666663</v>
      </c>
      <c r="T167" s="872"/>
      <c r="U167" s="873"/>
      <c r="V167" s="873"/>
      <c r="W167" s="873"/>
      <c r="X167" s="873"/>
      <c r="Y167" s="873"/>
      <c r="Z167" s="914">
        <v>0.85416666666666663</v>
      </c>
      <c r="AA167" s="928"/>
      <c r="AB167" s="928"/>
      <c r="AC167" s="928"/>
      <c r="AD167" s="928"/>
      <c r="AE167" s="928"/>
      <c r="AF167" s="929"/>
    </row>
    <row r="168" spans="1:32" ht="16.5" customHeight="1">
      <c r="A168" s="1302"/>
      <c r="B168" s="875"/>
      <c r="C168" s="932">
        <v>0.86458333333333337</v>
      </c>
      <c r="D168" s="879"/>
      <c r="E168" s="880"/>
      <c r="F168" s="880"/>
      <c r="G168" s="880"/>
      <c r="H168" s="880"/>
      <c r="I168" s="880"/>
      <c r="J168" s="933">
        <v>0.86458333333333337</v>
      </c>
      <c r="K168" s="923"/>
      <c r="L168" s="923"/>
      <c r="M168" s="923"/>
      <c r="N168" s="923"/>
      <c r="O168" s="923"/>
      <c r="P168" s="924"/>
      <c r="Q168" s="1302"/>
      <c r="R168" s="875"/>
      <c r="S168" s="932">
        <v>0.86458333333333337</v>
      </c>
      <c r="T168" s="879"/>
      <c r="U168" s="880"/>
      <c r="V168" s="880"/>
      <c r="W168" s="880"/>
      <c r="X168" s="880"/>
      <c r="Y168" s="880"/>
      <c r="Z168" s="933">
        <v>0.86458333333333337</v>
      </c>
      <c r="AA168" s="923"/>
      <c r="AB168" s="923"/>
      <c r="AC168" s="923"/>
      <c r="AD168" s="923"/>
      <c r="AE168" s="923"/>
      <c r="AF168" s="924"/>
    </row>
    <row r="169" spans="1:32" ht="16.5" customHeight="1">
      <c r="A169" s="1302"/>
      <c r="B169" s="934"/>
      <c r="C169" s="935">
        <v>0.875</v>
      </c>
      <c r="D169" s="884"/>
      <c r="E169" s="885"/>
      <c r="F169" s="885"/>
      <c r="G169" s="885"/>
      <c r="H169" s="885"/>
      <c r="I169" s="885"/>
      <c r="J169" s="936">
        <v>0.875</v>
      </c>
      <c r="K169" s="926"/>
      <c r="L169" s="926"/>
      <c r="M169" s="926"/>
      <c r="N169" s="926"/>
      <c r="O169" s="926"/>
      <c r="P169" s="927"/>
      <c r="Q169" s="1302"/>
      <c r="R169" s="934"/>
      <c r="S169" s="935">
        <v>0.875</v>
      </c>
      <c r="T169" s="884"/>
      <c r="U169" s="885"/>
      <c r="V169" s="885"/>
      <c r="W169" s="885"/>
      <c r="X169" s="885"/>
      <c r="Y169" s="885"/>
      <c r="Z169" s="936">
        <v>0.875</v>
      </c>
      <c r="AA169" s="926"/>
      <c r="AB169" s="926"/>
      <c r="AC169" s="926"/>
      <c r="AD169" s="926"/>
      <c r="AE169" s="926"/>
      <c r="AF169" s="927"/>
    </row>
    <row r="170" spans="1:32" ht="16.5" customHeight="1">
      <c r="A170" s="1302"/>
      <c r="B170" s="875"/>
      <c r="C170" s="915">
        <v>0.88541666666666663</v>
      </c>
      <c r="D170" s="872"/>
      <c r="E170" s="873"/>
      <c r="F170" s="873"/>
      <c r="G170" s="873"/>
      <c r="H170" s="873"/>
      <c r="I170" s="873"/>
      <c r="J170" s="916">
        <v>0.88541666666666663</v>
      </c>
      <c r="K170" s="928"/>
      <c r="L170" s="928"/>
      <c r="M170" s="928"/>
      <c r="N170" s="928"/>
      <c r="O170" s="928"/>
      <c r="P170" s="929"/>
      <c r="Q170" s="1302"/>
      <c r="R170" s="875"/>
      <c r="S170" s="915">
        <v>0.88541666666666663</v>
      </c>
      <c r="T170" s="872"/>
      <c r="U170" s="873"/>
      <c r="V170" s="873"/>
      <c r="W170" s="873"/>
      <c r="X170" s="873"/>
      <c r="Y170" s="873"/>
      <c r="Z170" s="916">
        <v>0.88541666666666663</v>
      </c>
      <c r="AA170" s="928"/>
      <c r="AB170" s="928"/>
      <c r="AC170" s="928"/>
      <c r="AD170" s="928"/>
      <c r="AE170" s="928"/>
      <c r="AF170" s="929"/>
    </row>
    <row r="171" spans="1:32" ht="16.5" customHeight="1">
      <c r="A171" s="1302"/>
      <c r="B171" s="870"/>
      <c r="C171" s="913">
        <v>0.89583333333333337</v>
      </c>
      <c r="D171" s="872"/>
      <c r="E171" s="873"/>
      <c r="F171" s="873"/>
      <c r="G171" s="873"/>
      <c r="H171" s="873"/>
      <c r="I171" s="873"/>
      <c r="J171" s="914">
        <v>0.89583333333333337</v>
      </c>
      <c r="K171" s="928"/>
      <c r="L171" s="928"/>
      <c r="M171" s="928"/>
      <c r="N171" s="928"/>
      <c r="O171" s="928"/>
      <c r="P171" s="929"/>
      <c r="Q171" s="1302"/>
      <c r="R171" s="870"/>
      <c r="S171" s="913">
        <v>0.89583333333333337</v>
      </c>
      <c r="T171" s="872"/>
      <c r="U171" s="873"/>
      <c r="V171" s="873"/>
      <c r="W171" s="873"/>
      <c r="X171" s="873"/>
      <c r="Y171" s="873"/>
      <c r="Z171" s="914">
        <v>0.89583333333333337</v>
      </c>
      <c r="AA171" s="928"/>
      <c r="AB171" s="928"/>
      <c r="AC171" s="928"/>
      <c r="AD171" s="928"/>
      <c r="AE171" s="928"/>
      <c r="AF171" s="929"/>
    </row>
    <row r="172" spans="1:32" ht="16.5" customHeight="1">
      <c r="A172" s="1282"/>
      <c r="B172" s="875"/>
      <c r="C172" s="932">
        <v>0.90625</v>
      </c>
      <c r="D172" s="879"/>
      <c r="E172" s="880"/>
      <c r="F172" s="880"/>
      <c r="G172" s="880"/>
      <c r="H172" s="880"/>
      <c r="I172" s="880"/>
      <c r="J172" s="933">
        <v>0.90625</v>
      </c>
      <c r="K172" s="923"/>
      <c r="L172" s="923"/>
      <c r="M172" s="923"/>
      <c r="N172" s="923"/>
      <c r="O172" s="923"/>
      <c r="P172" s="924"/>
      <c r="Q172" s="1282"/>
      <c r="R172" s="875"/>
      <c r="S172" s="932">
        <v>0.90625</v>
      </c>
      <c r="T172" s="879"/>
      <c r="U172" s="880"/>
      <c r="V172" s="880"/>
      <c r="W172" s="880"/>
      <c r="X172" s="880"/>
      <c r="Y172" s="880"/>
      <c r="Z172" s="933">
        <v>0.90625</v>
      </c>
      <c r="AA172" s="923"/>
      <c r="AB172" s="923"/>
      <c r="AC172" s="923"/>
      <c r="AD172" s="923"/>
      <c r="AE172" s="923"/>
      <c r="AF172" s="924"/>
    </row>
    <row r="173" spans="1:32" ht="16.5" customHeight="1">
      <c r="A173" s="937"/>
      <c r="B173" s="1303" t="s">
        <v>906</v>
      </c>
      <c r="C173" s="842">
        <v>0.91666666666666663</v>
      </c>
      <c r="D173" s="839"/>
      <c r="E173" s="840"/>
      <c r="F173" s="840"/>
      <c r="G173" s="840"/>
      <c r="H173" s="840"/>
      <c r="I173" s="841"/>
      <c r="J173" s="842">
        <v>0.91666666666666663</v>
      </c>
      <c r="K173" s="938"/>
      <c r="L173" s="939"/>
      <c r="M173" s="939"/>
      <c r="N173" s="939"/>
      <c r="O173" s="939"/>
      <c r="P173" s="940"/>
      <c r="Q173" s="937"/>
      <c r="R173" s="1303" t="s">
        <v>906</v>
      </c>
      <c r="S173" s="842">
        <v>0.91666666666666663</v>
      </c>
      <c r="T173" s="839"/>
      <c r="U173" s="840"/>
      <c r="V173" s="840"/>
      <c r="W173" s="840"/>
      <c r="X173" s="840"/>
      <c r="Y173" s="841"/>
      <c r="Z173" s="842">
        <v>0.91666666666666663</v>
      </c>
      <c r="AA173" s="938"/>
      <c r="AB173" s="939"/>
      <c r="AC173" s="939"/>
      <c r="AD173" s="939"/>
      <c r="AE173" s="939"/>
      <c r="AF173" s="940"/>
    </row>
    <row r="174" spans="1:32" ht="16.5" customHeight="1">
      <c r="A174" s="937"/>
      <c r="B174" s="1302"/>
      <c r="C174" s="850">
        <v>0.92708333333333337</v>
      </c>
      <c r="D174" s="847"/>
      <c r="E174" s="848"/>
      <c r="F174" s="848"/>
      <c r="G174" s="848"/>
      <c r="H174" s="848"/>
      <c r="I174" s="849"/>
      <c r="J174" s="850">
        <v>0.92708333333333337</v>
      </c>
      <c r="K174" s="941"/>
      <c r="L174" s="942"/>
      <c r="M174" s="942"/>
      <c r="N174" s="942"/>
      <c r="O174" s="942"/>
      <c r="P174" s="943"/>
      <c r="Q174" s="937"/>
      <c r="R174" s="1302"/>
      <c r="S174" s="850">
        <v>0.92708333333333337</v>
      </c>
      <c r="T174" s="847"/>
      <c r="U174" s="848"/>
      <c r="V174" s="848"/>
      <c r="W174" s="848"/>
      <c r="X174" s="848"/>
      <c r="Y174" s="849"/>
      <c r="Z174" s="850">
        <v>0.92708333333333337</v>
      </c>
      <c r="AA174" s="941"/>
      <c r="AB174" s="942"/>
      <c r="AC174" s="942"/>
      <c r="AD174" s="942"/>
      <c r="AE174" s="942"/>
      <c r="AF174" s="943"/>
    </row>
    <row r="175" spans="1:32" ht="16.5" customHeight="1">
      <c r="A175" s="937"/>
      <c r="B175" s="1302"/>
      <c r="C175" s="855">
        <v>0.9375</v>
      </c>
      <c r="D175" s="847"/>
      <c r="E175" s="848"/>
      <c r="F175" s="848"/>
      <c r="G175" s="848"/>
      <c r="H175" s="848"/>
      <c r="I175" s="849"/>
      <c r="J175" s="855">
        <v>0.9375</v>
      </c>
      <c r="K175" s="941"/>
      <c r="L175" s="942"/>
      <c r="M175" s="942"/>
      <c r="N175" s="942"/>
      <c r="O175" s="942"/>
      <c r="P175" s="943"/>
      <c r="Q175" s="937"/>
      <c r="R175" s="1302"/>
      <c r="S175" s="855">
        <v>0.9375</v>
      </c>
      <c r="T175" s="847"/>
      <c r="U175" s="848"/>
      <c r="V175" s="848"/>
      <c r="W175" s="848"/>
      <c r="X175" s="848"/>
      <c r="Y175" s="849"/>
      <c r="Z175" s="855">
        <v>0.9375</v>
      </c>
      <c r="AA175" s="941"/>
      <c r="AB175" s="942"/>
      <c r="AC175" s="942"/>
      <c r="AD175" s="942"/>
      <c r="AE175" s="942"/>
      <c r="AF175" s="943"/>
    </row>
    <row r="176" spans="1:32" ht="16.5" customHeight="1">
      <c r="A176" s="937"/>
      <c r="B176" s="1282"/>
      <c r="C176" s="860">
        <v>0.94791666666666663</v>
      </c>
      <c r="D176" s="857"/>
      <c r="E176" s="858"/>
      <c r="F176" s="858"/>
      <c r="G176" s="858"/>
      <c r="H176" s="858"/>
      <c r="I176" s="859"/>
      <c r="J176" s="860">
        <v>0.94791666666666663</v>
      </c>
      <c r="K176" s="944"/>
      <c r="L176" s="945"/>
      <c r="M176" s="945"/>
      <c r="N176" s="945"/>
      <c r="O176" s="945"/>
      <c r="P176" s="946"/>
      <c r="Q176" s="937"/>
      <c r="R176" s="1282"/>
      <c r="S176" s="860">
        <v>0.94791666666666663</v>
      </c>
      <c r="T176" s="857"/>
      <c r="U176" s="858"/>
      <c r="V176" s="858"/>
      <c r="W176" s="858"/>
      <c r="X176" s="858"/>
      <c r="Y176" s="859"/>
      <c r="Z176" s="860">
        <v>0.94791666666666663</v>
      </c>
      <c r="AA176" s="944"/>
      <c r="AB176" s="945"/>
      <c r="AC176" s="945"/>
      <c r="AD176" s="945"/>
      <c r="AE176" s="945"/>
      <c r="AF176" s="946"/>
    </row>
    <row r="177" spans="1:3" ht="15">
      <c r="A177" s="947"/>
      <c r="B177" s="947"/>
      <c r="C177" s="947"/>
    </row>
  </sheetData>
  <mergeCells count="112">
    <mergeCell ref="A61:A84"/>
    <mergeCell ref="Q61:Q84"/>
    <mergeCell ref="B65:B72"/>
    <mergeCell ref="R65:R72"/>
    <mergeCell ref="AA16:AC16"/>
    <mergeCell ref="T33:Y36"/>
    <mergeCell ref="AA33:AF35"/>
    <mergeCell ref="AA36:AF36"/>
    <mergeCell ref="AD16:AF16"/>
    <mergeCell ref="B17:B20"/>
    <mergeCell ref="R17:R20"/>
    <mergeCell ref="B24:B31"/>
    <mergeCell ref="R24:R31"/>
    <mergeCell ref="W16:Y16"/>
    <mergeCell ref="D17:I20"/>
    <mergeCell ref="K17:P20"/>
    <mergeCell ref="T17:Y20"/>
    <mergeCell ref="AA17:AF20"/>
    <mergeCell ref="D16:F16"/>
    <mergeCell ref="G16:I16"/>
    <mergeCell ref="AA23:AF24"/>
    <mergeCell ref="AA25:AF28"/>
    <mergeCell ref="AA29:AF30"/>
    <mergeCell ref="AA31:AF32"/>
    <mergeCell ref="R85:R88"/>
    <mergeCell ref="B43:B50"/>
    <mergeCell ref="R43:R50"/>
    <mergeCell ref="Z14:Z15"/>
    <mergeCell ref="D14:I15"/>
    <mergeCell ref="K14:P15"/>
    <mergeCell ref="K16:M16"/>
    <mergeCell ref="N16:P16"/>
    <mergeCell ref="T16:V16"/>
    <mergeCell ref="R173:R176"/>
    <mergeCell ref="B173:B176"/>
    <mergeCell ref="Q149:Q172"/>
    <mergeCell ref="A149:A172"/>
    <mergeCell ref="R153:R160"/>
    <mergeCell ref="B153:B160"/>
    <mergeCell ref="C2:P2"/>
    <mergeCell ref="S2:AF2"/>
    <mergeCell ref="C4:D5"/>
    <mergeCell ref="E4:I5"/>
    <mergeCell ref="K4:K5"/>
    <mergeCell ref="L4:L5"/>
    <mergeCell ref="S4:T5"/>
    <mergeCell ref="U4:Y5"/>
    <mergeCell ref="AA4:AA5"/>
    <mergeCell ref="AB4:AB5"/>
    <mergeCell ref="A7:B12"/>
    <mergeCell ref="C7:P12"/>
    <mergeCell ref="Q7:R12"/>
    <mergeCell ref="S7:AF12"/>
    <mergeCell ref="C14:C15"/>
    <mergeCell ref="J14:J15"/>
    <mergeCell ref="S14:S15"/>
    <mergeCell ref="B85:B88"/>
    <mergeCell ref="AD104:AF104"/>
    <mergeCell ref="AA104:AC104"/>
    <mergeCell ref="W104:Y104"/>
    <mergeCell ref="T104:V104"/>
    <mergeCell ref="N104:P104"/>
    <mergeCell ref="R131:R138"/>
    <mergeCell ref="B131:B138"/>
    <mergeCell ref="R112:R119"/>
    <mergeCell ref="B112:B119"/>
    <mergeCell ref="R105:R108"/>
    <mergeCell ref="B105:B108"/>
    <mergeCell ref="C102:C103"/>
    <mergeCell ref="J102:J103"/>
    <mergeCell ref="D102:I103"/>
    <mergeCell ref="K102:P103"/>
    <mergeCell ref="S102:S103"/>
    <mergeCell ref="K104:M104"/>
    <mergeCell ref="G104:I104"/>
    <mergeCell ref="D104:F104"/>
    <mergeCell ref="Z102:Z103"/>
    <mergeCell ref="T102:Y103"/>
    <mergeCell ref="C95:P100"/>
    <mergeCell ref="A95:B100"/>
    <mergeCell ref="AB92:AB93"/>
    <mergeCell ref="AA92:AA93"/>
    <mergeCell ref="U92:Y93"/>
    <mergeCell ref="S92:T93"/>
    <mergeCell ref="L92:L93"/>
    <mergeCell ref="K92:K93"/>
    <mergeCell ref="E92:I93"/>
    <mergeCell ref="C92:D93"/>
    <mergeCell ref="AA102:AF103"/>
    <mergeCell ref="C13:P13"/>
    <mergeCell ref="T14:Y15"/>
    <mergeCell ref="AA14:AF15"/>
    <mergeCell ref="S90:AF90"/>
    <mergeCell ref="C90:P90"/>
    <mergeCell ref="T37:Y38"/>
    <mergeCell ref="T39:Y44"/>
    <mergeCell ref="T45:Y48"/>
    <mergeCell ref="T61:Y64"/>
    <mergeCell ref="T69:Y72"/>
    <mergeCell ref="T75:Y77"/>
    <mergeCell ref="T79:Y81"/>
    <mergeCell ref="D85:I88"/>
    <mergeCell ref="K85:P88"/>
    <mergeCell ref="T85:Y88"/>
    <mergeCell ref="AA85:AF88"/>
    <mergeCell ref="T49:Y50"/>
    <mergeCell ref="T83:Y84"/>
    <mergeCell ref="T65:Y67"/>
    <mergeCell ref="T51:V59"/>
    <mergeCell ref="W51:Y59"/>
    <mergeCell ref="S95:AF100"/>
    <mergeCell ref="Q95:R100"/>
  </mergeCells>
  <phoneticPr fontId="150"/>
  <printOptions horizontalCentered="1" verticalCentered="1"/>
  <pageMargins left="0.7" right="0.7" top="0.75" bottom="0.75" header="0" footer="0"/>
  <pageSetup paperSize="9" scale="50" pageOrder="overThenDown" orientation="portrait" r:id="rId1"/>
  <rowBreaks count="1" manualBreakCount="1">
    <brk id="89" max="16383" man="1"/>
  </rowBreaks>
  <colBreaks count="1" manualBreakCount="1">
    <brk id="16" max="1048575" man="1"/>
  </colBreaks>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tabColor rgb="FF00B0F0"/>
  </sheetPr>
  <dimension ref="A1:CC233"/>
  <sheetViews>
    <sheetView showZeros="0" view="pageBreakPreview" topLeftCell="A39" zoomScale="85" zoomScaleNormal="100" zoomScaleSheetLayoutView="85" workbookViewId="0">
      <selection activeCell="CE13" sqref="CE13"/>
    </sheetView>
  </sheetViews>
  <sheetFormatPr defaultRowHeight="13.5"/>
  <cols>
    <col min="1" max="26" width="4.375" customWidth="1"/>
    <col min="27" max="27" width="3.625" customWidth="1"/>
    <col min="28" max="28" width="5.625" customWidth="1"/>
    <col min="29" max="29" width="3.625" customWidth="1"/>
    <col min="30" max="30" width="6.625" customWidth="1"/>
    <col min="31" max="31" width="3.625" customWidth="1"/>
    <col min="32" max="33" width="5.625" customWidth="1"/>
    <col min="34" max="35" width="4.625" customWidth="1"/>
    <col min="36" max="36" width="5.625" customWidth="1"/>
    <col min="37" max="38" width="4.625" customWidth="1"/>
    <col min="39" max="39" width="4.875" customWidth="1"/>
    <col min="40" max="43" width="4.625" customWidth="1"/>
    <col min="44" max="50" width="3.625" customWidth="1"/>
    <col min="51" max="51" width="5.625" customWidth="1"/>
    <col min="52" max="52" width="6.875" customWidth="1"/>
    <col min="53" max="53" width="11.375" hidden="1" customWidth="1"/>
    <col min="54" max="76" width="23.375" hidden="1" customWidth="1"/>
    <col min="77" max="77" width="12.375" hidden="1" customWidth="1"/>
    <col min="78" max="78" width="13.5" hidden="1" customWidth="1"/>
    <col min="79" max="79" width="23.375" hidden="1" customWidth="1"/>
    <col min="80" max="81" width="22.5" hidden="1" customWidth="1"/>
    <col min="82" max="83" width="22.5" customWidth="1"/>
  </cols>
  <sheetData>
    <row r="1" spans="1:79" ht="24" customHeight="1">
      <c r="A1" s="1459" t="s">
        <v>74</v>
      </c>
      <c r="B1" s="1459"/>
      <c r="C1" s="1459"/>
      <c r="D1" s="1459"/>
      <c r="E1" s="1459"/>
      <c r="F1" s="1459"/>
      <c r="G1" s="1459"/>
      <c r="H1" s="1459"/>
      <c r="I1" s="1459"/>
      <c r="J1" s="1459"/>
      <c r="K1" s="1459"/>
      <c r="L1" s="1459"/>
      <c r="M1" s="1459"/>
      <c r="N1" s="1459"/>
      <c r="O1" s="1459"/>
      <c r="P1" s="1459"/>
      <c r="Q1" s="1459"/>
      <c r="R1" s="1459"/>
      <c r="S1" s="1459"/>
      <c r="T1" s="1459"/>
      <c r="U1" s="1459"/>
      <c r="V1" s="1459"/>
      <c r="W1" s="1459"/>
      <c r="X1" s="1459"/>
      <c r="Y1" s="1459"/>
      <c r="Z1" s="1459"/>
      <c r="AA1" s="1459" t="s">
        <v>74</v>
      </c>
      <c r="AB1" s="1459"/>
      <c r="AC1" s="1459"/>
      <c r="AD1" s="1459"/>
      <c r="AE1" s="1459"/>
      <c r="AF1" s="1459"/>
      <c r="AG1" s="1459"/>
      <c r="AH1" s="1459"/>
      <c r="AI1" s="1459"/>
      <c r="AJ1" s="1459"/>
      <c r="AK1" s="1459"/>
      <c r="AL1" s="1459"/>
      <c r="AM1" s="1459"/>
      <c r="AN1" s="1459"/>
      <c r="AO1" s="1459"/>
      <c r="AP1" s="1459"/>
      <c r="AQ1" s="1459"/>
      <c r="AR1" s="1459"/>
      <c r="AS1" s="1459"/>
      <c r="AT1" s="1459"/>
      <c r="AU1" s="1459"/>
      <c r="AV1" s="1459"/>
      <c r="AW1" s="1459"/>
      <c r="AX1" s="1459"/>
      <c r="AY1" s="1459"/>
      <c r="AZ1" s="1459"/>
      <c r="BA1" s="62">
        <v>1</v>
      </c>
      <c r="BB1" s="62"/>
      <c r="BC1" s="63"/>
      <c r="BD1" s="63"/>
      <c r="BE1" s="63"/>
      <c r="BF1" s="63"/>
      <c r="BG1" s="62"/>
      <c r="BH1" s="62"/>
      <c r="BI1" s="62"/>
      <c r="BJ1" s="62"/>
      <c r="BK1" s="62"/>
      <c r="BL1" s="62"/>
      <c r="BM1" s="62"/>
      <c r="BN1" s="62"/>
      <c r="BO1" s="62"/>
      <c r="BP1" s="62"/>
      <c r="BQ1" s="62"/>
      <c r="BR1" s="62"/>
      <c r="BS1" s="62"/>
      <c r="BT1" s="62"/>
      <c r="BU1" s="62"/>
      <c r="BV1" s="62"/>
      <c r="BW1" s="62"/>
      <c r="BX1" s="62"/>
      <c r="BY1" s="62"/>
      <c r="BZ1" s="62"/>
      <c r="CA1" s="62"/>
    </row>
    <row r="2" spans="1:79" ht="13.5" customHeight="1" thickBot="1">
      <c r="A2" s="455" t="b">
        <v>0</v>
      </c>
      <c r="B2" s="455" t="b">
        <v>0</v>
      </c>
      <c r="C2" s="260"/>
      <c r="D2" s="260"/>
      <c r="F2" s="262"/>
      <c r="G2" s="262"/>
      <c r="H2" s="260"/>
      <c r="I2" s="260"/>
      <c r="J2" s="260"/>
      <c r="K2" s="106"/>
      <c r="L2" s="106"/>
      <c r="M2" s="106"/>
      <c r="N2" s="106"/>
      <c r="O2" s="106"/>
      <c r="P2" s="106"/>
      <c r="Q2" s="106"/>
      <c r="R2" s="106"/>
      <c r="S2" s="106"/>
      <c r="T2" s="106"/>
      <c r="U2" s="106"/>
      <c r="V2" s="106"/>
      <c r="W2" s="295" t="s">
        <v>223</v>
      </c>
      <c r="X2" s="439">
        <v>1</v>
      </c>
      <c r="Y2" s="295" t="s">
        <v>224</v>
      </c>
      <c r="Z2" s="439">
        <v>1</v>
      </c>
      <c r="AA2" s="173" t="b">
        <v>0</v>
      </c>
      <c r="AB2" s="173" t="b">
        <v>0</v>
      </c>
      <c r="AC2" s="260"/>
      <c r="AD2" s="260"/>
      <c r="AF2" s="262"/>
      <c r="AG2" s="262"/>
      <c r="AH2" s="260"/>
      <c r="AI2" s="260"/>
      <c r="AJ2" s="260"/>
      <c r="AK2" s="106"/>
      <c r="AL2" s="106"/>
      <c r="AM2" s="106"/>
      <c r="AN2" s="106"/>
      <c r="AO2" s="106"/>
      <c r="AP2" s="106"/>
      <c r="AQ2" s="106"/>
      <c r="AR2" s="106"/>
      <c r="AS2" s="106"/>
      <c r="AT2" s="106"/>
      <c r="AU2" s="106"/>
      <c r="AV2" s="106"/>
      <c r="AW2" s="295" t="s">
        <v>72</v>
      </c>
      <c r="AX2" s="439">
        <v>1</v>
      </c>
      <c r="AY2" s="295" t="s">
        <v>101</v>
      </c>
      <c r="AZ2" s="439"/>
      <c r="BA2" s="62">
        <v>2</v>
      </c>
      <c r="BB2" s="62"/>
      <c r="BC2" s="63"/>
      <c r="BD2" s="62"/>
      <c r="BE2" s="62"/>
      <c r="BF2" s="63"/>
      <c r="BG2" s="62"/>
      <c r="BH2" s="62"/>
      <c r="BI2" s="62"/>
      <c r="BJ2" s="62"/>
      <c r="BK2" s="62"/>
      <c r="BL2" s="62"/>
      <c r="BM2" s="62"/>
      <c r="BN2" s="62"/>
      <c r="BO2" s="62"/>
      <c r="BP2" s="62"/>
      <c r="BQ2" s="62"/>
      <c r="BR2" s="62"/>
      <c r="BS2" s="62"/>
      <c r="BT2" s="62"/>
      <c r="BU2" s="62"/>
      <c r="BV2" s="62"/>
      <c r="BW2" s="62"/>
      <c r="BX2" s="62"/>
      <c r="BY2" s="62"/>
      <c r="BZ2" s="62"/>
      <c r="CA2" s="62"/>
    </row>
    <row r="3" spans="1:79" ht="13.5" customHeight="1">
      <c r="A3" s="1460" t="s">
        <v>75</v>
      </c>
      <c r="B3" s="1460"/>
      <c r="C3" s="1460"/>
      <c r="D3" s="1460"/>
      <c r="E3" s="1460"/>
      <c r="F3" s="1460"/>
      <c r="G3" s="1460"/>
      <c r="H3" s="1460"/>
      <c r="I3" s="1460"/>
      <c r="J3" s="1460"/>
      <c r="K3" s="1460"/>
      <c r="L3" s="1460"/>
      <c r="M3" s="1460"/>
      <c r="N3" s="1460"/>
      <c r="O3" s="1460"/>
      <c r="P3" s="1460"/>
      <c r="Q3" s="1460"/>
      <c r="R3" s="1460"/>
      <c r="S3" s="1460"/>
      <c r="T3" s="1460"/>
      <c r="U3" s="1460"/>
      <c r="V3" s="1460"/>
      <c r="W3" s="263"/>
      <c r="AA3" s="1460" t="s">
        <v>75</v>
      </c>
      <c r="AB3" s="1460"/>
      <c r="AC3" s="1460"/>
      <c r="AD3" s="1460"/>
      <c r="AE3" s="1460"/>
      <c r="AF3" s="1460"/>
      <c r="AG3" s="1460"/>
      <c r="AH3" s="1460"/>
      <c r="AI3" s="1460"/>
      <c r="AJ3" s="1460"/>
      <c r="AK3" s="1460"/>
      <c r="AL3" s="1460"/>
      <c r="AM3" s="1460"/>
      <c r="AN3" s="1460"/>
      <c r="AO3" s="1460"/>
      <c r="AP3" s="1460"/>
      <c r="AQ3" s="1460"/>
      <c r="AR3" s="1460"/>
      <c r="AS3" s="1460"/>
      <c r="AT3" s="1460"/>
      <c r="AU3" s="1460"/>
      <c r="AV3" s="1460"/>
      <c r="AW3" s="263"/>
      <c r="BA3" s="62">
        <v>3</v>
      </c>
      <c r="BB3" s="62"/>
      <c r="BC3" s="63"/>
      <c r="BD3" s="62"/>
      <c r="BE3" s="62"/>
      <c r="BF3" s="63"/>
      <c r="BG3" s="62"/>
      <c r="BH3" s="62"/>
      <c r="BI3" s="62"/>
      <c r="BJ3" s="62"/>
      <c r="BK3" s="62"/>
      <c r="BL3" s="62"/>
      <c r="BM3" s="62"/>
      <c r="BN3" s="62"/>
      <c r="BO3" s="62"/>
      <c r="BP3" s="62"/>
      <c r="BQ3" s="62"/>
      <c r="BR3" s="62"/>
      <c r="BS3" s="62"/>
      <c r="BT3" s="62"/>
      <c r="BU3" s="62"/>
      <c r="BV3" s="62"/>
      <c r="BW3" s="62"/>
      <c r="BX3" s="62"/>
      <c r="BY3" s="62"/>
      <c r="BZ3" s="62"/>
      <c r="CA3" s="62"/>
    </row>
    <row r="4" spans="1:79" ht="19.5" customHeight="1" thickBot="1">
      <c r="A4" s="264"/>
      <c r="B4" s="454" t="s">
        <v>524</v>
      </c>
      <c r="C4" s="298" t="s">
        <v>522</v>
      </c>
      <c r="D4" s="299"/>
      <c r="E4" s="294" t="s">
        <v>12</v>
      </c>
      <c r="F4" s="299"/>
      <c r="G4" s="294" t="s">
        <v>11</v>
      </c>
      <c r="H4" s="288" t="s">
        <v>225</v>
      </c>
      <c r="I4" s="265"/>
      <c r="J4" s="454" t="s">
        <v>523</v>
      </c>
      <c r="K4" s="298" t="s">
        <v>522</v>
      </c>
      <c r="L4" s="301"/>
      <c r="M4" s="295" t="s">
        <v>12</v>
      </c>
      <c r="N4" s="302"/>
      <c r="O4" s="295" t="s">
        <v>11</v>
      </c>
      <c r="P4" s="301"/>
      <c r="Q4" s="295" t="s">
        <v>29</v>
      </c>
      <c r="R4" s="303"/>
      <c r="S4" s="295" t="s">
        <v>76</v>
      </c>
      <c r="T4" s="264" t="s">
        <v>226</v>
      </c>
      <c r="U4" s="45"/>
      <c r="V4" s="1461" t="s">
        <v>77</v>
      </c>
      <c r="W4" s="1337"/>
      <c r="X4" s="1339" t="s">
        <v>101</v>
      </c>
      <c r="Y4" s="1339"/>
      <c r="Z4" s="1471"/>
      <c r="AA4" s="264"/>
      <c r="AB4" s="443" t="s">
        <v>524</v>
      </c>
      <c r="AC4" s="298" t="s">
        <v>522</v>
      </c>
      <c r="AD4" s="299">
        <v>9</v>
      </c>
      <c r="AE4" s="294" t="s">
        <v>12</v>
      </c>
      <c r="AF4" s="299">
        <v>1</v>
      </c>
      <c r="AG4" s="294" t="s">
        <v>11</v>
      </c>
      <c r="AH4" s="288" t="s">
        <v>32</v>
      </c>
      <c r="AI4" s="265"/>
      <c r="AJ4" s="442" t="s">
        <v>523</v>
      </c>
      <c r="AK4" s="298" t="s">
        <v>522</v>
      </c>
      <c r="AL4" s="301">
        <v>9</v>
      </c>
      <c r="AM4" s="295" t="s">
        <v>12</v>
      </c>
      <c r="AN4" s="302">
        <v>15</v>
      </c>
      <c r="AO4" s="295" t="s">
        <v>11</v>
      </c>
      <c r="AP4" s="301">
        <v>15</v>
      </c>
      <c r="AQ4" s="295" t="s">
        <v>29</v>
      </c>
      <c r="AR4" s="303">
        <v>30</v>
      </c>
      <c r="AS4" s="295" t="s">
        <v>76</v>
      </c>
      <c r="AT4" s="264" t="s">
        <v>32</v>
      </c>
      <c r="AU4" s="45"/>
      <c r="AV4" s="1461" t="s">
        <v>77</v>
      </c>
      <c r="AW4" s="1467"/>
      <c r="AX4" s="1468"/>
      <c r="AY4" s="1463" t="s">
        <v>101</v>
      </c>
      <c r="AZ4" s="1465"/>
      <c r="BA4" s="62">
        <v>4</v>
      </c>
      <c r="BB4" s="62"/>
      <c r="BC4" s="63"/>
      <c r="BD4" s="62"/>
      <c r="BE4" s="62"/>
      <c r="BF4" s="63"/>
      <c r="BG4" s="62"/>
      <c r="BH4" s="62"/>
      <c r="BI4" s="62"/>
      <c r="BJ4" s="62"/>
      <c r="BK4" s="62"/>
      <c r="BL4" s="62"/>
      <c r="BM4" s="62"/>
      <c r="BN4" s="62"/>
      <c r="BO4" s="62"/>
      <c r="BP4" s="62"/>
      <c r="BQ4" s="62"/>
      <c r="BR4" s="62"/>
      <c r="BS4" s="62"/>
      <c r="BT4" s="62"/>
      <c r="BU4" s="62"/>
      <c r="BV4" s="62"/>
      <c r="BW4" s="62"/>
      <c r="BX4" s="62"/>
      <c r="BY4" s="62"/>
      <c r="BZ4" s="62"/>
      <c r="CA4" s="62"/>
    </row>
    <row r="5" spans="1:79" ht="8.1" customHeight="1">
      <c r="G5" s="481">
        <f>H7</f>
        <v>0</v>
      </c>
      <c r="H5" s="481">
        <f>P7</f>
        <v>0</v>
      </c>
      <c r="I5" s="267"/>
      <c r="J5" s="106"/>
      <c r="K5" s="268"/>
      <c r="P5" s="266"/>
      <c r="Q5" s="266"/>
      <c r="R5" s="268"/>
      <c r="S5" s="106"/>
      <c r="T5" s="268"/>
      <c r="U5" s="45"/>
      <c r="V5" s="1462"/>
      <c r="W5" s="1338"/>
      <c r="X5" s="1340"/>
      <c r="Y5" s="1340"/>
      <c r="Z5" s="1472"/>
      <c r="AG5" s="266"/>
      <c r="AH5" s="266"/>
      <c r="AI5" s="267"/>
      <c r="AJ5" s="106"/>
      <c r="AK5" s="268"/>
      <c r="AP5" s="266"/>
      <c r="AQ5" s="266"/>
      <c r="AR5" s="268"/>
      <c r="AS5" s="106"/>
      <c r="AT5" s="268"/>
      <c r="AU5" s="45"/>
      <c r="AV5" s="1462"/>
      <c r="AW5" s="1469"/>
      <c r="AX5" s="1470"/>
      <c r="AY5" s="1464"/>
      <c r="AZ5" s="1466"/>
      <c r="BA5" s="62">
        <v>5</v>
      </c>
      <c r="BB5" s="62"/>
      <c r="BC5" s="63"/>
      <c r="BD5" s="62"/>
      <c r="BE5" s="62"/>
      <c r="BF5" s="63"/>
      <c r="BG5" s="62"/>
      <c r="BH5" s="62"/>
      <c r="BI5" s="62"/>
      <c r="BJ5" s="62"/>
      <c r="BK5" s="62"/>
      <c r="BL5" s="62"/>
      <c r="BM5" s="62"/>
      <c r="BN5" s="62"/>
      <c r="BO5" s="62"/>
      <c r="BP5" s="62"/>
      <c r="BQ5" s="62"/>
      <c r="BR5" s="62"/>
      <c r="BS5" s="62"/>
      <c r="BT5" s="62"/>
      <c r="BU5" s="62"/>
      <c r="BV5" s="62"/>
      <c r="BW5" s="62"/>
      <c r="BX5" s="62"/>
      <c r="BY5" s="62"/>
      <c r="BZ5" s="62"/>
      <c r="CA5" s="62"/>
    </row>
    <row r="6" spans="1:79" ht="27" customHeight="1" thickBot="1">
      <c r="A6" s="1458" t="s">
        <v>71</v>
      </c>
      <c r="B6" s="1458"/>
      <c r="C6" s="1458"/>
      <c r="D6" s="1473" t="str">
        <f>CONCATENATE('01 使用承認申請書'!D4)</f>
        <v/>
      </c>
      <c r="E6" s="1473"/>
      <c r="F6" s="1473"/>
      <c r="G6" s="1473"/>
      <c r="H6" s="1473"/>
      <c r="I6" s="1473"/>
      <c r="J6" s="1473"/>
      <c r="K6" s="1473"/>
      <c r="L6" s="1473"/>
      <c r="M6" s="1473"/>
      <c r="N6" s="1473"/>
      <c r="O6" s="1473"/>
      <c r="P6" s="1473"/>
      <c r="Q6" s="1473"/>
      <c r="R6" s="1473"/>
      <c r="S6" s="1473"/>
      <c r="T6" s="1473"/>
      <c r="AA6" s="1458" t="s">
        <v>71</v>
      </c>
      <c r="AB6" s="1458"/>
      <c r="AC6" s="1458"/>
      <c r="AD6" s="1473" t="str">
        <f>CONCATENATE('01 使用承認申請書'!AD4)</f>
        <v>ベースボールスクール山の家</v>
      </c>
      <c r="AE6" s="1473"/>
      <c r="AF6" s="1473"/>
      <c r="AG6" s="1473"/>
      <c r="AH6" s="1473"/>
      <c r="AI6" s="1473"/>
      <c r="AJ6" s="1473"/>
      <c r="AK6" s="1473"/>
      <c r="AL6" s="1473"/>
      <c r="AM6" s="1473"/>
      <c r="AN6" s="1473"/>
      <c r="AO6" s="1473"/>
      <c r="AP6" s="1473"/>
      <c r="AQ6" s="1473"/>
      <c r="AR6" s="1473"/>
      <c r="AS6" s="1473"/>
      <c r="AT6" s="1473"/>
      <c r="BA6" s="62">
        <v>6</v>
      </c>
      <c r="BB6" s="62"/>
      <c r="BC6" s="63"/>
      <c r="BD6" s="62"/>
      <c r="BE6" s="62"/>
      <c r="BF6" s="63"/>
      <c r="BG6" s="62"/>
      <c r="BH6" s="62"/>
      <c r="BI6" s="62"/>
      <c r="BJ6" s="62"/>
      <c r="BK6" s="62"/>
      <c r="BL6" s="62"/>
      <c r="BM6" s="62"/>
      <c r="BN6" s="62"/>
      <c r="BO6" s="62"/>
      <c r="BP6" s="62"/>
      <c r="BQ6" s="62"/>
      <c r="BR6" s="62"/>
      <c r="BS6" s="62"/>
      <c r="BT6" s="62"/>
      <c r="BU6" s="62"/>
      <c r="BV6" s="62"/>
      <c r="BW6" s="62"/>
      <c r="BX6" s="62"/>
      <c r="BY6" s="62"/>
      <c r="BZ6" s="62"/>
      <c r="CA6" s="62"/>
    </row>
    <row r="7" spans="1:79" ht="13.5" customHeight="1">
      <c r="A7" s="1457" t="s">
        <v>70</v>
      </c>
      <c r="B7" s="1457"/>
      <c r="C7" s="1457"/>
      <c r="D7" s="1487">
        <f>'01 使用承認申請書'!C14</f>
        <v>0</v>
      </c>
      <c r="E7" s="1487"/>
      <c r="F7" s="1487"/>
      <c r="G7" s="1487"/>
      <c r="H7" s="1487"/>
      <c r="I7" s="1487"/>
      <c r="J7" s="1487"/>
      <c r="K7" s="1487"/>
      <c r="L7" s="1487"/>
      <c r="M7" s="1436" t="s">
        <v>227</v>
      </c>
      <c r="N7" s="1489">
        <f>'01 使用承認申請書'!C16</f>
        <v>0</v>
      </c>
      <c r="O7" s="1489"/>
      <c r="P7" s="1489"/>
      <c r="Q7" s="1489"/>
      <c r="R7" s="1489"/>
      <c r="S7" s="1489"/>
      <c r="T7" s="1489"/>
      <c r="U7" s="297"/>
      <c r="V7" s="328"/>
      <c r="W7" s="440" t="str">
        <f>CONCATENATE('01 使用承認申請書'!L13)</f>
        <v/>
      </c>
      <c r="X7" s="297" t="s">
        <v>41</v>
      </c>
      <c r="Y7" s="440" t="str">
        <f>CONCATENATE('01 使用承認申請書'!Q13)</f>
        <v/>
      </c>
      <c r="Z7" s="297" t="s">
        <v>11</v>
      </c>
      <c r="AA7" s="1457" t="s">
        <v>70</v>
      </c>
      <c r="AB7" s="1457"/>
      <c r="AC7" s="1457"/>
      <c r="AD7" s="1491" t="str">
        <f>CONCATENATE('01 使用承認申請書'!AB12)</f>
        <v>令和8</v>
      </c>
      <c r="AE7" s="1436" t="s">
        <v>13</v>
      </c>
      <c r="AF7" s="1493" t="str">
        <f>CONCATENATE('01 使用承認申請書'!AC14)</f>
        <v>10</v>
      </c>
      <c r="AG7" s="1456" t="s">
        <v>12</v>
      </c>
      <c r="AH7" s="1434" t="str">
        <f>CONCATENATE('01 使用承認申請書'!AF14)</f>
        <v>13</v>
      </c>
      <c r="AI7" s="1436" t="s">
        <v>11</v>
      </c>
      <c r="AJ7" s="1436" t="s">
        <v>33</v>
      </c>
      <c r="AK7" s="1434" t="str">
        <f>CONCATENATE('01 使用承認申請書'!AJ14)</f>
        <v>火</v>
      </c>
      <c r="AL7" s="1436" t="s">
        <v>32</v>
      </c>
      <c r="AM7" s="1436" t="s">
        <v>30</v>
      </c>
      <c r="AN7" s="1434" t="str">
        <f>CONCATENATE('01 使用承認申請書'!AC16)</f>
        <v>10</v>
      </c>
      <c r="AO7" s="1436" t="s">
        <v>12</v>
      </c>
      <c r="AP7" s="1434" t="str">
        <f>CONCATENATE('01 使用承認申請書'!AF16)</f>
        <v>14</v>
      </c>
      <c r="AQ7" s="1436" t="s">
        <v>11</v>
      </c>
      <c r="AR7" s="1436" t="s">
        <v>33</v>
      </c>
      <c r="AS7" s="1434" t="str">
        <f>CONCATENATE('01 使用承認申請書'!AJ16)</f>
        <v>水</v>
      </c>
      <c r="AT7" s="1436" t="s">
        <v>32</v>
      </c>
      <c r="AV7" s="106"/>
      <c r="AW7" s="440" t="str">
        <f>CONCATENATE('01 使用承認申請書'!AL13)</f>
        <v>1</v>
      </c>
      <c r="AX7" s="297" t="s">
        <v>41</v>
      </c>
      <c r="AY7" s="440" t="str">
        <f>CONCATENATE('01 使用承認申請書'!AQ13)</f>
        <v>2</v>
      </c>
      <c r="AZ7" s="297" t="s">
        <v>11</v>
      </c>
      <c r="BA7" s="62">
        <v>7</v>
      </c>
      <c r="BB7" s="62"/>
      <c r="BC7" s="63"/>
      <c r="BD7" s="62"/>
      <c r="BE7" s="62"/>
      <c r="BF7" s="63"/>
      <c r="BG7" s="62"/>
      <c r="BH7" s="62"/>
      <c r="BI7" s="62"/>
      <c r="BJ7" s="62"/>
      <c r="BK7" s="62"/>
      <c r="BL7" s="62"/>
      <c r="BM7" s="62"/>
      <c r="BN7" s="62"/>
      <c r="BO7" s="62"/>
      <c r="BP7" s="62"/>
      <c r="BQ7" s="62"/>
      <c r="BR7" s="62"/>
      <c r="BS7" s="62"/>
      <c r="BT7" s="62"/>
      <c r="BU7" s="62"/>
      <c r="BV7" s="62"/>
      <c r="BW7" s="62"/>
      <c r="BX7" s="62"/>
      <c r="BY7" s="62"/>
      <c r="BZ7" s="62"/>
      <c r="CA7" s="62"/>
    </row>
    <row r="8" spans="1:79" ht="13.5" customHeight="1" thickBot="1">
      <c r="A8" s="1458"/>
      <c r="B8" s="1458"/>
      <c r="C8" s="1458"/>
      <c r="D8" s="1488"/>
      <c r="E8" s="1488"/>
      <c r="F8" s="1488"/>
      <c r="G8" s="1488"/>
      <c r="H8" s="1488"/>
      <c r="I8" s="1488"/>
      <c r="J8" s="1488"/>
      <c r="K8" s="1488"/>
      <c r="L8" s="1488"/>
      <c r="M8" s="1437"/>
      <c r="N8" s="1490"/>
      <c r="O8" s="1490"/>
      <c r="P8" s="1490"/>
      <c r="Q8" s="1490"/>
      <c r="R8" s="1490"/>
      <c r="S8" s="1490"/>
      <c r="T8" s="1490"/>
      <c r="U8" s="298"/>
      <c r="V8" s="295"/>
      <c r="W8" s="1474" t="s">
        <v>42</v>
      </c>
      <c r="X8" s="1474"/>
      <c r="Y8" s="441" t="str">
        <f>CONCATENATE('01 使用承認申請書'!V13)</f>
        <v/>
      </c>
      <c r="Z8" s="298" t="s">
        <v>78</v>
      </c>
      <c r="AA8" s="1458"/>
      <c r="AB8" s="1458"/>
      <c r="AC8" s="1458"/>
      <c r="AD8" s="1492"/>
      <c r="AE8" s="1437"/>
      <c r="AF8" s="1435"/>
      <c r="AG8" s="1437"/>
      <c r="AH8" s="1435"/>
      <c r="AI8" s="1437"/>
      <c r="AJ8" s="1437"/>
      <c r="AK8" s="1435"/>
      <c r="AL8" s="1437"/>
      <c r="AM8" s="1437"/>
      <c r="AN8" s="1435"/>
      <c r="AO8" s="1437"/>
      <c r="AP8" s="1435"/>
      <c r="AQ8" s="1437"/>
      <c r="AR8" s="1437"/>
      <c r="AS8" s="1435"/>
      <c r="AT8" s="1437"/>
      <c r="AU8" s="264"/>
      <c r="AV8" s="289"/>
      <c r="AW8" s="1474" t="s">
        <v>42</v>
      </c>
      <c r="AX8" s="1474"/>
      <c r="AY8" s="261" t="str">
        <f>CONCATENATE('01 使用承認申請書'!AV13)</f>
        <v>1</v>
      </c>
      <c r="AZ8" s="298" t="s">
        <v>11</v>
      </c>
      <c r="BA8" s="62">
        <v>8</v>
      </c>
      <c r="BB8" s="62"/>
      <c r="BC8" s="63"/>
      <c r="BD8" s="62"/>
      <c r="BE8" s="62"/>
      <c r="BF8" s="63"/>
      <c r="BG8" s="62"/>
      <c r="BH8" s="62"/>
      <c r="BI8" s="62"/>
      <c r="BJ8" s="62"/>
      <c r="BK8" s="62"/>
      <c r="BL8" s="62"/>
      <c r="BM8" s="62"/>
      <c r="BN8" s="62"/>
      <c r="BO8" s="62"/>
      <c r="BP8" s="62"/>
      <c r="BQ8" s="62"/>
      <c r="BR8" s="62"/>
      <c r="BS8" s="62"/>
      <c r="BT8" s="62"/>
      <c r="BU8" s="62"/>
      <c r="BV8" s="62"/>
      <c r="BW8" s="62"/>
      <c r="BX8" s="62"/>
      <c r="BY8" s="62"/>
      <c r="BZ8" s="62"/>
      <c r="CA8" s="62"/>
    </row>
    <row r="9" spans="1:79" ht="12" customHeight="1">
      <c r="A9" s="1482"/>
      <c r="B9" s="1482"/>
      <c r="C9" s="1482"/>
      <c r="D9" s="1482"/>
      <c r="E9" s="1482"/>
      <c r="F9" s="1482"/>
      <c r="G9" s="1482"/>
      <c r="H9" s="1482"/>
      <c r="I9" s="1482"/>
      <c r="J9" s="1482"/>
      <c r="K9" s="1482"/>
      <c r="L9" s="1482"/>
      <c r="M9" s="1482"/>
      <c r="N9" s="1482"/>
      <c r="O9" s="1482"/>
      <c r="P9" s="1482"/>
      <c r="Q9" s="1482"/>
      <c r="R9" s="1482"/>
      <c r="S9" s="1482"/>
      <c r="T9" s="1482"/>
      <c r="U9" s="1482"/>
      <c r="V9" s="1482"/>
      <c r="W9" s="1482"/>
      <c r="X9" s="1482"/>
      <c r="Y9" s="1482"/>
      <c r="Z9" s="1482"/>
      <c r="AA9" s="1482"/>
      <c r="AB9" s="1482"/>
      <c r="AC9" s="1482"/>
      <c r="AD9" s="1482"/>
      <c r="AE9" s="1482"/>
      <c r="AF9" s="1482"/>
      <c r="AG9" s="1482"/>
      <c r="AH9" s="1482"/>
      <c r="AI9" s="1482"/>
      <c r="AJ9" s="1482"/>
      <c r="AK9" s="1482"/>
      <c r="AL9" s="1482"/>
      <c r="AM9" s="1482"/>
      <c r="AN9" s="1482"/>
      <c r="AO9" s="1482"/>
      <c r="AP9" s="1482"/>
      <c r="AQ9" s="1482"/>
      <c r="AR9" s="1482"/>
      <c r="AS9" s="1482"/>
      <c r="AT9" s="1482"/>
      <c r="AU9" s="1482"/>
      <c r="AV9" s="1482"/>
      <c r="AW9" s="1482"/>
      <c r="AX9" s="1482"/>
      <c r="AY9" s="1482"/>
      <c r="AZ9" s="1482"/>
      <c r="BA9" s="62">
        <v>9</v>
      </c>
      <c r="BB9" s="62"/>
      <c r="BC9" s="63"/>
      <c r="BD9" s="62"/>
      <c r="BE9" s="62"/>
      <c r="BF9" s="63"/>
      <c r="BG9" s="62"/>
      <c r="BH9" s="62"/>
      <c r="BI9" s="62"/>
      <c r="BJ9" s="62"/>
      <c r="BK9" s="62"/>
      <c r="BL9" s="62"/>
      <c r="BM9" s="62"/>
      <c r="BN9" s="62"/>
      <c r="BO9" s="62"/>
      <c r="BP9" s="62"/>
      <c r="BQ9" s="62"/>
      <c r="BR9" s="62"/>
      <c r="BS9" s="62"/>
      <c r="BT9" s="62"/>
      <c r="BU9" s="62"/>
      <c r="BV9" s="62"/>
      <c r="BW9" s="62"/>
      <c r="BX9" s="62"/>
      <c r="BY9" s="62"/>
      <c r="BZ9" s="62"/>
      <c r="CA9" s="62"/>
    </row>
    <row r="10" spans="1:79" ht="16.5" customHeight="1">
      <c r="A10" s="1433" t="s">
        <v>748</v>
      </c>
      <c r="B10" s="1433"/>
      <c r="C10" s="1433"/>
      <c r="D10" s="1433"/>
      <c r="E10" s="1433"/>
      <c r="F10" s="1433"/>
      <c r="G10" s="1433"/>
      <c r="H10" s="1433"/>
      <c r="I10" s="1433"/>
      <c r="J10" s="1433"/>
      <c r="K10" s="1433"/>
      <c r="L10" s="1433"/>
      <c r="M10" s="1433"/>
      <c r="N10" s="1433"/>
      <c r="O10" s="1433"/>
      <c r="P10" s="1433"/>
      <c r="Q10" s="1433"/>
      <c r="R10" s="1433"/>
      <c r="S10" s="1433"/>
      <c r="T10" s="1433"/>
      <c r="U10" s="1433"/>
      <c r="V10" s="1433"/>
      <c r="W10" s="1433"/>
      <c r="X10" s="1433"/>
      <c r="Y10" s="1433"/>
      <c r="Z10" s="1433"/>
      <c r="AA10" s="1433" t="s">
        <v>748</v>
      </c>
      <c r="AB10" s="1433"/>
      <c r="AC10" s="1433"/>
      <c r="AD10" s="1433"/>
      <c r="AE10" s="1433"/>
      <c r="AF10" s="1433"/>
      <c r="AG10" s="1433"/>
      <c r="AH10" s="1433"/>
      <c r="AI10" s="1433"/>
      <c r="AJ10" s="1433"/>
      <c r="AK10" s="1433"/>
      <c r="AL10" s="1433"/>
      <c r="AM10" s="1433"/>
      <c r="AN10" s="1433"/>
      <c r="AO10" s="1433"/>
      <c r="AP10" s="1433"/>
      <c r="AQ10" s="1433"/>
      <c r="AR10" s="1433"/>
      <c r="AS10" s="1433"/>
      <c r="AT10" s="1433"/>
      <c r="AU10" s="1433"/>
      <c r="AV10" s="1433"/>
      <c r="AW10" s="1433"/>
      <c r="AX10" s="1433"/>
      <c r="AY10" s="1433"/>
      <c r="AZ10" s="1433"/>
      <c r="BA10" s="62">
        <v>10</v>
      </c>
      <c r="BB10" s="62"/>
      <c r="BC10" s="63"/>
      <c r="BD10" s="62"/>
      <c r="BE10" s="62"/>
      <c r="BF10" s="63"/>
      <c r="BG10" s="62"/>
      <c r="BH10" s="62"/>
      <c r="BI10" s="62"/>
      <c r="BJ10" s="62"/>
      <c r="BK10" s="62"/>
      <c r="BL10" s="62"/>
      <c r="BM10" s="62"/>
      <c r="BN10" s="62"/>
      <c r="BO10" s="62"/>
      <c r="BP10" s="62"/>
      <c r="BQ10" s="62"/>
      <c r="BR10" s="62"/>
      <c r="BS10" s="62"/>
      <c r="BT10" s="62"/>
      <c r="BU10" s="62"/>
      <c r="BV10" s="62"/>
      <c r="BW10" s="62"/>
      <c r="BX10" s="62"/>
      <c r="BY10" s="62"/>
      <c r="BZ10" s="62"/>
      <c r="CA10" s="62"/>
    </row>
    <row r="11" spans="1:79" ht="21" customHeight="1">
      <c r="A11" s="1334" t="s">
        <v>758</v>
      </c>
      <c r="B11" s="1335"/>
      <c r="C11" s="1335"/>
      <c r="D11" s="1335"/>
      <c r="E11" s="1335"/>
      <c r="F11" s="1335"/>
      <c r="G11" s="1335"/>
      <c r="H11" s="1335"/>
      <c r="I11" s="1335"/>
      <c r="J11" s="1335"/>
      <c r="K11" s="1335"/>
      <c r="L11" s="1335"/>
      <c r="M11" s="1335"/>
      <c r="N11" s="1335"/>
      <c r="O11" s="1335"/>
      <c r="P11" s="1335"/>
      <c r="Q11" s="1335"/>
      <c r="R11" s="1335"/>
      <c r="S11" s="1335"/>
      <c r="T11" s="1335"/>
      <c r="U11" s="1335"/>
      <c r="V11" s="1335"/>
      <c r="W11" s="1335"/>
      <c r="X11" s="1335"/>
      <c r="Y11" s="1335"/>
      <c r="Z11" s="1336"/>
      <c r="AA11" s="1334" t="s">
        <v>758</v>
      </c>
      <c r="AB11" s="1335"/>
      <c r="AC11" s="1335"/>
      <c r="AD11" s="1335"/>
      <c r="AE11" s="1335"/>
      <c r="AF11" s="1335"/>
      <c r="AG11" s="1335"/>
      <c r="AH11" s="1335"/>
      <c r="AI11" s="1335"/>
      <c r="AJ11" s="1335"/>
      <c r="AK11" s="1335"/>
      <c r="AL11" s="1335"/>
      <c r="AM11" s="1335"/>
      <c r="AN11" s="1335"/>
      <c r="AO11" s="1335"/>
      <c r="AP11" s="1335"/>
      <c r="AQ11" s="1335"/>
      <c r="AR11" s="1335"/>
      <c r="AS11" s="1335"/>
      <c r="AT11" s="1335"/>
      <c r="AU11" s="1335"/>
      <c r="AV11" s="1335"/>
      <c r="AW11" s="1335"/>
      <c r="AX11" s="1335"/>
      <c r="AY11" s="1335"/>
      <c r="AZ11" s="1336"/>
      <c r="BA11" s="62">
        <v>11</v>
      </c>
      <c r="BB11" s="62"/>
      <c r="BC11" s="63"/>
      <c r="BD11" s="62"/>
      <c r="BE11" s="62"/>
      <c r="BF11" s="63"/>
      <c r="BG11" s="62"/>
      <c r="BH11" s="62"/>
      <c r="BI11" s="62"/>
      <c r="BJ11" s="62"/>
      <c r="BK11" s="62"/>
      <c r="BL11" s="62"/>
      <c r="BM11" s="62"/>
      <c r="BN11" s="62"/>
      <c r="BO11" s="62"/>
      <c r="BP11" s="62"/>
      <c r="BQ11" s="62"/>
      <c r="BR11" s="62"/>
      <c r="BS11" s="62"/>
      <c r="BT11" s="62"/>
      <c r="BU11" s="62"/>
      <c r="BV11" s="62"/>
      <c r="BW11" s="62"/>
      <c r="BX11" s="62"/>
      <c r="BY11" s="62"/>
      <c r="BZ11" s="62"/>
      <c r="CA11" s="62"/>
    </row>
    <row r="12" spans="1:79" ht="21" customHeight="1">
      <c r="A12" s="1334"/>
      <c r="B12" s="1335"/>
      <c r="C12" s="1335"/>
      <c r="D12" s="1335"/>
      <c r="E12" s="1335"/>
      <c r="F12" s="1335"/>
      <c r="G12" s="1335"/>
      <c r="H12" s="1335"/>
      <c r="I12" s="1335"/>
      <c r="J12" s="1335"/>
      <c r="K12" s="1335"/>
      <c r="L12" s="1335"/>
      <c r="M12" s="1335"/>
      <c r="N12" s="1335"/>
      <c r="O12" s="1335"/>
      <c r="P12" s="1335"/>
      <c r="Q12" s="1335"/>
      <c r="R12" s="1335"/>
      <c r="S12" s="1335"/>
      <c r="T12" s="1335"/>
      <c r="U12" s="1335"/>
      <c r="V12" s="1335"/>
      <c r="W12" s="1335"/>
      <c r="X12" s="1335"/>
      <c r="Y12" s="1335"/>
      <c r="Z12" s="1336"/>
      <c r="AA12" s="1334"/>
      <c r="AB12" s="1335"/>
      <c r="AC12" s="1335"/>
      <c r="AD12" s="1335"/>
      <c r="AE12" s="1335"/>
      <c r="AF12" s="1335"/>
      <c r="AG12" s="1335"/>
      <c r="AH12" s="1335"/>
      <c r="AI12" s="1335"/>
      <c r="AJ12" s="1335"/>
      <c r="AK12" s="1335"/>
      <c r="AL12" s="1335"/>
      <c r="AM12" s="1335"/>
      <c r="AN12" s="1335"/>
      <c r="AO12" s="1335"/>
      <c r="AP12" s="1335"/>
      <c r="AQ12" s="1335"/>
      <c r="AR12" s="1335"/>
      <c r="AS12" s="1335"/>
      <c r="AT12" s="1335"/>
      <c r="AU12" s="1335"/>
      <c r="AV12" s="1335"/>
      <c r="AW12" s="1335"/>
      <c r="AX12" s="1335"/>
      <c r="AY12" s="1335"/>
      <c r="AZ12" s="1336"/>
      <c r="BA12" s="62">
        <v>12</v>
      </c>
      <c r="BB12" s="62"/>
      <c r="BC12" s="63"/>
      <c r="BD12" s="62"/>
      <c r="BE12" s="62"/>
      <c r="BF12" s="63"/>
      <c r="BG12" s="62"/>
      <c r="BH12" s="62"/>
      <c r="BI12" s="62"/>
      <c r="BJ12" s="62"/>
      <c r="BK12" s="62"/>
      <c r="BL12" s="62"/>
      <c r="BM12" s="62"/>
      <c r="BN12" s="62"/>
      <c r="BO12" s="62"/>
      <c r="BP12" s="62"/>
      <c r="BQ12" s="62"/>
      <c r="BR12" s="62"/>
      <c r="BS12" s="62"/>
      <c r="BT12" s="62"/>
      <c r="BU12" s="62"/>
      <c r="BV12" s="62"/>
      <c r="BW12" s="62"/>
      <c r="BX12" s="62"/>
      <c r="BY12" s="62"/>
      <c r="BZ12" s="62"/>
      <c r="CA12" s="62"/>
    </row>
    <row r="13" spans="1:79" ht="14.25" customHeight="1">
      <c r="A13" s="296"/>
      <c r="B13" s="296"/>
      <c r="C13" s="296"/>
      <c r="D13" s="296"/>
      <c r="E13" s="296"/>
      <c r="F13" s="296"/>
      <c r="G13" s="296"/>
      <c r="H13" s="296"/>
      <c r="I13" s="296"/>
      <c r="J13" s="296"/>
      <c r="K13" s="296"/>
      <c r="L13" s="296"/>
      <c r="M13" s="296"/>
      <c r="N13" s="296"/>
      <c r="O13" s="296"/>
      <c r="P13" s="296"/>
      <c r="Q13" s="296"/>
      <c r="R13" s="296"/>
      <c r="S13" s="296"/>
      <c r="T13" s="296"/>
      <c r="U13" s="296"/>
      <c r="V13" s="296"/>
      <c r="W13" s="296"/>
      <c r="X13" s="296"/>
      <c r="Y13" s="296"/>
      <c r="Z13" s="296"/>
      <c r="AA13" s="269"/>
      <c r="AB13" s="269"/>
      <c r="AC13" s="269"/>
      <c r="AD13" s="269"/>
      <c r="AE13" s="269"/>
      <c r="AF13" s="269"/>
      <c r="AG13" s="269"/>
      <c r="AH13" s="269"/>
      <c r="AI13" s="269"/>
      <c r="AJ13" s="269"/>
      <c r="AK13" s="269"/>
      <c r="AL13" s="269"/>
      <c r="AM13" s="269"/>
      <c r="AN13" s="269"/>
      <c r="AO13" s="269"/>
      <c r="AP13" s="269"/>
      <c r="AQ13" s="269"/>
      <c r="AR13" s="269"/>
      <c r="AS13" s="269"/>
      <c r="AT13" s="269"/>
      <c r="AU13" s="269"/>
      <c r="AV13" s="269"/>
      <c r="AW13" s="269"/>
      <c r="AX13" s="269"/>
      <c r="AY13" s="269"/>
      <c r="AZ13" s="269"/>
      <c r="BA13" s="62">
        <v>13</v>
      </c>
      <c r="BB13" s="62"/>
      <c r="BC13" s="63"/>
      <c r="BD13" s="62"/>
      <c r="BE13" s="62"/>
      <c r="BF13" s="63"/>
      <c r="BG13" s="62"/>
      <c r="BH13" s="62"/>
      <c r="BI13" s="62"/>
      <c r="BJ13" s="62"/>
      <c r="BK13" s="62"/>
      <c r="BL13" s="62"/>
      <c r="BM13" s="62"/>
      <c r="BN13" s="62"/>
      <c r="BO13" s="62"/>
      <c r="BP13" s="62"/>
      <c r="BQ13" s="62"/>
      <c r="BR13" s="62"/>
      <c r="BS13" s="62"/>
      <c r="BT13" s="62"/>
      <c r="BU13" s="62"/>
      <c r="BV13" s="62"/>
      <c r="BW13" s="62"/>
      <c r="BX13" s="62"/>
      <c r="BY13" s="62"/>
      <c r="BZ13" s="62"/>
      <c r="CA13" s="62"/>
    </row>
    <row r="14" spans="1:79" ht="18.95" customHeight="1" thickBot="1">
      <c r="A14" s="1481" t="s">
        <v>521</v>
      </c>
      <c r="B14" s="1481"/>
      <c r="C14" s="1481"/>
      <c r="D14" s="1481"/>
      <c r="E14" s="1481"/>
      <c r="F14" s="1481"/>
      <c r="G14" s="1481"/>
      <c r="H14" s="1481"/>
      <c r="I14" s="1481"/>
      <c r="J14" s="1481"/>
      <c r="K14" s="1481"/>
      <c r="L14" s="1481"/>
      <c r="M14" s="1481"/>
      <c r="N14" s="1481"/>
      <c r="O14" s="1481"/>
      <c r="P14" s="1481"/>
      <c r="Q14" s="1481"/>
      <c r="R14" s="1481"/>
      <c r="S14" s="1481"/>
      <c r="T14" s="1481"/>
      <c r="U14" s="1481"/>
      <c r="V14" s="1481"/>
      <c r="W14" s="1481"/>
      <c r="X14" s="1481"/>
      <c r="Y14" s="1481"/>
      <c r="Z14" s="1481"/>
      <c r="AA14" s="1481" t="s">
        <v>521</v>
      </c>
      <c r="AB14" s="1481"/>
      <c r="AC14" s="1481"/>
      <c r="AD14" s="1481"/>
      <c r="AE14" s="1481"/>
      <c r="AF14" s="1481"/>
      <c r="AG14" s="1481"/>
      <c r="AH14" s="1481"/>
      <c r="AI14" s="1481"/>
      <c r="AJ14" s="1481"/>
      <c r="AK14" s="1481"/>
      <c r="AL14" s="1481"/>
      <c r="AM14" s="1481"/>
      <c r="AN14" s="1481"/>
      <c r="AO14" s="1481"/>
      <c r="AP14" s="1481"/>
      <c r="AQ14" s="1481"/>
      <c r="AR14" s="1481"/>
      <c r="AS14" s="1481"/>
      <c r="AT14" s="1481"/>
      <c r="AU14" s="1481"/>
      <c r="AV14" s="1481"/>
      <c r="AW14" s="1481"/>
      <c r="AX14" s="1481"/>
      <c r="AY14" s="1481"/>
      <c r="AZ14" s="1481"/>
      <c r="BA14" s="62">
        <v>14</v>
      </c>
      <c r="BB14" s="62"/>
      <c r="BC14" s="63"/>
      <c r="BD14" s="62"/>
      <c r="BE14" s="62"/>
      <c r="BF14" s="63"/>
      <c r="BG14" s="62"/>
      <c r="BH14" s="62"/>
      <c r="BI14" s="62"/>
      <c r="BJ14" s="62"/>
      <c r="BK14" s="62"/>
      <c r="BL14" s="62"/>
      <c r="BM14" s="62"/>
      <c r="BN14" s="62"/>
      <c r="BO14" s="62"/>
      <c r="BP14" s="62"/>
      <c r="BQ14" s="62"/>
      <c r="BR14" s="62"/>
      <c r="BS14" s="62"/>
      <c r="BT14" s="62"/>
      <c r="BU14" s="62"/>
      <c r="BV14" s="62"/>
      <c r="BW14" s="62"/>
      <c r="BX14" s="62"/>
      <c r="BY14" s="62"/>
      <c r="BZ14" s="62"/>
      <c r="CA14" s="62"/>
    </row>
    <row r="15" spans="1:79" ht="13.5" customHeight="1">
      <c r="A15" s="1440" t="s">
        <v>749</v>
      </c>
      <c r="B15" s="1441"/>
      <c r="C15" s="1441"/>
      <c r="D15" s="1441"/>
      <c r="E15" s="1441"/>
      <c r="F15" s="1441"/>
      <c r="G15" s="1441"/>
      <c r="H15" s="1441"/>
      <c r="I15" s="1441"/>
      <c r="J15" s="1441"/>
      <c r="K15" s="1441"/>
      <c r="L15" s="1441"/>
      <c r="M15" s="1442"/>
      <c r="N15" s="1531" t="s">
        <v>221</v>
      </c>
      <c r="O15" s="1479" t="s">
        <v>477</v>
      </c>
      <c r="P15" s="1480"/>
      <c r="Q15" s="1532" t="s">
        <v>222</v>
      </c>
      <c r="R15" s="1534" t="str">
        <f>IF(B54=TRUE,IF(B55=TRUE,"!再度確認!","青少年山の家までご連絡ください"),IF(B55=FALSE,"!再度確認!","連絡の必要はありません"))</f>
        <v>!再度確認!</v>
      </c>
      <c r="S15" s="1534"/>
      <c r="T15" s="1534"/>
      <c r="U15" s="1534" t="str">
        <f>IF(K58=TRUE,IF(K59=TRUE,"!再度確認!","提出"),IF(K59=FALSE,"!再度確認!","いりません"))</f>
        <v>!再度確認!</v>
      </c>
      <c r="V15" s="1534"/>
      <c r="W15" s="1534"/>
      <c r="X15" s="1534" t="str">
        <f>IF(N58=TRUE,IF(N59=TRUE,"!再度確認!","提出"),IF(N59=FALSE,"!再度確認!","いりません"))</f>
        <v>!再度確認!</v>
      </c>
      <c r="Y15" s="1534"/>
      <c r="Z15" s="1535"/>
      <c r="AA15" s="1440" t="s">
        <v>749</v>
      </c>
      <c r="AB15" s="1441"/>
      <c r="AC15" s="1441"/>
      <c r="AD15" s="1441"/>
      <c r="AE15" s="1441"/>
      <c r="AF15" s="1441"/>
      <c r="AG15" s="1441"/>
      <c r="AH15" s="1441"/>
      <c r="AI15" s="1441"/>
      <c r="AJ15" s="1441"/>
      <c r="AK15" s="1441"/>
      <c r="AL15" s="1441"/>
      <c r="AM15" s="1442"/>
      <c r="AN15" s="1494" t="s">
        <v>221</v>
      </c>
      <c r="AO15" s="1479" t="s">
        <v>477</v>
      </c>
      <c r="AP15" s="1480"/>
      <c r="AQ15" s="1483" t="s">
        <v>221</v>
      </c>
      <c r="AR15" s="1475" t="s">
        <v>531</v>
      </c>
      <c r="AS15" s="1475"/>
      <c r="AT15" s="1475"/>
      <c r="AU15" s="1475" t="str">
        <f>IF(AK58=TRUE,IF(AK59=TRUE,"!再度確認!","提出"),IF(AK59=FALSE,"!再度確認!","いりません"))</f>
        <v>!再度確認!</v>
      </c>
      <c r="AV15" s="1475"/>
      <c r="AW15" s="1475"/>
      <c r="AX15" s="1475" t="str">
        <f>IF(AN58=TRUE,IF(AN59=TRUE,"!再度確認!","提出"),IF(AN59=FALSE,"!再度確認!","いりません"))</f>
        <v>!再度確認!</v>
      </c>
      <c r="AY15" s="1475"/>
      <c r="AZ15" s="1476"/>
      <c r="BA15" s="62">
        <v>15</v>
      </c>
      <c r="BB15" s="62"/>
      <c r="BC15" s="63"/>
      <c r="BD15" s="62"/>
      <c r="BE15" s="62"/>
      <c r="BF15" s="63"/>
      <c r="BG15" s="62"/>
      <c r="BH15" s="62"/>
      <c r="BI15" s="62"/>
      <c r="BJ15" s="62"/>
      <c r="BK15" s="62"/>
      <c r="BL15" s="62"/>
      <c r="BM15" s="62"/>
      <c r="BN15" s="62"/>
      <c r="BO15" s="62"/>
      <c r="BP15" s="62"/>
      <c r="BQ15" s="62"/>
      <c r="BR15" s="62"/>
      <c r="BS15" s="62"/>
      <c r="BT15" s="62"/>
      <c r="BU15" s="62"/>
      <c r="BV15" s="62"/>
      <c r="BW15" s="62"/>
      <c r="BX15" s="62"/>
      <c r="BY15" s="62"/>
      <c r="BZ15" s="62"/>
      <c r="CA15" s="62"/>
    </row>
    <row r="16" spans="1:79" ht="14.25" thickBot="1">
      <c r="A16" s="1443"/>
      <c r="B16" s="1444"/>
      <c r="C16" s="1444"/>
      <c r="D16" s="1444"/>
      <c r="E16" s="1444"/>
      <c r="F16" s="1444"/>
      <c r="G16" s="1444"/>
      <c r="H16" s="1444"/>
      <c r="I16" s="1444"/>
      <c r="J16" s="1444"/>
      <c r="K16" s="1444"/>
      <c r="L16" s="1444"/>
      <c r="M16" s="1445"/>
      <c r="N16" s="1531"/>
      <c r="O16" s="1438" t="s">
        <v>478</v>
      </c>
      <c r="P16" s="1439"/>
      <c r="Q16" s="1533"/>
      <c r="R16" s="1536"/>
      <c r="S16" s="1536"/>
      <c r="T16" s="1536"/>
      <c r="U16" s="1536"/>
      <c r="V16" s="1536"/>
      <c r="W16" s="1536"/>
      <c r="X16" s="1536"/>
      <c r="Y16" s="1536"/>
      <c r="Z16" s="1537"/>
      <c r="AA16" s="1443"/>
      <c r="AB16" s="1444"/>
      <c r="AC16" s="1444"/>
      <c r="AD16" s="1444"/>
      <c r="AE16" s="1444"/>
      <c r="AF16" s="1444"/>
      <c r="AG16" s="1444"/>
      <c r="AH16" s="1444"/>
      <c r="AI16" s="1444"/>
      <c r="AJ16" s="1444"/>
      <c r="AK16" s="1444"/>
      <c r="AL16" s="1444"/>
      <c r="AM16" s="1445"/>
      <c r="AN16" s="1494"/>
      <c r="AO16" s="1485" t="s">
        <v>478</v>
      </c>
      <c r="AP16" s="1486"/>
      <c r="AQ16" s="1484"/>
      <c r="AR16" s="1477"/>
      <c r="AS16" s="1477"/>
      <c r="AT16" s="1477"/>
      <c r="AU16" s="1477"/>
      <c r="AV16" s="1477"/>
      <c r="AW16" s="1477"/>
      <c r="AX16" s="1477"/>
      <c r="AY16" s="1477"/>
      <c r="AZ16" s="1478"/>
      <c r="BA16" s="62">
        <v>16</v>
      </c>
      <c r="BB16" s="62"/>
      <c r="BC16" s="63"/>
      <c r="BD16" s="62"/>
      <c r="BE16" s="62"/>
      <c r="BF16" s="63"/>
      <c r="BG16" s="62"/>
      <c r="BH16" s="62"/>
      <c r="BI16" s="62"/>
      <c r="BJ16" s="62"/>
      <c r="BK16" s="62"/>
      <c r="BL16" s="62"/>
      <c r="BM16" s="62"/>
      <c r="BN16" s="62"/>
      <c r="BO16" s="62"/>
      <c r="BP16" s="62"/>
      <c r="BQ16" s="62"/>
      <c r="BR16" s="62"/>
      <c r="BS16" s="62"/>
      <c r="BT16" s="62"/>
      <c r="BU16" s="62"/>
      <c r="BV16" s="62"/>
      <c r="BW16" s="62"/>
      <c r="BX16" s="62"/>
      <c r="BY16" s="62"/>
      <c r="BZ16" s="62"/>
      <c r="CA16" s="62"/>
    </row>
    <row r="17" spans="1:79" ht="14.25" customHeight="1">
      <c r="A17" s="269"/>
      <c r="B17" s="269"/>
      <c r="C17" s="269"/>
      <c r="D17" s="269"/>
      <c r="E17" s="269"/>
      <c r="F17" s="269"/>
      <c r="G17" s="269"/>
      <c r="H17" s="269"/>
      <c r="I17" s="269"/>
      <c r="J17" s="269"/>
      <c r="K17" s="269"/>
      <c r="L17" s="269"/>
      <c r="M17" s="269"/>
      <c r="N17" s="269"/>
      <c r="O17" s="269"/>
      <c r="P17" s="269"/>
      <c r="Q17" s="269"/>
      <c r="R17" s="269"/>
      <c r="S17" s="269"/>
      <c r="T17" s="269"/>
      <c r="U17" s="269"/>
      <c r="V17" s="269"/>
      <c r="W17" s="269"/>
      <c r="X17" s="269"/>
      <c r="Y17" s="269"/>
      <c r="Z17" s="269"/>
      <c r="AA17" s="269"/>
      <c r="AB17" s="269"/>
      <c r="AC17" s="269"/>
      <c r="AD17" s="269"/>
      <c r="AE17" s="269"/>
      <c r="AF17" s="269"/>
      <c r="AG17" s="269"/>
      <c r="AH17" s="269"/>
      <c r="AI17" s="269"/>
      <c r="AJ17" s="269"/>
      <c r="AK17" s="269"/>
      <c r="AL17" s="269"/>
      <c r="AM17" s="269"/>
      <c r="AN17" s="269"/>
      <c r="AO17" s="269"/>
      <c r="AP17" s="269"/>
      <c r="AQ17" s="269"/>
      <c r="AR17" s="269"/>
      <c r="AS17" s="269"/>
      <c r="AT17" s="269"/>
      <c r="AU17" s="269"/>
      <c r="AV17" s="269"/>
      <c r="AW17" s="269"/>
      <c r="AX17" s="269"/>
      <c r="AY17" s="269"/>
      <c r="AZ17" s="269"/>
      <c r="BA17" s="62">
        <v>17</v>
      </c>
      <c r="BB17" s="62"/>
      <c r="BC17" s="64"/>
      <c r="BD17" s="62"/>
      <c r="BE17" s="62"/>
      <c r="BF17" s="63"/>
      <c r="BG17" s="62"/>
      <c r="BH17" s="62"/>
      <c r="BI17" s="62"/>
      <c r="BJ17" s="62"/>
      <c r="BK17" s="62"/>
      <c r="BL17" s="62"/>
      <c r="BM17" s="62"/>
      <c r="BN17" s="62"/>
      <c r="BO17" s="62"/>
      <c r="BP17" s="62"/>
      <c r="BQ17" s="62"/>
      <c r="BR17" s="62"/>
      <c r="BS17" s="62"/>
      <c r="BT17" s="62"/>
      <c r="BU17" s="62"/>
      <c r="BV17" s="62"/>
      <c r="BW17" s="62"/>
      <c r="BX17" s="62"/>
      <c r="BY17" s="62"/>
      <c r="BZ17" s="62"/>
      <c r="CA17" s="62"/>
    </row>
    <row r="18" spans="1:79" ht="18" customHeight="1">
      <c r="A18" s="1332" t="s">
        <v>520</v>
      </c>
      <c r="B18" s="1332"/>
      <c r="C18" s="1332"/>
      <c r="D18" s="1332"/>
      <c r="E18" s="1332"/>
      <c r="F18" s="1332"/>
      <c r="G18" s="1332"/>
      <c r="H18" s="1332"/>
      <c r="I18" s="1332"/>
      <c r="J18" s="1332"/>
      <c r="K18" s="1332"/>
      <c r="L18" s="1332"/>
      <c r="M18" s="1332"/>
      <c r="N18" s="1332"/>
      <c r="O18" s="1332"/>
      <c r="P18" s="1332"/>
      <c r="Q18" s="1332"/>
      <c r="R18" s="1332"/>
      <c r="S18" s="1332"/>
      <c r="T18" s="1332"/>
      <c r="U18" s="1332"/>
      <c r="V18" s="1332"/>
      <c r="W18" s="1332"/>
      <c r="X18" s="1332"/>
      <c r="Y18" s="1332"/>
      <c r="Z18" s="1332"/>
      <c r="AA18" s="1332" t="s">
        <v>520</v>
      </c>
      <c r="AB18" s="1332"/>
      <c r="AC18" s="1332"/>
      <c r="AD18" s="1332"/>
      <c r="AE18" s="1332"/>
      <c r="AF18" s="1332"/>
      <c r="AG18" s="1332"/>
      <c r="AH18" s="1332"/>
      <c r="AI18" s="1332"/>
      <c r="AJ18" s="1332"/>
      <c r="AK18" s="1332"/>
      <c r="AL18" s="1332"/>
      <c r="AM18" s="1332"/>
      <c r="AN18" s="1332"/>
      <c r="AO18" s="1332"/>
      <c r="AP18" s="1332"/>
      <c r="AQ18" s="1332"/>
      <c r="AR18" s="1332"/>
      <c r="AS18" s="1332"/>
      <c r="AT18" s="1332"/>
      <c r="AU18" s="1332"/>
      <c r="AV18" s="1332"/>
      <c r="AW18" s="1332"/>
      <c r="AX18" s="1332"/>
      <c r="AY18" s="1332"/>
      <c r="AZ18" s="1332"/>
      <c r="BA18" s="62">
        <v>18</v>
      </c>
      <c r="BB18" s="62"/>
      <c r="BC18" s="63"/>
      <c r="BD18" s="62"/>
      <c r="BE18" s="62"/>
      <c r="BF18" s="63"/>
      <c r="BG18" s="62"/>
      <c r="BH18" s="62"/>
      <c r="BI18" s="62"/>
      <c r="BJ18" s="62"/>
      <c r="BK18" s="62"/>
      <c r="BL18" s="62"/>
      <c r="BM18" s="62"/>
      <c r="BN18" s="62"/>
      <c r="BO18" s="62"/>
      <c r="BP18" s="62"/>
      <c r="BQ18" s="62"/>
      <c r="BR18" s="62"/>
      <c r="BS18" s="62"/>
      <c r="BT18" s="62"/>
      <c r="BU18" s="62"/>
      <c r="BV18" s="62"/>
      <c r="BW18" s="62"/>
      <c r="BX18" s="62"/>
      <c r="BY18" s="62"/>
      <c r="BZ18" s="62"/>
      <c r="CA18" s="62"/>
    </row>
    <row r="19" spans="1:79" ht="32.25" customHeight="1">
      <c r="A19" s="1544" t="s">
        <v>747</v>
      </c>
      <c r="B19" s="1543"/>
      <c r="C19" s="1543"/>
      <c r="D19" s="1543"/>
      <c r="E19" s="1543"/>
      <c r="F19" s="1543"/>
      <c r="G19" s="1543"/>
      <c r="H19" s="1543"/>
      <c r="I19" s="1543"/>
      <c r="J19" s="1543"/>
      <c r="K19" s="1543"/>
      <c r="L19" s="1543"/>
      <c r="M19" s="1543"/>
      <c r="N19" s="1543"/>
      <c r="O19" s="1543"/>
      <c r="P19" s="1543"/>
      <c r="Q19" s="1543"/>
      <c r="R19" s="1543"/>
      <c r="S19" s="1543"/>
      <c r="T19" s="1543"/>
      <c r="U19" s="1543"/>
      <c r="V19" s="1543"/>
      <c r="W19" s="1543"/>
      <c r="X19" s="1543"/>
      <c r="Y19" s="1543"/>
      <c r="Z19" s="1543"/>
      <c r="AA19" s="1544" t="s">
        <v>747</v>
      </c>
      <c r="AB19" s="1543"/>
      <c r="AC19" s="1543"/>
      <c r="AD19" s="1543"/>
      <c r="AE19" s="1543"/>
      <c r="AF19" s="1543"/>
      <c r="AG19" s="1543"/>
      <c r="AH19" s="1543"/>
      <c r="AI19" s="1543"/>
      <c r="AJ19" s="1543"/>
      <c r="AK19" s="1543"/>
      <c r="AL19" s="1543"/>
      <c r="AM19" s="1543"/>
      <c r="AN19" s="1543"/>
      <c r="AO19" s="1543"/>
      <c r="AP19" s="1543"/>
      <c r="AQ19" s="1543"/>
      <c r="AR19" s="1543"/>
      <c r="AS19" s="1543"/>
      <c r="AT19" s="1543"/>
      <c r="AU19" s="1543"/>
      <c r="AV19" s="1543"/>
      <c r="AW19" s="1543"/>
      <c r="AX19" s="1543"/>
      <c r="AY19" s="1543"/>
      <c r="AZ19" s="1543"/>
      <c r="BA19" s="62">
        <v>19</v>
      </c>
      <c r="BB19" s="62"/>
      <c r="BC19" s="63"/>
      <c r="BD19" s="62"/>
      <c r="BE19" s="62"/>
      <c r="BF19" s="63"/>
      <c r="BG19" s="62"/>
      <c r="BH19" s="62"/>
      <c r="BI19" s="62"/>
      <c r="BJ19" s="62"/>
      <c r="BK19" s="62"/>
      <c r="BL19" s="62"/>
      <c r="BM19" s="62"/>
      <c r="BN19" s="62"/>
      <c r="BO19" s="62"/>
      <c r="BP19" s="62"/>
      <c r="BQ19" s="62"/>
      <c r="BR19" s="62"/>
      <c r="BS19" s="62"/>
      <c r="BT19" s="62"/>
      <c r="BU19" s="62"/>
      <c r="BV19" s="62"/>
      <c r="BW19" s="62"/>
      <c r="BX19" s="62"/>
      <c r="BY19" s="62"/>
      <c r="BZ19" s="62"/>
      <c r="CA19" s="62"/>
    </row>
    <row r="20" spans="1:79" ht="32.25" customHeight="1">
      <c r="A20" s="1543" t="s">
        <v>530</v>
      </c>
      <c r="B20" s="1543"/>
      <c r="C20" s="1543"/>
      <c r="D20" s="1543"/>
      <c r="E20" s="1543"/>
      <c r="F20" s="1543"/>
      <c r="G20" s="1543"/>
      <c r="H20" s="1543"/>
      <c r="I20" s="1543"/>
      <c r="J20" s="1543"/>
      <c r="K20" s="1543"/>
      <c r="L20" s="1543"/>
      <c r="M20" s="1543"/>
      <c r="N20" s="1543"/>
      <c r="O20" s="1543"/>
      <c r="P20" s="1543"/>
      <c r="Q20" s="1543"/>
      <c r="R20" s="1543"/>
      <c r="S20" s="1543"/>
      <c r="T20" s="1543"/>
      <c r="U20" s="1543"/>
      <c r="V20" s="1543"/>
      <c r="W20" s="1543"/>
      <c r="X20" s="1543"/>
      <c r="Y20" s="1543"/>
      <c r="Z20" s="1543"/>
      <c r="AA20" s="1543" t="s">
        <v>530</v>
      </c>
      <c r="AB20" s="1543"/>
      <c r="AC20" s="1543"/>
      <c r="AD20" s="1543"/>
      <c r="AE20" s="1543"/>
      <c r="AF20" s="1543"/>
      <c r="AG20" s="1543"/>
      <c r="AH20" s="1543"/>
      <c r="AI20" s="1543"/>
      <c r="AJ20" s="1543"/>
      <c r="AK20" s="1543"/>
      <c r="AL20" s="1543"/>
      <c r="AM20" s="1543"/>
      <c r="AN20" s="1543"/>
      <c r="AO20" s="1543"/>
      <c r="AP20" s="1543"/>
      <c r="AQ20" s="1543"/>
      <c r="AR20" s="1543"/>
      <c r="AS20" s="1543"/>
      <c r="AT20" s="1543"/>
      <c r="AU20" s="1543"/>
      <c r="AV20" s="1543"/>
      <c r="AW20" s="1543"/>
      <c r="AX20" s="1543"/>
      <c r="AY20" s="1543"/>
      <c r="AZ20" s="1543"/>
      <c r="BA20" s="62">
        <v>20</v>
      </c>
      <c r="BB20" s="62"/>
      <c r="BC20" s="63"/>
      <c r="BD20" s="62"/>
      <c r="BE20" s="62"/>
      <c r="BF20" s="63"/>
      <c r="BG20" s="62"/>
      <c r="BH20" s="62"/>
      <c r="BI20" s="62"/>
      <c r="BJ20" s="62"/>
      <c r="BK20" s="62"/>
      <c r="BL20" s="62"/>
      <c r="BM20" s="62"/>
      <c r="BN20" s="62"/>
      <c r="BO20" s="62"/>
      <c r="BP20" s="62"/>
      <c r="BQ20" s="62"/>
      <c r="BR20" s="62"/>
      <c r="BS20" s="62"/>
      <c r="BT20" s="62"/>
      <c r="BU20" s="62"/>
      <c r="BV20" s="62"/>
      <c r="BW20" s="62"/>
      <c r="BX20" s="62"/>
      <c r="BY20" s="62"/>
      <c r="BZ20" s="62"/>
      <c r="CA20" s="62"/>
    </row>
    <row r="21" spans="1:79" ht="32.25" customHeight="1">
      <c r="A21" s="1498" t="s">
        <v>798</v>
      </c>
      <c r="B21" s="1498"/>
      <c r="C21" s="1498"/>
      <c r="D21" s="1498"/>
      <c r="E21" s="1498"/>
      <c r="F21" s="1498"/>
      <c r="G21" s="1498"/>
      <c r="H21" s="1498"/>
      <c r="I21" s="1498"/>
      <c r="J21" s="1498"/>
      <c r="K21" s="1498"/>
      <c r="L21" s="1498"/>
      <c r="M21" s="1498"/>
      <c r="N21" s="1498"/>
      <c r="O21" s="1498"/>
      <c r="P21" s="1498"/>
      <c r="Q21" s="1498"/>
      <c r="R21" s="1498"/>
      <c r="S21" s="1498"/>
      <c r="T21" s="1498"/>
      <c r="U21" s="1498"/>
      <c r="V21" s="1498"/>
      <c r="W21" s="1498"/>
      <c r="X21" s="1498"/>
      <c r="Y21" s="1498"/>
      <c r="Z21" s="1498"/>
      <c r="AA21" s="1498" t="s">
        <v>798</v>
      </c>
      <c r="AB21" s="1498"/>
      <c r="AC21" s="1498"/>
      <c r="AD21" s="1498"/>
      <c r="AE21" s="1498"/>
      <c r="AF21" s="1498"/>
      <c r="AG21" s="1498"/>
      <c r="AH21" s="1498"/>
      <c r="AI21" s="1498"/>
      <c r="AJ21" s="1498"/>
      <c r="AK21" s="1498"/>
      <c r="AL21" s="1498"/>
      <c r="AM21" s="1498"/>
      <c r="AN21" s="1498"/>
      <c r="AO21" s="1498"/>
      <c r="AP21" s="1498"/>
      <c r="AQ21" s="1498"/>
      <c r="AR21" s="1498"/>
      <c r="AS21" s="1498"/>
      <c r="AT21" s="1498"/>
      <c r="AU21" s="1498"/>
      <c r="AV21" s="1498"/>
      <c r="AW21" s="1498"/>
      <c r="AX21" s="1498"/>
      <c r="AY21" s="1498"/>
      <c r="AZ21" s="1498"/>
      <c r="BA21" s="62">
        <v>21</v>
      </c>
      <c r="BB21" s="62"/>
      <c r="BC21" s="63"/>
      <c r="BD21" s="62"/>
      <c r="BE21" s="62"/>
      <c r="BF21" s="63"/>
      <c r="BG21" s="62"/>
      <c r="BH21" s="62"/>
      <c r="BI21" s="62"/>
      <c r="BJ21" s="62"/>
      <c r="BK21" s="62"/>
      <c r="BL21" s="62"/>
      <c r="BM21" s="62"/>
      <c r="BN21" s="62"/>
      <c r="BO21" s="62"/>
      <c r="BP21" s="62"/>
      <c r="BQ21" s="62"/>
      <c r="BR21" s="62"/>
      <c r="BS21" s="62"/>
      <c r="BT21" s="62"/>
      <c r="BU21" s="62"/>
      <c r="BV21" s="62"/>
      <c r="BW21" s="62"/>
      <c r="BX21" s="62"/>
      <c r="BY21" s="62"/>
      <c r="BZ21" s="62"/>
      <c r="CA21" s="62"/>
    </row>
    <row r="22" spans="1:79" ht="32.25" customHeight="1" thickBot="1">
      <c r="A22" s="1543" t="s">
        <v>519</v>
      </c>
      <c r="B22" s="1543"/>
      <c r="C22" s="1543"/>
      <c r="D22" s="1543"/>
      <c r="E22" s="1543"/>
      <c r="F22" s="1543"/>
      <c r="G22" s="1543"/>
      <c r="H22" s="1543"/>
      <c r="I22" s="1543"/>
      <c r="J22" s="1543"/>
      <c r="K22" s="1543"/>
      <c r="L22" s="1543"/>
      <c r="M22" s="1543"/>
      <c r="N22" s="1543"/>
      <c r="O22" s="1543"/>
      <c r="P22" s="1543"/>
      <c r="Q22" s="1543"/>
      <c r="R22" s="1543"/>
      <c r="S22" s="1543"/>
      <c r="T22" s="1543"/>
      <c r="U22" s="1543"/>
      <c r="V22" s="1543"/>
      <c r="W22" s="1543"/>
      <c r="X22" s="1543"/>
      <c r="Y22" s="1543"/>
      <c r="Z22" s="1543"/>
      <c r="AA22" s="1543" t="s">
        <v>519</v>
      </c>
      <c r="AB22" s="1543"/>
      <c r="AC22" s="1543"/>
      <c r="AD22" s="1543"/>
      <c r="AE22" s="1543"/>
      <c r="AF22" s="1543"/>
      <c r="AG22" s="1543"/>
      <c r="AH22" s="1543"/>
      <c r="AI22" s="1543"/>
      <c r="AJ22" s="1543"/>
      <c r="AK22" s="1543"/>
      <c r="AL22" s="1543"/>
      <c r="AM22" s="1543"/>
      <c r="AN22" s="1543"/>
      <c r="AO22" s="1543"/>
      <c r="AP22" s="1543"/>
      <c r="AQ22" s="1543"/>
      <c r="AR22" s="1543"/>
      <c r="AS22" s="1543"/>
      <c r="AT22" s="1543"/>
      <c r="AU22" s="1543"/>
      <c r="AV22" s="1543"/>
      <c r="AW22" s="1543"/>
      <c r="AX22" s="1543"/>
      <c r="AY22" s="1543"/>
      <c r="AZ22" s="1543"/>
      <c r="BA22" s="62">
        <v>22</v>
      </c>
      <c r="BB22" s="62"/>
      <c r="BC22" s="63"/>
      <c r="BD22" s="62"/>
      <c r="BE22" s="62"/>
      <c r="BF22" s="63"/>
      <c r="BG22" s="62"/>
      <c r="BH22" s="62"/>
      <c r="BI22" s="62"/>
      <c r="BJ22" s="62"/>
      <c r="BK22" s="62"/>
      <c r="BL22" s="62"/>
      <c r="BM22" s="62"/>
      <c r="BN22" s="62"/>
      <c r="BO22" s="62"/>
      <c r="BP22" s="62"/>
      <c r="BQ22" s="62"/>
      <c r="BR22" s="62"/>
      <c r="BS22" s="62"/>
      <c r="BT22" s="62"/>
      <c r="BU22" s="62"/>
      <c r="BV22" s="62"/>
      <c r="BW22" s="62"/>
      <c r="BX22" s="62"/>
      <c r="BY22" s="62"/>
      <c r="BZ22" s="62"/>
      <c r="CA22" s="62"/>
    </row>
    <row r="23" spans="1:79" ht="9.75" customHeight="1">
      <c r="A23" s="737"/>
      <c r="B23" s="60"/>
      <c r="C23" s="60"/>
      <c r="D23" s="60"/>
      <c r="E23" s="60"/>
      <c r="F23" s="60"/>
      <c r="G23" s="60"/>
      <c r="H23" s="1545" t="s">
        <v>909</v>
      </c>
      <c r="I23" s="1546"/>
      <c r="J23" s="1546"/>
      <c r="K23" s="1547"/>
      <c r="L23" s="1552">
        <f>D7-14</f>
        <v>-14</v>
      </c>
      <c r="M23" s="1553"/>
      <c r="N23" s="1553"/>
      <c r="O23" s="1553"/>
      <c r="P23" s="1554"/>
      <c r="Q23" s="60"/>
      <c r="R23" s="1545" t="s">
        <v>799</v>
      </c>
      <c r="S23" s="1546"/>
      <c r="T23" s="1547"/>
      <c r="U23" s="1558">
        <f>D7-5</f>
        <v>-5</v>
      </c>
      <c r="V23" s="1559"/>
      <c r="W23" s="1559"/>
      <c r="X23" s="1559"/>
      <c r="Y23" s="1560"/>
      <c r="Z23" s="60"/>
      <c r="AA23" s="737"/>
      <c r="AB23" s="60"/>
      <c r="AC23" s="60"/>
      <c r="AD23" s="60"/>
      <c r="AE23" s="60"/>
      <c r="AF23" s="60"/>
      <c r="AG23" s="60"/>
      <c r="AH23" s="1545" t="s">
        <v>909</v>
      </c>
      <c r="AI23" s="1546"/>
      <c r="AJ23" s="1546"/>
      <c r="AK23" s="1547"/>
      <c r="AL23" s="1564" t="s">
        <v>970</v>
      </c>
      <c r="AM23" s="1565"/>
      <c r="AN23" s="1565"/>
      <c r="AO23" s="1565"/>
      <c r="AP23" s="1566"/>
      <c r="AQ23" s="60"/>
      <c r="AR23" s="1545" t="s">
        <v>799</v>
      </c>
      <c r="AS23" s="1546"/>
      <c r="AT23" s="1547"/>
      <c r="AU23" s="1564" t="s">
        <v>971</v>
      </c>
      <c r="AV23" s="1565"/>
      <c r="AW23" s="1565"/>
      <c r="AX23" s="1565"/>
      <c r="AY23" s="1566"/>
      <c r="AZ23" s="60"/>
      <c r="BA23" s="62">
        <v>23</v>
      </c>
      <c r="BB23" s="62"/>
      <c r="BC23" s="63"/>
      <c r="BD23" s="62"/>
      <c r="BE23" s="62"/>
      <c r="BF23" s="63"/>
      <c r="BG23" s="62"/>
      <c r="BH23" s="62"/>
      <c r="BI23" s="62"/>
      <c r="BJ23" s="62"/>
      <c r="BK23" s="62"/>
      <c r="BL23" s="62"/>
      <c r="BM23" s="62"/>
      <c r="BN23" s="62"/>
      <c r="BO23" s="62"/>
      <c r="BP23" s="62"/>
      <c r="BQ23" s="62"/>
      <c r="BR23" s="62"/>
      <c r="BS23" s="62"/>
      <c r="BT23" s="62"/>
      <c r="BU23" s="62"/>
      <c r="BV23" s="62"/>
      <c r="BW23" s="62"/>
      <c r="BX23" s="62"/>
      <c r="BY23" s="62"/>
      <c r="BZ23" s="62"/>
      <c r="CA23" s="62"/>
    </row>
    <row r="24" spans="1:79" ht="39.75" customHeight="1" thickBot="1">
      <c r="A24" s="60"/>
      <c r="B24" s="60"/>
      <c r="C24" s="60"/>
      <c r="D24" s="60"/>
      <c r="E24" s="60"/>
      <c r="F24" s="60"/>
      <c r="G24" s="60"/>
      <c r="H24" s="1548"/>
      <c r="I24" s="1549"/>
      <c r="J24" s="1549"/>
      <c r="K24" s="1550"/>
      <c r="L24" s="1555"/>
      <c r="M24" s="1556"/>
      <c r="N24" s="1556"/>
      <c r="O24" s="1556"/>
      <c r="P24" s="1557"/>
      <c r="Q24" s="60"/>
      <c r="R24" s="1548"/>
      <c r="S24" s="1549"/>
      <c r="T24" s="1550"/>
      <c r="U24" s="1561"/>
      <c r="V24" s="1562"/>
      <c r="W24" s="1562"/>
      <c r="X24" s="1562"/>
      <c r="Y24" s="1563"/>
      <c r="Z24" s="60"/>
      <c r="AA24" s="60"/>
      <c r="AB24" s="60"/>
      <c r="AC24" s="60"/>
      <c r="AD24" s="60"/>
      <c r="AE24" s="60"/>
      <c r="AF24" s="60"/>
      <c r="AG24" s="60"/>
      <c r="AH24" s="1548"/>
      <c r="AI24" s="1549"/>
      <c r="AJ24" s="1549"/>
      <c r="AK24" s="1550"/>
      <c r="AL24" s="1567"/>
      <c r="AM24" s="1568"/>
      <c r="AN24" s="1568"/>
      <c r="AO24" s="1568"/>
      <c r="AP24" s="1569"/>
      <c r="AQ24" s="60"/>
      <c r="AR24" s="1548"/>
      <c r="AS24" s="1549"/>
      <c r="AT24" s="1550"/>
      <c r="AU24" s="1567"/>
      <c r="AV24" s="1568"/>
      <c r="AW24" s="1568"/>
      <c r="AX24" s="1568"/>
      <c r="AY24" s="1569"/>
      <c r="AZ24" s="60"/>
      <c r="BA24" s="62">
        <v>24</v>
      </c>
      <c r="BB24" s="62"/>
      <c r="BC24" s="63"/>
      <c r="BD24" s="62"/>
      <c r="BE24" s="62"/>
      <c r="BF24" s="63"/>
      <c r="BG24" s="62"/>
      <c r="BH24" s="62"/>
      <c r="BI24" s="62"/>
      <c r="BJ24" s="62"/>
      <c r="BK24" s="62"/>
      <c r="BL24" s="62"/>
      <c r="BM24" s="62"/>
      <c r="BN24" s="62"/>
      <c r="BO24" s="62"/>
      <c r="BP24" s="62"/>
      <c r="BQ24" s="62"/>
      <c r="BR24" s="62"/>
      <c r="BS24" s="62"/>
      <c r="BT24" s="62"/>
      <c r="BU24" s="62"/>
      <c r="BV24" s="62"/>
      <c r="BW24" s="62"/>
      <c r="BX24" s="62"/>
      <c r="BY24" s="62"/>
      <c r="BZ24" s="62"/>
      <c r="CA24" s="62"/>
    </row>
    <row r="25" spans="1:79" ht="9.75" customHeight="1">
      <c r="A25" s="1538"/>
      <c r="B25" s="1538"/>
      <c r="C25" s="1538"/>
      <c r="D25" s="1538"/>
      <c r="E25" s="1538"/>
      <c r="F25" s="1538"/>
      <c r="G25" s="1538"/>
      <c r="H25" s="1538"/>
      <c r="I25" s="1538"/>
      <c r="J25" s="1538"/>
      <c r="K25" s="1538"/>
      <c r="L25" s="1538"/>
      <c r="M25" s="1538"/>
      <c r="N25" s="1538"/>
      <c r="O25" s="1538"/>
      <c r="P25" s="1538"/>
      <c r="Q25" s="1538"/>
      <c r="R25" s="1538"/>
      <c r="S25" s="1538"/>
      <c r="T25" s="1538"/>
      <c r="U25" s="1538"/>
      <c r="V25" s="1538"/>
      <c r="W25" s="1538"/>
      <c r="X25" s="1538"/>
      <c r="Y25" s="1538"/>
      <c r="Z25" s="1538"/>
      <c r="AA25" s="1538"/>
      <c r="AB25" s="1538"/>
      <c r="AC25" s="1538"/>
      <c r="AD25" s="1538"/>
      <c r="AE25" s="1538"/>
      <c r="AF25" s="1538"/>
      <c r="AG25" s="1538"/>
      <c r="AH25" s="1538"/>
      <c r="AI25" s="1538"/>
      <c r="AJ25" s="1538"/>
      <c r="AK25" s="1538"/>
      <c r="AL25" s="1538"/>
      <c r="AM25" s="1538"/>
      <c r="AN25" s="1538"/>
      <c r="AO25" s="1538"/>
      <c r="AP25" s="1538"/>
      <c r="AQ25" s="1538"/>
      <c r="AR25" s="1538"/>
      <c r="AS25" s="1538"/>
      <c r="AT25" s="1538"/>
      <c r="AU25" s="1538"/>
      <c r="AV25" s="1538"/>
      <c r="AW25" s="1538"/>
      <c r="AX25" s="1538"/>
      <c r="AY25" s="1538"/>
      <c r="AZ25" s="1538"/>
      <c r="BA25" s="62">
        <v>25</v>
      </c>
      <c r="BB25" s="62"/>
      <c r="BC25" s="63"/>
      <c r="BD25" s="62"/>
      <c r="BE25" s="62"/>
      <c r="BF25" s="63"/>
      <c r="BG25" s="62"/>
      <c r="BH25" s="62"/>
      <c r="BI25" s="62"/>
      <c r="BJ25" s="62"/>
      <c r="BK25" s="62"/>
      <c r="BL25" s="62"/>
      <c r="BM25" s="62"/>
      <c r="BN25" s="62"/>
      <c r="BO25" s="62"/>
      <c r="BP25" s="62"/>
      <c r="BQ25" s="62"/>
      <c r="BR25" s="62"/>
      <c r="BS25" s="62"/>
      <c r="BT25" s="62"/>
      <c r="BU25" s="62"/>
      <c r="BV25" s="62"/>
      <c r="BW25" s="62"/>
      <c r="BX25" s="62"/>
      <c r="BY25" s="62"/>
      <c r="BZ25" s="62"/>
      <c r="CA25" s="62"/>
    </row>
    <row r="26" spans="1:79" ht="9.75" customHeight="1">
      <c r="A26" s="1551"/>
      <c r="B26" s="1551"/>
      <c r="C26" s="1551"/>
      <c r="D26" s="1551"/>
      <c r="E26" s="1551"/>
      <c r="F26" s="1551"/>
      <c r="G26" s="1551"/>
      <c r="H26" s="1551"/>
      <c r="I26" s="1551"/>
      <c r="J26" s="1551"/>
      <c r="K26" s="1551"/>
      <c r="L26" s="1551"/>
      <c r="M26" s="1551"/>
      <c r="N26" s="1551"/>
      <c r="O26" s="1551"/>
      <c r="P26" s="1551"/>
      <c r="Q26" s="1551"/>
      <c r="R26" s="1551"/>
      <c r="S26" s="1551"/>
      <c r="T26" s="1551"/>
      <c r="U26" s="1551"/>
      <c r="V26" s="1551"/>
      <c r="W26" s="1551"/>
      <c r="X26" s="1551"/>
      <c r="Y26" s="1551"/>
      <c r="Z26" s="1551"/>
      <c r="AA26" s="1551"/>
      <c r="AB26" s="1551"/>
      <c r="AC26" s="1551"/>
      <c r="AD26" s="1551"/>
      <c r="AE26" s="1551"/>
      <c r="AF26" s="1551"/>
      <c r="AG26" s="1551"/>
      <c r="AH26" s="1551"/>
      <c r="AI26" s="1551"/>
      <c r="AJ26" s="1551"/>
      <c r="AK26" s="1551"/>
      <c r="AL26" s="1551"/>
      <c r="AM26" s="1551"/>
      <c r="AN26" s="1551"/>
      <c r="AO26" s="1551"/>
      <c r="AP26" s="1551"/>
      <c r="AQ26" s="1551"/>
      <c r="AR26" s="1551"/>
      <c r="AS26" s="1551"/>
      <c r="AT26" s="1551"/>
      <c r="AU26" s="1551"/>
      <c r="AV26" s="1551"/>
      <c r="AW26" s="1551"/>
      <c r="AX26" s="1551"/>
      <c r="AY26" s="1551"/>
      <c r="AZ26" s="1551"/>
      <c r="BA26" s="62">
        <v>26</v>
      </c>
      <c r="BB26" s="62"/>
      <c r="BC26" s="63"/>
      <c r="BD26" s="62"/>
      <c r="BE26" s="62"/>
      <c r="BF26" s="63"/>
      <c r="BG26" s="62"/>
      <c r="BH26" s="62"/>
      <c r="BI26" s="62"/>
      <c r="BJ26" s="62"/>
      <c r="BK26" s="62"/>
      <c r="BL26" s="62"/>
      <c r="BM26" s="62"/>
      <c r="BN26" s="62"/>
      <c r="BO26" s="62"/>
      <c r="BP26" s="62"/>
      <c r="BQ26" s="62"/>
      <c r="BR26" s="62"/>
      <c r="BS26" s="62"/>
      <c r="BT26" s="62"/>
      <c r="BU26" s="62"/>
      <c r="BV26" s="62"/>
      <c r="BW26" s="62"/>
      <c r="BX26" s="62"/>
      <c r="BY26" s="62"/>
      <c r="BZ26" s="62"/>
      <c r="CA26" s="62"/>
    </row>
    <row r="27" spans="1:79" ht="13.5" customHeight="1" thickBot="1">
      <c r="A27" s="1539" t="s">
        <v>86</v>
      </c>
      <c r="B27" s="1539"/>
      <c r="C27" s="1389" t="s">
        <v>87</v>
      </c>
      <c r="D27" s="1501"/>
      <c r="E27" s="1390"/>
      <c r="F27" s="1389" t="s">
        <v>252</v>
      </c>
      <c r="G27" s="1501"/>
      <c r="H27" s="1389" t="s">
        <v>253</v>
      </c>
      <c r="I27" s="1501"/>
      <c r="J27" s="1501"/>
      <c r="K27" s="1501"/>
      <c r="L27" s="1501"/>
      <c r="M27" s="1541" t="s">
        <v>88</v>
      </c>
      <c r="N27" s="1542"/>
      <c r="O27" s="1542"/>
      <c r="P27" s="1542"/>
      <c r="Q27" s="1542"/>
      <c r="R27" s="1501"/>
      <c r="S27" s="1390"/>
      <c r="T27" s="1461" t="s">
        <v>89</v>
      </c>
      <c r="U27" s="1389" t="s">
        <v>90</v>
      </c>
      <c r="V27" s="1501"/>
      <c r="W27" s="1501"/>
      <c r="X27" s="1501"/>
      <c r="Y27" s="1501"/>
      <c r="Z27" s="1390"/>
      <c r="AA27" s="1389" t="s">
        <v>86</v>
      </c>
      <c r="AB27" s="1390"/>
      <c r="AC27" s="1389" t="s">
        <v>87</v>
      </c>
      <c r="AD27" s="1501"/>
      <c r="AE27" s="1390"/>
      <c r="AF27" s="1389" t="s">
        <v>252</v>
      </c>
      <c r="AG27" s="1390"/>
      <c r="AH27" s="1389" t="s">
        <v>253</v>
      </c>
      <c r="AI27" s="1501"/>
      <c r="AJ27" s="1501"/>
      <c r="AK27" s="1501"/>
      <c r="AL27" s="1501"/>
      <c r="AM27" s="1541" t="s">
        <v>88</v>
      </c>
      <c r="AN27" s="1542"/>
      <c r="AO27" s="1542"/>
      <c r="AP27" s="1542"/>
      <c r="AQ27" s="1542"/>
      <c r="AR27" s="1501"/>
      <c r="AS27" s="1390"/>
      <c r="AT27" s="1461" t="s">
        <v>89</v>
      </c>
      <c r="AU27" s="1389" t="s">
        <v>90</v>
      </c>
      <c r="AV27" s="1501"/>
      <c r="AW27" s="1501"/>
      <c r="AX27" s="1501"/>
      <c r="AY27" s="1501"/>
      <c r="AZ27" s="1390"/>
      <c r="BA27" s="62">
        <v>27</v>
      </c>
      <c r="BB27" s="62"/>
      <c r="BC27" s="63"/>
      <c r="BD27" s="62"/>
      <c r="BE27" s="62"/>
      <c r="BF27" s="63"/>
      <c r="BG27" s="62"/>
      <c r="BH27" s="62"/>
      <c r="BI27" s="62"/>
      <c r="BJ27" s="62"/>
      <c r="BK27" s="62"/>
      <c r="BL27" s="62"/>
      <c r="BM27" s="62"/>
      <c r="BN27" s="62"/>
      <c r="BO27" s="62"/>
      <c r="BP27" s="62"/>
      <c r="BQ27" s="62"/>
      <c r="BR27" s="62"/>
      <c r="BS27" s="62"/>
      <c r="BT27" s="62"/>
      <c r="BU27" s="62"/>
      <c r="BV27" s="62"/>
      <c r="BW27" s="62"/>
      <c r="BX27" s="62"/>
      <c r="BY27" s="62"/>
      <c r="BZ27" s="62"/>
      <c r="CA27" s="62"/>
    </row>
    <row r="28" spans="1:79" ht="13.5" customHeight="1">
      <c r="A28" s="1539"/>
      <c r="B28" s="1539"/>
      <c r="C28" s="1391"/>
      <c r="D28" s="1502"/>
      <c r="E28" s="1392"/>
      <c r="F28" s="1391"/>
      <c r="G28" s="1502"/>
      <c r="H28" s="1391"/>
      <c r="I28" s="1502"/>
      <c r="J28" s="1502"/>
      <c r="K28" s="1502"/>
      <c r="L28" s="1502"/>
      <c r="M28" s="1526" t="s">
        <v>880</v>
      </c>
      <c r="N28" s="1505" t="s">
        <v>94</v>
      </c>
      <c r="O28" s="1506"/>
      <c r="P28" s="1505" t="s">
        <v>95</v>
      </c>
      <c r="Q28" s="1509"/>
      <c r="R28" s="1511" t="s">
        <v>96</v>
      </c>
      <c r="S28" s="1512"/>
      <c r="T28" s="1499"/>
      <c r="U28" s="1391"/>
      <c r="V28" s="1502"/>
      <c r="W28" s="1502"/>
      <c r="X28" s="1502"/>
      <c r="Y28" s="1502"/>
      <c r="Z28" s="1392"/>
      <c r="AA28" s="1391"/>
      <c r="AB28" s="1392"/>
      <c r="AC28" s="1391"/>
      <c r="AD28" s="1502"/>
      <c r="AE28" s="1392"/>
      <c r="AF28" s="1391"/>
      <c r="AG28" s="1392"/>
      <c r="AH28" s="1391"/>
      <c r="AI28" s="1502"/>
      <c r="AJ28" s="1502"/>
      <c r="AK28" s="1502"/>
      <c r="AL28" s="1502"/>
      <c r="AM28" s="1503" t="s">
        <v>880</v>
      </c>
      <c r="AN28" s="1505" t="s">
        <v>94</v>
      </c>
      <c r="AO28" s="1506"/>
      <c r="AP28" s="1505" t="s">
        <v>95</v>
      </c>
      <c r="AQ28" s="1509"/>
      <c r="AR28" s="1511" t="s">
        <v>96</v>
      </c>
      <c r="AS28" s="1512"/>
      <c r="AT28" s="1499"/>
      <c r="AU28" s="1391"/>
      <c r="AV28" s="1502"/>
      <c r="AW28" s="1502"/>
      <c r="AX28" s="1502"/>
      <c r="AY28" s="1502"/>
      <c r="AZ28" s="1392"/>
      <c r="BA28" s="62">
        <v>28</v>
      </c>
      <c r="BB28" s="62"/>
      <c r="BC28" s="63"/>
      <c r="BD28" s="62"/>
      <c r="BE28" s="62"/>
      <c r="BF28" s="63"/>
      <c r="BG28" s="62"/>
      <c r="BH28" s="62"/>
      <c r="BI28" s="62"/>
      <c r="BJ28" s="62"/>
      <c r="BK28" s="62"/>
      <c r="BL28" s="62"/>
      <c r="BM28" s="62"/>
      <c r="BN28" s="62"/>
      <c r="BO28" s="62"/>
      <c r="BP28" s="62"/>
      <c r="BQ28" s="62"/>
      <c r="BR28" s="62"/>
      <c r="BS28" s="62"/>
      <c r="BT28" s="62"/>
      <c r="BU28" s="62"/>
      <c r="BV28" s="62"/>
      <c r="BW28" s="62"/>
      <c r="BX28" s="62"/>
      <c r="BY28" s="62"/>
      <c r="BZ28" s="62"/>
      <c r="CA28" s="62"/>
    </row>
    <row r="29" spans="1:79" ht="13.5" customHeight="1" thickBot="1">
      <c r="A29" s="1540"/>
      <c r="B29" s="1540"/>
      <c r="C29" s="1393"/>
      <c r="D29" s="1522"/>
      <c r="E29" s="1394"/>
      <c r="F29" s="1393"/>
      <c r="G29" s="1522"/>
      <c r="H29" s="1393"/>
      <c r="I29" s="1522"/>
      <c r="J29" s="1522"/>
      <c r="K29" s="1522"/>
      <c r="L29" s="1522"/>
      <c r="M29" s="1527"/>
      <c r="N29" s="1507"/>
      <c r="O29" s="1508"/>
      <c r="P29" s="1507"/>
      <c r="Q29" s="1510"/>
      <c r="R29" s="1513"/>
      <c r="S29" s="1514"/>
      <c r="T29" s="1500"/>
      <c r="U29" s="1391"/>
      <c r="V29" s="1502"/>
      <c r="W29" s="1502"/>
      <c r="X29" s="1502"/>
      <c r="Y29" s="1502"/>
      <c r="Z29" s="1392"/>
      <c r="AA29" s="1393"/>
      <c r="AB29" s="1394"/>
      <c r="AC29" s="1393"/>
      <c r="AD29" s="1522"/>
      <c r="AE29" s="1394"/>
      <c r="AF29" s="1393"/>
      <c r="AG29" s="1394"/>
      <c r="AH29" s="1393"/>
      <c r="AI29" s="1522"/>
      <c r="AJ29" s="1522"/>
      <c r="AK29" s="1522"/>
      <c r="AL29" s="1522"/>
      <c r="AM29" s="1504"/>
      <c r="AN29" s="1507"/>
      <c r="AO29" s="1508"/>
      <c r="AP29" s="1507"/>
      <c r="AQ29" s="1510"/>
      <c r="AR29" s="1513"/>
      <c r="AS29" s="1514"/>
      <c r="AT29" s="1500"/>
      <c r="AU29" s="1391"/>
      <c r="AV29" s="1502"/>
      <c r="AW29" s="1502"/>
      <c r="AX29" s="1502"/>
      <c r="AY29" s="1502"/>
      <c r="AZ29" s="1392"/>
      <c r="BA29" s="62">
        <v>29</v>
      </c>
      <c r="BB29" s="35" t="s">
        <v>230</v>
      </c>
      <c r="BC29" s="65" t="s">
        <v>231</v>
      </c>
      <c r="BD29" s="62"/>
      <c r="BE29" s="35" t="s">
        <v>232</v>
      </c>
      <c r="BF29" s="65" t="s">
        <v>233</v>
      </c>
      <c r="BG29" s="35" t="s">
        <v>234</v>
      </c>
      <c r="BH29" s="35" t="s">
        <v>235</v>
      </c>
      <c r="BI29" s="35" t="s">
        <v>236</v>
      </c>
      <c r="BJ29" s="35" t="s">
        <v>237</v>
      </c>
      <c r="BK29" s="65" t="s">
        <v>231</v>
      </c>
      <c r="BL29" s="62"/>
      <c r="BM29" s="62"/>
      <c r="BN29" s="62"/>
      <c r="BO29" s="62"/>
      <c r="BP29" s="62"/>
      <c r="BQ29" s="62"/>
      <c r="BR29" s="62"/>
      <c r="BS29" s="62"/>
      <c r="BT29" s="62"/>
      <c r="BU29" s="62"/>
      <c r="BV29" s="62"/>
      <c r="BW29" s="62"/>
      <c r="BX29" s="62"/>
      <c r="BY29" s="62"/>
      <c r="BZ29" s="62"/>
      <c r="CA29" s="62"/>
    </row>
    <row r="30" spans="1:79" ht="30.75" customHeight="1">
      <c r="A30" s="734"/>
      <c r="B30" s="735" t="s">
        <v>282</v>
      </c>
      <c r="C30" s="1452"/>
      <c r="D30" s="1453"/>
      <c r="E30" s="1454"/>
      <c r="F30" s="1455"/>
      <c r="G30" s="1455"/>
      <c r="H30" s="1523"/>
      <c r="I30" s="1524"/>
      <c r="J30" s="1524"/>
      <c r="K30" s="1524"/>
      <c r="L30" s="1525"/>
      <c r="M30" s="736"/>
      <c r="N30" s="1446"/>
      <c r="O30" s="1447"/>
      <c r="P30" s="1446"/>
      <c r="Q30" s="1448"/>
      <c r="R30" s="1404">
        <f>SUM(L30:Q30)</f>
        <v>0</v>
      </c>
      <c r="S30" s="1405"/>
      <c r="T30" s="778"/>
      <c r="U30" s="1449"/>
      <c r="V30" s="1450"/>
      <c r="W30" s="1450"/>
      <c r="X30" s="1450"/>
      <c r="Y30" s="1450"/>
      <c r="Z30" s="1451"/>
      <c r="AA30" s="447">
        <v>4</v>
      </c>
      <c r="AB30" s="448" t="s">
        <v>11</v>
      </c>
      <c r="AC30" s="1452" t="s">
        <v>251</v>
      </c>
      <c r="AD30" s="1453"/>
      <c r="AE30" s="1454"/>
      <c r="AF30" s="1455" t="s">
        <v>240</v>
      </c>
      <c r="AG30" s="1455"/>
      <c r="AH30" s="1515" t="s">
        <v>242</v>
      </c>
      <c r="AI30" s="1516"/>
      <c r="AJ30" s="1516"/>
      <c r="AK30" s="1516"/>
      <c r="AL30" s="1517"/>
      <c r="AM30" s="501"/>
      <c r="AN30" s="1446">
        <v>100</v>
      </c>
      <c r="AO30" s="1447"/>
      <c r="AP30" s="1518">
        <v>11</v>
      </c>
      <c r="AQ30" s="1519"/>
      <c r="AR30" s="1520">
        <f>SUM(AL30:AQ30)</f>
        <v>111</v>
      </c>
      <c r="AS30" s="1521"/>
      <c r="AT30" s="444"/>
      <c r="AU30" s="1449"/>
      <c r="AV30" s="1450"/>
      <c r="AW30" s="1450"/>
      <c r="AX30" s="1450"/>
      <c r="AY30" s="1450"/>
      <c r="AZ30" s="1451"/>
      <c r="BA30" s="62">
        <v>30</v>
      </c>
      <c r="BB30" s="35">
        <f>IF(F30="炊事",1,0)</f>
        <v>0</v>
      </c>
      <c r="BC30" s="65">
        <f>12*BB30</f>
        <v>0</v>
      </c>
      <c r="BD30" s="62"/>
      <c r="BE30" s="35">
        <f>INDEX(A$30:A$41,MATCH($BK30,$BC$30:$BC$41,0))</f>
        <v>0</v>
      </c>
      <c r="BF30" s="35">
        <f>INDEX(C$30:C$41,MATCH($BK30,$BC$30:$BC$41,0))</f>
        <v>0</v>
      </c>
      <c r="BG30" s="35">
        <f>INDEX(D$30:D$41,MATCH($BK30,$BC$30:$BC$41,0))</f>
        <v>0</v>
      </c>
      <c r="BH30" s="35">
        <f>INDEX(E$30:E$41,MATCH($BK30,$BC$30:$BC$41,0))</f>
        <v>0</v>
      </c>
      <c r="BI30" s="35">
        <f>INDEX(H$30:H$41,MATCH($BK30,$BC$30:$BC$41,0))</f>
        <v>0</v>
      </c>
      <c r="BJ30" s="35">
        <f>INDEX(R$30:R$41,MATCH($BK30,$BC$30:$BC$41,0))</f>
        <v>0</v>
      </c>
      <c r="BK30" s="35">
        <f t="shared" ref="BK30:BK41" si="0">LARGE($BC$30:$BC$41,ROW(A1))</f>
        <v>0</v>
      </c>
      <c r="BL30" s="66"/>
      <c r="BM30" s="1400"/>
      <c r="BN30" s="1400"/>
      <c r="BO30" s="67"/>
      <c r="BP30" s="1400"/>
      <c r="BQ30" s="1400"/>
      <c r="BR30" s="67"/>
      <c r="BS30" s="62"/>
      <c r="BT30" s="62"/>
      <c r="BU30" s="62"/>
      <c r="BV30" s="62"/>
      <c r="BW30" s="62"/>
      <c r="BX30" s="62"/>
      <c r="BY30" s="62"/>
      <c r="BZ30" s="62"/>
      <c r="CA30" s="62"/>
    </row>
    <row r="31" spans="1:79" ht="30.75" customHeight="1">
      <c r="A31" s="484"/>
      <c r="B31" s="304" t="s">
        <v>245</v>
      </c>
      <c r="C31" s="1401"/>
      <c r="D31" s="1411"/>
      <c r="E31" s="1402"/>
      <c r="F31" s="1406"/>
      <c r="G31" s="1406"/>
      <c r="H31" s="1495"/>
      <c r="I31" s="1496"/>
      <c r="J31" s="1496"/>
      <c r="K31" s="1496"/>
      <c r="L31" s="1497"/>
      <c r="M31" s="502"/>
      <c r="N31" s="1401"/>
      <c r="O31" s="1402"/>
      <c r="P31" s="1406"/>
      <c r="Q31" s="1407"/>
      <c r="R31" s="1404">
        <f>SUM(L31:Q31)</f>
        <v>0</v>
      </c>
      <c r="S31" s="1405"/>
      <c r="T31" s="779"/>
      <c r="U31" s="1408"/>
      <c r="V31" s="1409"/>
      <c r="W31" s="1409"/>
      <c r="X31" s="1409"/>
      <c r="Y31" s="1409"/>
      <c r="Z31" s="1410"/>
      <c r="AA31" s="449">
        <f>AA30</f>
        <v>4</v>
      </c>
      <c r="AB31" s="450" t="s">
        <v>11</v>
      </c>
      <c r="AC31" s="1401" t="s">
        <v>251</v>
      </c>
      <c r="AD31" s="1411"/>
      <c r="AE31" s="1402"/>
      <c r="AF31" s="1406" t="s">
        <v>240</v>
      </c>
      <c r="AG31" s="1406"/>
      <c r="AH31" s="1413" t="s">
        <v>789</v>
      </c>
      <c r="AI31" s="1414"/>
      <c r="AJ31" s="1414"/>
      <c r="AK31" s="1414"/>
      <c r="AL31" s="1415"/>
      <c r="AM31" s="502"/>
      <c r="AN31" s="1401">
        <v>100</v>
      </c>
      <c r="AO31" s="1402"/>
      <c r="AP31" s="1416">
        <v>11</v>
      </c>
      <c r="AQ31" s="1417"/>
      <c r="AR31" s="1404">
        <f>SUM(AL31:AQ31)</f>
        <v>111</v>
      </c>
      <c r="AS31" s="1405"/>
      <c r="AT31" s="445"/>
      <c r="AU31" s="1408"/>
      <c r="AV31" s="1409"/>
      <c r="AW31" s="1409"/>
      <c r="AX31" s="1409"/>
      <c r="AY31" s="1409"/>
      <c r="AZ31" s="1410"/>
      <c r="BA31" s="62">
        <v>31</v>
      </c>
      <c r="BB31" s="35">
        <f t="shared" ref="BB31:BB41" si="1">IF(F31="炊事",1,0)</f>
        <v>0</v>
      </c>
      <c r="BC31" s="65">
        <f>11*BB31</f>
        <v>0</v>
      </c>
      <c r="BD31" s="62"/>
      <c r="BE31" s="35">
        <f t="shared" ref="BE31:BE41" si="2">INDEX(A$30:A$41,MATCH($BK31,$BC$30:$BC$41,0))</f>
        <v>0</v>
      </c>
      <c r="BF31" s="35">
        <f t="shared" ref="BF31:BF41" si="3">INDEX(C$30:C$41,MATCH($BK31,$BC$30:$BC$41,0))</f>
        <v>0</v>
      </c>
      <c r="BG31" s="35">
        <f t="shared" ref="BG31:BH41" si="4">INDEX(D$30:D$41,MATCH($BK31,$BC$30:$BC$41,0))</f>
        <v>0</v>
      </c>
      <c r="BH31" s="35">
        <f t="shared" si="4"/>
        <v>0</v>
      </c>
      <c r="BI31" s="35">
        <f t="shared" ref="BI31:BI41" si="5">INDEX(H$30:H$41,MATCH($BK31,$BC$30:$BC$41,0))</f>
        <v>0</v>
      </c>
      <c r="BJ31" s="35">
        <f t="shared" ref="BJ31:BJ41" si="6">INDEX(R$30:R$41,MATCH($BK31,$BC$30:$BC$41,0))</f>
        <v>0</v>
      </c>
      <c r="BK31" s="35">
        <f t="shared" si="0"/>
        <v>0</v>
      </c>
      <c r="BL31" s="66"/>
      <c r="BM31" s="1400"/>
      <c r="BN31" s="1400"/>
      <c r="BO31" s="67"/>
      <c r="BP31" s="1400"/>
      <c r="BQ31" s="1400"/>
      <c r="BR31" s="67"/>
      <c r="BS31" s="62"/>
      <c r="BT31" s="62"/>
      <c r="BU31" s="62"/>
      <c r="BV31" s="62"/>
      <c r="BW31" s="62"/>
      <c r="BX31" s="62"/>
      <c r="BY31" s="62"/>
      <c r="BZ31" s="62"/>
      <c r="CA31" s="62"/>
    </row>
    <row r="32" spans="1:79" ht="30.75" customHeight="1">
      <c r="A32" s="484"/>
      <c r="B32" s="304" t="s">
        <v>245</v>
      </c>
      <c r="C32" s="1401"/>
      <c r="D32" s="1411"/>
      <c r="E32" s="1402"/>
      <c r="F32" s="1406"/>
      <c r="G32" s="1406"/>
      <c r="H32" s="1495"/>
      <c r="I32" s="1496"/>
      <c r="J32" s="1496"/>
      <c r="K32" s="1496"/>
      <c r="L32" s="1497"/>
      <c r="M32" s="502"/>
      <c r="N32" s="1406"/>
      <c r="O32" s="1406"/>
      <c r="P32" s="1406"/>
      <c r="Q32" s="1407"/>
      <c r="R32" s="1404">
        <f>SUM(L32:Q32)</f>
        <v>0</v>
      </c>
      <c r="S32" s="1405"/>
      <c r="T32" s="779"/>
      <c r="U32" s="1408"/>
      <c r="V32" s="1409"/>
      <c r="W32" s="1409"/>
      <c r="X32" s="1409"/>
      <c r="Y32" s="1409"/>
      <c r="Z32" s="1410"/>
      <c r="AA32" s="451">
        <v>5</v>
      </c>
      <c r="AB32" s="450" t="s">
        <v>11</v>
      </c>
      <c r="AC32" s="1401" t="s">
        <v>249</v>
      </c>
      <c r="AD32" s="1411"/>
      <c r="AE32" s="1402"/>
      <c r="AF32" s="1406" t="s">
        <v>240</v>
      </c>
      <c r="AG32" s="1406"/>
      <c r="AH32" s="1413" t="s">
        <v>242</v>
      </c>
      <c r="AI32" s="1414"/>
      <c r="AJ32" s="1414"/>
      <c r="AK32" s="1414"/>
      <c r="AL32" s="1415"/>
      <c r="AM32" s="502"/>
      <c r="AN32" s="1406">
        <v>100</v>
      </c>
      <c r="AO32" s="1406"/>
      <c r="AP32" s="1416">
        <v>10</v>
      </c>
      <c r="AQ32" s="1417"/>
      <c r="AR32" s="1404">
        <f>SUM(AL32:AQ32)</f>
        <v>110</v>
      </c>
      <c r="AS32" s="1405"/>
      <c r="AT32" s="445" t="s">
        <v>485</v>
      </c>
      <c r="AU32" s="1408" t="s">
        <v>935</v>
      </c>
      <c r="AV32" s="1409"/>
      <c r="AW32" s="1409"/>
      <c r="AX32" s="1409"/>
      <c r="AY32" s="1409"/>
      <c r="AZ32" s="1410"/>
      <c r="BA32" s="62"/>
      <c r="BB32" s="35">
        <f t="shared" si="1"/>
        <v>0</v>
      </c>
      <c r="BC32" s="65">
        <f>10*BB32</f>
        <v>0</v>
      </c>
      <c r="BD32" s="62"/>
      <c r="BE32" s="35">
        <f t="shared" si="2"/>
        <v>0</v>
      </c>
      <c r="BF32" s="35">
        <f t="shared" si="3"/>
        <v>0</v>
      </c>
      <c r="BG32" s="35">
        <f t="shared" si="4"/>
        <v>0</v>
      </c>
      <c r="BH32" s="35">
        <f t="shared" si="4"/>
        <v>0</v>
      </c>
      <c r="BI32" s="35">
        <f t="shared" si="5"/>
        <v>0</v>
      </c>
      <c r="BJ32" s="35">
        <f t="shared" si="6"/>
        <v>0</v>
      </c>
      <c r="BK32" s="35">
        <f t="shared" si="0"/>
        <v>0</v>
      </c>
      <c r="BL32" s="66"/>
      <c r="BM32" s="1400"/>
      <c r="BN32" s="1400"/>
      <c r="BO32" s="67"/>
      <c r="BP32" s="1400"/>
      <c r="BQ32" s="1400"/>
      <c r="BR32" s="67"/>
      <c r="BS32" s="62"/>
      <c r="BT32" s="62"/>
      <c r="BU32" s="62"/>
      <c r="BV32" s="62"/>
      <c r="BW32" s="62"/>
      <c r="BX32" s="62"/>
      <c r="BY32" s="62"/>
      <c r="BZ32" s="62"/>
      <c r="CA32" s="62"/>
    </row>
    <row r="33" spans="1:79" ht="30.75" customHeight="1">
      <c r="A33" s="484"/>
      <c r="B33" s="304" t="s">
        <v>245</v>
      </c>
      <c r="C33" s="1401"/>
      <c r="D33" s="1411"/>
      <c r="E33" s="1402"/>
      <c r="F33" s="1406"/>
      <c r="G33" s="1406"/>
      <c r="H33" s="1495"/>
      <c r="I33" s="1496"/>
      <c r="J33" s="1496"/>
      <c r="K33" s="1496"/>
      <c r="L33" s="1497"/>
      <c r="M33" s="502"/>
      <c r="N33" s="1406"/>
      <c r="O33" s="1406"/>
      <c r="P33" s="1406"/>
      <c r="Q33" s="1407"/>
      <c r="R33" s="1404">
        <f t="shared" ref="R33:R36" si="7">SUM(L33:Q33)</f>
        <v>0</v>
      </c>
      <c r="S33" s="1405"/>
      <c r="T33" s="779"/>
      <c r="U33" s="1408"/>
      <c r="V33" s="1409"/>
      <c r="W33" s="1409"/>
      <c r="X33" s="1409"/>
      <c r="Y33" s="1409"/>
      <c r="Z33" s="1410"/>
      <c r="AA33" s="451">
        <v>5</v>
      </c>
      <c r="AB33" s="450" t="s">
        <v>11</v>
      </c>
      <c r="AC33" s="1401" t="s">
        <v>250</v>
      </c>
      <c r="AD33" s="1411"/>
      <c r="AE33" s="1402"/>
      <c r="AF33" s="1406" t="s">
        <v>879</v>
      </c>
      <c r="AG33" s="1406"/>
      <c r="AH33" s="1430" t="s">
        <v>888</v>
      </c>
      <c r="AI33" s="1431"/>
      <c r="AJ33" s="1431"/>
      <c r="AK33" s="1431"/>
      <c r="AL33" s="1432"/>
      <c r="AM33" s="502"/>
      <c r="AN33" s="1406">
        <v>100</v>
      </c>
      <c r="AO33" s="1406"/>
      <c r="AP33" s="1416">
        <v>11</v>
      </c>
      <c r="AQ33" s="1417"/>
      <c r="AR33" s="1404">
        <f>SUM(AL33:AQ33)</f>
        <v>111</v>
      </c>
      <c r="AS33" s="1405"/>
      <c r="AT33" s="445"/>
      <c r="AU33" s="1408"/>
      <c r="AV33" s="1409"/>
      <c r="AW33" s="1409"/>
      <c r="AX33" s="1409"/>
      <c r="AY33" s="1409"/>
      <c r="AZ33" s="1410"/>
      <c r="BA33" s="62"/>
      <c r="BB33" s="35">
        <f t="shared" si="1"/>
        <v>0</v>
      </c>
      <c r="BC33" s="65">
        <f>9*BB33</f>
        <v>0</v>
      </c>
      <c r="BD33" s="63"/>
      <c r="BE33" s="35">
        <f t="shared" si="2"/>
        <v>0</v>
      </c>
      <c r="BF33" s="35">
        <f t="shared" si="3"/>
        <v>0</v>
      </c>
      <c r="BG33" s="35">
        <f t="shared" si="4"/>
        <v>0</v>
      </c>
      <c r="BH33" s="35">
        <f t="shared" si="4"/>
        <v>0</v>
      </c>
      <c r="BI33" s="35">
        <f t="shared" si="5"/>
        <v>0</v>
      </c>
      <c r="BJ33" s="35">
        <f t="shared" si="6"/>
        <v>0</v>
      </c>
      <c r="BK33" s="35">
        <f t="shared" si="0"/>
        <v>0</v>
      </c>
      <c r="BL33" s="66"/>
      <c r="BM33" s="1400"/>
      <c r="BN33" s="1400"/>
      <c r="BO33" s="67"/>
      <c r="BP33" s="1400"/>
      <c r="BQ33" s="1400"/>
      <c r="BR33" s="67"/>
      <c r="BS33" s="62"/>
      <c r="BT33" s="62"/>
      <c r="BU33" s="62"/>
      <c r="BV33" s="62"/>
      <c r="BW33" s="62"/>
      <c r="BX33" s="62"/>
      <c r="BY33" s="62"/>
      <c r="BZ33" s="62"/>
      <c r="CA33" s="62"/>
    </row>
    <row r="34" spans="1:79" ht="30.75" customHeight="1">
      <c r="A34" s="484"/>
      <c r="B34" s="304" t="s">
        <v>245</v>
      </c>
      <c r="C34" s="1401"/>
      <c r="D34" s="1411"/>
      <c r="E34" s="1402"/>
      <c r="F34" s="1406"/>
      <c r="G34" s="1406"/>
      <c r="H34" s="1495"/>
      <c r="I34" s="1496"/>
      <c r="J34" s="1496"/>
      <c r="K34" s="1496"/>
      <c r="L34" s="1497"/>
      <c r="M34" s="502"/>
      <c r="N34" s="1406"/>
      <c r="O34" s="1406"/>
      <c r="P34" s="1406"/>
      <c r="Q34" s="1407"/>
      <c r="R34" s="1404">
        <f t="shared" si="7"/>
        <v>0</v>
      </c>
      <c r="S34" s="1405"/>
      <c r="T34" s="779"/>
      <c r="U34" s="1408"/>
      <c r="V34" s="1409"/>
      <c r="W34" s="1409"/>
      <c r="X34" s="1409"/>
      <c r="Y34" s="1409"/>
      <c r="Z34" s="1410"/>
      <c r="AA34" s="451"/>
      <c r="AB34" s="450" t="s">
        <v>11</v>
      </c>
      <c r="AC34" s="1401"/>
      <c r="AD34" s="1411"/>
      <c r="AE34" s="1402"/>
      <c r="AF34" s="1406"/>
      <c r="AG34" s="1406"/>
      <c r="AH34" s="1413"/>
      <c r="AI34" s="1414"/>
      <c r="AJ34" s="1414"/>
      <c r="AK34" s="1414"/>
      <c r="AL34" s="1415"/>
      <c r="AM34" s="502"/>
      <c r="AN34" s="1406"/>
      <c r="AO34" s="1406"/>
      <c r="AP34" s="1406"/>
      <c r="AQ34" s="1407"/>
      <c r="AR34" s="1404">
        <f t="shared" ref="AR34:AR41" si="8">SUM(AL34:AQ34)</f>
        <v>0</v>
      </c>
      <c r="AS34" s="1405"/>
      <c r="AT34" s="445"/>
      <c r="AU34" s="1408"/>
      <c r="AV34" s="1409"/>
      <c r="AW34" s="1409"/>
      <c r="AX34" s="1409"/>
      <c r="AY34" s="1409"/>
      <c r="AZ34" s="1410"/>
      <c r="BA34" s="62"/>
      <c r="BB34" s="35">
        <f>IF(F34="炊事",1,0)</f>
        <v>0</v>
      </c>
      <c r="BC34" s="65">
        <f>8*BB34</f>
        <v>0</v>
      </c>
      <c r="BD34" s="63"/>
      <c r="BE34" s="35">
        <f t="shared" si="2"/>
        <v>0</v>
      </c>
      <c r="BF34" s="35">
        <f>INDEX(C$30:C$41,MATCH($BK34,$BC$30:$BC$41,0))</f>
        <v>0</v>
      </c>
      <c r="BG34" s="35">
        <f t="shared" si="4"/>
        <v>0</v>
      </c>
      <c r="BH34" s="35">
        <f t="shared" si="4"/>
        <v>0</v>
      </c>
      <c r="BI34" s="35">
        <f t="shared" si="5"/>
        <v>0</v>
      </c>
      <c r="BJ34" s="35">
        <f t="shared" si="6"/>
        <v>0</v>
      </c>
      <c r="BK34" s="35">
        <f t="shared" si="0"/>
        <v>0</v>
      </c>
      <c r="BL34" s="66"/>
      <c r="BM34" s="1400"/>
      <c r="BN34" s="1400"/>
      <c r="BO34" s="67"/>
      <c r="BP34" s="1400"/>
      <c r="BQ34" s="1400"/>
      <c r="BR34" s="67"/>
      <c r="BS34" s="62"/>
      <c r="BT34" s="62"/>
      <c r="BU34" s="62"/>
      <c r="BV34" s="62"/>
      <c r="BW34" s="62"/>
      <c r="BX34" s="62"/>
      <c r="BY34" s="62"/>
      <c r="BZ34" s="62"/>
      <c r="CA34" s="62"/>
    </row>
    <row r="35" spans="1:79" ht="30.75" customHeight="1">
      <c r="A35" s="484"/>
      <c r="B35" s="304" t="s">
        <v>245</v>
      </c>
      <c r="C35" s="1401"/>
      <c r="D35" s="1411"/>
      <c r="E35" s="1402"/>
      <c r="F35" s="1406"/>
      <c r="G35" s="1406"/>
      <c r="H35" s="1495"/>
      <c r="I35" s="1496"/>
      <c r="J35" s="1496"/>
      <c r="K35" s="1496"/>
      <c r="L35" s="1497"/>
      <c r="M35" s="502"/>
      <c r="N35" s="1406"/>
      <c r="O35" s="1406"/>
      <c r="P35" s="1406"/>
      <c r="Q35" s="1407"/>
      <c r="R35" s="1404">
        <f t="shared" si="7"/>
        <v>0</v>
      </c>
      <c r="S35" s="1405"/>
      <c r="T35" s="779"/>
      <c r="U35" s="1408"/>
      <c r="V35" s="1409"/>
      <c r="W35" s="1409"/>
      <c r="X35" s="1409"/>
      <c r="Y35" s="1409"/>
      <c r="Z35" s="1410"/>
      <c r="AA35" s="451"/>
      <c r="AB35" s="450" t="s">
        <v>11</v>
      </c>
      <c r="AC35" s="1401"/>
      <c r="AD35" s="1411"/>
      <c r="AE35" s="1402"/>
      <c r="AF35" s="1406"/>
      <c r="AG35" s="1406"/>
      <c r="AH35" s="1413"/>
      <c r="AI35" s="1414"/>
      <c r="AJ35" s="1414"/>
      <c r="AK35" s="1414"/>
      <c r="AL35" s="1415"/>
      <c r="AM35" s="502"/>
      <c r="AN35" s="1406"/>
      <c r="AO35" s="1406"/>
      <c r="AP35" s="1416"/>
      <c r="AQ35" s="1417"/>
      <c r="AR35" s="1404">
        <f t="shared" si="8"/>
        <v>0</v>
      </c>
      <c r="AS35" s="1405"/>
      <c r="AT35" s="445"/>
      <c r="AU35" s="1408"/>
      <c r="AV35" s="1409"/>
      <c r="AW35" s="1409"/>
      <c r="AX35" s="1409"/>
      <c r="AY35" s="1409"/>
      <c r="AZ35" s="1410"/>
      <c r="BA35" s="62"/>
      <c r="BB35" s="35">
        <f>IF(F35="炊事",1,0)</f>
        <v>0</v>
      </c>
      <c r="BC35" s="65">
        <f>7*BB35</f>
        <v>0</v>
      </c>
      <c r="BD35" s="63"/>
      <c r="BE35" s="35">
        <f t="shared" si="2"/>
        <v>0</v>
      </c>
      <c r="BF35" s="35">
        <f t="shared" si="3"/>
        <v>0</v>
      </c>
      <c r="BG35" s="35">
        <f t="shared" si="4"/>
        <v>0</v>
      </c>
      <c r="BH35" s="35">
        <f t="shared" si="4"/>
        <v>0</v>
      </c>
      <c r="BI35" s="35">
        <f t="shared" si="5"/>
        <v>0</v>
      </c>
      <c r="BJ35" s="35">
        <f t="shared" si="6"/>
        <v>0</v>
      </c>
      <c r="BK35" s="35">
        <f t="shared" si="0"/>
        <v>0</v>
      </c>
      <c r="BL35" s="66"/>
      <c r="BM35" s="1400"/>
      <c r="BN35" s="1400"/>
      <c r="BO35" s="67"/>
      <c r="BP35" s="1400"/>
      <c r="BQ35" s="1400"/>
      <c r="BR35" s="67"/>
      <c r="BS35" s="62"/>
      <c r="BT35" s="62"/>
      <c r="BU35" s="62"/>
      <c r="BV35" s="62"/>
      <c r="BW35" s="62"/>
      <c r="BX35" s="62"/>
      <c r="BY35" s="62"/>
      <c r="BZ35" s="62"/>
      <c r="CA35" s="62"/>
    </row>
    <row r="36" spans="1:79" ht="30.75" customHeight="1">
      <c r="A36" s="484"/>
      <c r="B36" s="304" t="s">
        <v>245</v>
      </c>
      <c r="C36" s="1401"/>
      <c r="D36" s="1411"/>
      <c r="E36" s="1402"/>
      <c r="F36" s="1406"/>
      <c r="G36" s="1406"/>
      <c r="H36" s="1495"/>
      <c r="I36" s="1496"/>
      <c r="J36" s="1496"/>
      <c r="K36" s="1496"/>
      <c r="L36" s="1497"/>
      <c r="M36" s="502"/>
      <c r="N36" s="1406"/>
      <c r="O36" s="1406"/>
      <c r="P36" s="1406"/>
      <c r="Q36" s="1407"/>
      <c r="R36" s="1404">
        <f t="shared" si="7"/>
        <v>0</v>
      </c>
      <c r="S36" s="1405"/>
      <c r="T36" s="779"/>
      <c r="U36" s="1408"/>
      <c r="V36" s="1409"/>
      <c r="W36" s="1409"/>
      <c r="X36" s="1409"/>
      <c r="Y36" s="1409"/>
      <c r="Z36" s="1410"/>
      <c r="AA36" s="451"/>
      <c r="AB36" s="450" t="s">
        <v>11</v>
      </c>
      <c r="AC36" s="1401"/>
      <c r="AD36" s="1411"/>
      <c r="AE36" s="1402"/>
      <c r="AF36" s="1406"/>
      <c r="AG36" s="1406"/>
      <c r="AH36" s="1413"/>
      <c r="AI36" s="1414"/>
      <c r="AJ36" s="1414"/>
      <c r="AK36" s="1414"/>
      <c r="AL36" s="1415"/>
      <c r="AM36" s="502"/>
      <c r="AN36" s="1406"/>
      <c r="AO36" s="1406"/>
      <c r="AP36" s="1416"/>
      <c r="AQ36" s="1417"/>
      <c r="AR36" s="1404">
        <f t="shared" si="8"/>
        <v>0</v>
      </c>
      <c r="AS36" s="1405"/>
      <c r="AT36" s="445"/>
      <c r="AU36" s="1408"/>
      <c r="AV36" s="1409"/>
      <c r="AW36" s="1409"/>
      <c r="AX36" s="1409"/>
      <c r="AY36" s="1409"/>
      <c r="AZ36" s="1410"/>
      <c r="BA36" s="62"/>
      <c r="BB36" s="35">
        <f t="shared" si="1"/>
        <v>0</v>
      </c>
      <c r="BC36" s="65">
        <f>6*BB36</f>
        <v>0</v>
      </c>
      <c r="BD36" s="63"/>
      <c r="BE36" s="35">
        <f t="shared" si="2"/>
        <v>0</v>
      </c>
      <c r="BF36" s="35">
        <f t="shared" si="3"/>
        <v>0</v>
      </c>
      <c r="BG36" s="35">
        <f t="shared" si="4"/>
        <v>0</v>
      </c>
      <c r="BH36" s="35">
        <f t="shared" si="4"/>
        <v>0</v>
      </c>
      <c r="BI36" s="35">
        <f t="shared" si="5"/>
        <v>0</v>
      </c>
      <c r="BJ36" s="35">
        <f t="shared" si="6"/>
        <v>0</v>
      </c>
      <c r="BK36" s="35">
        <f t="shared" si="0"/>
        <v>0</v>
      </c>
      <c r="BL36" s="66"/>
      <c r="BM36" s="1400"/>
      <c r="BN36" s="1400"/>
      <c r="BO36" s="67"/>
      <c r="BP36" s="1400"/>
      <c r="BQ36" s="1400"/>
      <c r="BR36" s="67"/>
      <c r="BS36" s="62"/>
      <c r="BT36" s="62"/>
      <c r="BU36" s="62"/>
      <c r="BV36" s="62"/>
      <c r="BW36" s="62"/>
      <c r="BX36" s="62"/>
      <c r="BY36" s="62"/>
      <c r="BZ36" s="62"/>
      <c r="CA36" s="62"/>
    </row>
    <row r="37" spans="1:79" ht="30.75" customHeight="1">
      <c r="A37" s="484"/>
      <c r="B37" s="304" t="s">
        <v>245</v>
      </c>
      <c r="C37" s="1401"/>
      <c r="D37" s="1411"/>
      <c r="E37" s="1402"/>
      <c r="F37" s="1401"/>
      <c r="G37" s="1402"/>
      <c r="H37" s="1495"/>
      <c r="I37" s="1496"/>
      <c r="J37" s="1496"/>
      <c r="K37" s="1496"/>
      <c r="L37" s="1497"/>
      <c r="M37" s="502"/>
      <c r="N37" s="1406"/>
      <c r="O37" s="1406"/>
      <c r="P37" s="1401"/>
      <c r="Q37" s="1403"/>
      <c r="R37" s="1404">
        <f t="shared" ref="R37:R41" si="9">SUM(L37:Q37)</f>
        <v>0</v>
      </c>
      <c r="S37" s="1405"/>
      <c r="T37" s="779"/>
      <c r="U37" s="1408"/>
      <c r="V37" s="1409"/>
      <c r="W37" s="1409"/>
      <c r="X37" s="1409"/>
      <c r="Y37" s="1409"/>
      <c r="Z37" s="1410"/>
      <c r="AA37" s="451"/>
      <c r="AB37" s="450" t="s">
        <v>11</v>
      </c>
      <c r="AC37" s="1401"/>
      <c r="AD37" s="1411"/>
      <c r="AE37" s="1402"/>
      <c r="AF37" s="1401"/>
      <c r="AG37" s="1402"/>
      <c r="AH37" s="1413"/>
      <c r="AI37" s="1414"/>
      <c r="AJ37" s="1414"/>
      <c r="AK37" s="1414"/>
      <c r="AL37" s="1415"/>
      <c r="AM37" s="502"/>
      <c r="AN37" s="1406"/>
      <c r="AO37" s="1406"/>
      <c r="AP37" s="1406"/>
      <c r="AQ37" s="1407"/>
      <c r="AR37" s="1404">
        <f t="shared" si="8"/>
        <v>0</v>
      </c>
      <c r="AS37" s="1405"/>
      <c r="AT37" s="445"/>
      <c r="AU37" s="1408"/>
      <c r="AV37" s="1409"/>
      <c r="AW37" s="1409"/>
      <c r="AX37" s="1409"/>
      <c r="AY37" s="1409"/>
      <c r="AZ37" s="1410"/>
      <c r="BA37" s="62"/>
      <c r="BB37" s="35">
        <f t="shared" si="1"/>
        <v>0</v>
      </c>
      <c r="BC37" s="65">
        <f>5*BB37</f>
        <v>0</v>
      </c>
      <c r="BD37" s="63"/>
      <c r="BE37" s="35">
        <f t="shared" si="2"/>
        <v>0</v>
      </c>
      <c r="BF37" s="35">
        <f t="shared" si="3"/>
        <v>0</v>
      </c>
      <c r="BG37" s="35">
        <f t="shared" si="4"/>
        <v>0</v>
      </c>
      <c r="BH37" s="35">
        <f t="shared" si="4"/>
        <v>0</v>
      </c>
      <c r="BI37" s="35">
        <f t="shared" si="5"/>
        <v>0</v>
      </c>
      <c r="BJ37" s="35">
        <f t="shared" si="6"/>
        <v>0</v>
      </c>
      <c r="BK37" s="35">
        <f t="shared" si="0"/>
        <v>0</v>
      </c>
      <c r="BL37" s="66"/>
      <c r="BM37" s="1400"/>
      <c r="BN37" s="1400"/>
      <c r="BO37" s="67"/>
      <c r="BP37" s="1400"/>
      <c r="BQ37" s="1400"/>
      <c r="BR37" s="67"/>
      <c r="BS37" s="62"/>
      <c r="BT37" s="62"/>
      <c r="BU37" s="62"/>
      <c r="BV37" s="62"/>
      <c r="BW37" s="62"/>
      <c r="BX37" s="62"/>
      <c r="BY37" s="62"/>
      <c r="BZ37" s="62"/>
      <c r="CA37" s="62"/>
    </row>
    <row r="38" spans="1:79" ht="30.75" customHeight="1">
      <c r="A38" s="484"/>
      <c r="B38" s="304" t="s">
        <v>245</v>
      </c>
      <c r="C38" s="1401"/>
      <c r="D38" s="1411"/>
      <c r="E38" s="1402"/>
      <c r="F38" s="1401"/>
      <c r="G38" s="1402"/>
      <c r="H38" s="1495"/>
      <c r="I38" s="1496"/>
      <c r="J38" s="1496"/>
      <c r="K38" s="1496"/>
      <c r="L38" s="1497"/>
      <c r="M38" s="502"/>
      <c r="N38" s="1401"/>
      <c r="O38" s="1402"/>
      <c r="P38" s="1401"/>
      <c r="Q38" s="1403"/>
      <c r="R38" s="1404">
        <f t="shared" si="9"/>
        <v>0</v>
      </c>
      <c r="S38" s="1405"/>
      <c r="T38" s="779"/>
      <c r="U38" s="1408"/>
      <c r="V38" s="1409"/>
      <c r="W38" s="1409"/>
      <c r="X38" s="1409"/>
      <c r="Y38" s="1409"/>
      <c r="Z38" s="1410"/>
      <c r="AA38" s="451"/>
      <c r="AB38" s="450" t="s">
        <v>11</v>
      </c>
      <c r="AC38" s="1401"/>
      <c r="AD38" s="1411"/>
      <c r="AE38" s="1402"/>
      <c r="AF38" s="1401"/>
      <c r="AG38" s="1402"/>
      <c r="AH38" s="1413"/>
      <c r="AI38" s="1414"/>
      <c r="AJ38" s="1414"/>
      <c r="AK38" s="1414"/>
      <c r="AL38" s="1415"/>
      <c r="AM38" s="502"/>
      <c r="AN38" s="1406"/>
      <c r="AO38" s="1406"/>
      <c r="AP38" s="1406"/>
      <c r="AQ38" s="1407"/>
      <c r="AR38" s="1404">
        <f t="shared" si="8"/>
        <v>0</v>
      </c>
      <c r="AS38" s="1405"/>
      <c r="AT38" s="445"/>
      <c r="AU38" s="1408"/>
      <c r="AV38" s="1409"/>
      <c r="AW38" s="1409"/>
      <c r="AX38" s="1409"/>
      <c r="AY38" s="1409"/>
      <c r="AZ38" s="1410"/>
      <c r="BA38" s="62"/>
      <c r="BB38" s="35">
        <f t="shared" si="1"/>
        <v>0</v>
      </c>
      <c r="BC38" s="65">
        <f>4*BB38</f>
        <v>0</v>
      </c>
      <c r="BD38" s="63"/>
      <c r="BE38" s="35">
        <f t="shared" si="2"/>
        <v>0</v>
      </c>
      <c r="BF38" s="35">
        <f t="shared" si="3"/>
        <v>0</v>
      </c>
      <c r="BG38" s="35">
        <f t="shared" si="4"/>
        <v>0</v>
      </c>
      <c r="BH38" s="35">
        <f t="shared" si="4"/>
        <v>0</v>
      </c>
      <c r="BI38" s="35">
        <f t="shared" si="5"/>
        <v>0</v>
      </c>
      <c r="BJ38" s="35">
        <f t="shared" si="6"/>
        <v>0</v>
      </c>
      <c r="BK38" s="35">
        <f t="shared" si="0"/>
        <v>0</v>
      </c>
      <c r="BL38" s="66"/>
      <c r="BM38" s="1400"/>
      <c r="BN38" s="1400"/>
      <c r="BO38" s="67"/>
      <c r="BP38" s="1400"/>
      <c r="BQ38" s="1400"/>
      <c r="BR38" s="67"/>
      <c r="BS38" s="62"/>
      <c r="BT38" s="62"/>
      <c r="BU38" s="62"/>
      <c r="BV38" s="62"/>
      <c r="BW38" s="62"/>
      <c r="BX38" s="62"/>
      <c r="BY38" s="62"/>
      <c r="BZ38" s="62"/>
      <c r="CA38" s="62"/>
    </row>
    <row r="39" spans="1:79" ht="30.75" customHeight="1">
      <c r="A39" s="484"/>
      <c r="B39" s="304" t="s">
        <v>245</v>
      </c>
      <c r="C39" s="1401"/>
      <c r="D39" s="1411"/>
      <c r="E39" s="1402"/>
      <c r="F39" s="1401"/>
      <c r="G39" s="1402"/>
      <c r="H39" s="1495"/>
      <c r="I39" s="1496"/>
      <c r="J39" s="1496"/>
      <c r="K39" s="1496"/>
      <c r="L39" s="1497"/>
      <c r="M39" s="502"/>
      <c r="N39" s="1401"/>
      <c r="O39" s="1402"/>
      <c r="P39" s="1401"/>
      <c r="Q39" s="1403"/>
      <c r="R39" s="1404">
        <f t="shared" si="9"/>
        <v>0</v>
      </c>
      <c r="S39" s="1405"/>
      <c r="T39" s="779"/>
      <c r="U39" s="1408"/>
      <c r="V39" s="1409"/>
      <c r="W39" s="1409"/>
      <c r="X39" s="1409"/>
      <c r="Y39" s="1409"/>
      <c r="Z39" s="1410"/>
      <c r="AA39" s="451"/>
      <c r="AB39" s="450" t="s">
        <v>11</v>
      </c>
      <c r="AC39" s="1401"/>
      <c r="AD39" s="1411"/>
      <c r="AE39" s="1402"/>
      <c r="AF39" s="1401"/>
      <c r="AG39" s="1402"/>
      <c r="AH39" s="1413"/>
      <c r="AI39" s="1414"/>
      <c r="AJ39" s="1414"/>
      <c r="AK39" s="1414"/>
      <c r="AL39" s="1415"/>
      <c r="AM39" s="502"/>
      <c r="AN39" s="1406"/>
      <c r="AO39" s="1406"/>
      <c r="AP39" s="1406"/>
      <c r="AQ39" s="1407"/>
      <c r="AR39" s="1404">
        <f t="shared" si="8"/>
        <v>0</v>
      </c>
      <c r="AS39" s="1405"/>
      <c r="AT39" s="445"/>
      <c r="AU39" s="1408"/>
      <c r="AV39" s="1409"/>
      <c r="AW39" s="1409"/>
      <c r="AX39" s="1409"/>
      <c r="AY39" s="1409"/>
      <c r="AZ39" s="1410"/>
      <c r="BA39" s="62"/>
      <c r="BB39" s="35">
        <f t="shared" si="1"/>
        <v>0</v>
      </c>
      <c r="BC39" s="65">
        <f>3*BB39</f>
        <v>0</v>
      </c>
      <c r="BD39" s="63"/>
      <c r="BE39" s="35">
        <f t="shared" si="2"/>
        <v>0</v>
      </c>
      <c r="BF39" s="35">
        <f t="shared" si="3"/>
        <v>0</v>
      </c>
      <c r="BG39" s="35">
        <f t="shared" si="4"/>
        <v>0</v>
      </c>
      <c r="BH39" s="35">
        <f t="shared" si="4"/>
        <v>0</v>
      </c>
      <c r="BI39" s="35">
        <f t="shared" si="5"/>
        <v>0</v>
      </c>
      <c r="BJ39" s="35">
        <f t="shared" si="6"/>
        <v>0</v>
      </c>
      <c r="BK39" s="35">
        <f t="shared" si="0"/>
        <v>0</v>
      </c>
      <c r="BL39" s="66"/>
      <c r="BM39" s="1400"/>
      <c r="BN39" s="1400"/>
      <c r="BO39" s="67"/>
      <c r="BP39" s="1400"/>
      <c r="BQ39" s="1400"/>
      <c r="BR39" s="67"/>
      <c r="BS39" s="62"/>
      <c r="BT39" s="62"/>
      <c r="BU39" s="62"/>
      <c r="BV39" s="62"/>
      <c r="BW39" s="62"/>
      <c r="BX39" s="62"/>
      <c r="BY39" s="62"/>
      <c r="BZ39" s="62"/>
      <c r="CA39" s="62"/>
    </row>
    <row r="40" spans="1:79" ht="30.75" customHeight="1">
      <c r="A40" s="484"/>
      <c r="B40" s="304" t="s">
        <v>245</v>
      </c>
      <c r="C40" s="1401"/>
      <c r="D40" s="1411"/>
      <c r="E40" s="1402"/>
      <c r="F40" s="1401"/>
      <c r="G40" s="1402"/>
      <c r="H40" s="1495"/>
      <c r="I40" s="1496"/>
      <c r="J40" s="1496"/>
      <c r="K40" s="1496"/>
      <c r="L40" s="1497"/>
      <c r="M40" s="502"/>
      <c r="N40" s="1401"/>
      <c r="O40" s="1402"/>
      <c r="P40" s="1401"/>
      <c r="Q40" s="1403"/>
      <c r="R40" s="1404">
        <f t="shared" si="9"/>
        <v>0</v>
      </c>
      <c r="S40" s="1405"/>
      <c r="T40" s="779"/>
      <c r="U40" s="1408"/>
      <c r="V40" s="1409"/>
      <c r="W40" s="1409"/>
      <c r="X40" s="1409"/>
      <c r="Y40" s="1409"/>
      <c r="Z40" s="1410"/>
      <c r="AA40" s="451"/>
      <c r="AB40" s="450" t="s">
        <v>11</v>
      </c>
      <c r="AC40" s="1401"/>
      <c r="AD40" s="1411"/>
      <c r="AE40" s="1402"/>
      <c r="AF40" s="1401"/>
      <c r="AG40" s="1402"/>
      <c r="AH40" s="1413"/>
      <c r="AI40" s="1414"/>
      <c r="AJ40" s="1414"/>
      <c r="AK40" s="1414"/>
      <c r="AL40" s="1415"/>
      <c r="AM40" s="502"/>
      <c r="AN40" s="1406"/>
      <c r="AO40" s="1406"/>
      <c r="AP40" s="1406"/>
      <c r="AQ40" s="1407"/>
      <c r="AR40" s="1404">
        <f t="shared" si="8"/>
        <v>0</v>
      </c>
      <c r="AS40" s="1405"/>
      <c r="AT40" s="445"/>
      <c r="AU40" s="1408"/>
      <c r="AV40" s="1409"/>
      <c r="AW40" s="1409"/>
      <c r="AX40" s="1409"/>
      <c r="AY40" s="1409"/>
      <c r="AZ40" s="1410"/>
      <c r="BA40" s="62"/>
      <c r="BB40" s="35">
        <f t="shared" si="1"/>
        <v>0</v>
      </c>
      <c r="BC40" s="65">
        <f>2*BB40</f>
        <v>0</v>
      </c>
      <c r="BD40" s="63"/>
      <c r="BE40" s="35">
        <f t="shared" si="2"/>
        <v>0</v>
      </c>
      <c r="BF40" s="35">
        <f t="shared" si="3"/>
        <v>0</v>
      </c>
      <c r="BG40" s="35">
        <f t="shared" si="4"/>
        <v>0</v>
      </c>
      <c r="BH40" s="35">
        <f t="shared" si="4"/>
        <v>0</v>
      </c>
      <c r="BI40" s="35">
        <f t="shared" si="5"/>
        <v>0</v>
      </c>
      <c r="BJ40" s="35">
        <f t="shared" si="6"/>
        <v>0</v>
      </c>
      <c r="BK40" s="35">
        <f t="shared" si="0"/>
        <v>0</v>
      </c>
      <c r="BL40" s="66"/>
      <c r="BM40" s="1400"/>
      <c r="BN40" s="1400"/>
      <c r="BO40" s="67"/>
      <c r="BP40" s="1400"/>
      <c r="BQ40" s="1400"/>
      <c r="BR40" s="67"/>
      <c r="BS40" s="62"/>
      <c r="BT40" s="62"/>
      <c r="BU40" s="62"/>
      <c r="BV40" s="62"/>
      <c r="BW40" s="62"/>
      <c r="BX40" s="62"/>
      <c r="BY40" s="62"/>
      <c r="BZ40" s="62"/>
      <c r="CA40" s="62"/>
    </row>
    <row r="41" spans="1:79" ht="30.75" customHeight="1" thickBot="1">
      <c r="A41" s="733"/>
      <c r="B41" s="305" t="s">
        <v>245</v>
      </c>
      <c r="C41" s="1418"/>
      <c r="D41" s="1426"/>
      <c r="E41" s="1419"/>
      <c r="F41" s="1418"/>
      <c r="G41" s="1419"/>
      <c r="H41" s="1528"/>
      <c r="I41" s="1529"/>
      <c r="J41" s="1529"/>
      <c r="K41" s="1529"/>
      <c r="L41" s="1530"/>
      <c r="M41" s="530"/>
      <c r="N41" s="1418"/>
      <c r="O41" s="1419"/>
      <c r="P41" s="1418"/>
      <c r="Q41" s="1420"/>
      <c r="R41" s="1421">
        <f t="shared" si="9"/>
        <v>0</v>
      </c>
      <c r="S41" s="1422"/>
      <c r="T41" s="780"/>
      <c r="U41" s="1395"/>
      <c r="V41" s="1396"/>
      <c r="W41" s="1396"/>
      <c r="X41" s="1396"/>
      <c r="Y41" s="1396"/>
      <c r="Z41" s="1397"/>
      <c r="AA41" s="452"/>
      <c r="AB41" s="453" t="s">
        <v>11</v>
      </c>
      <c r="AC41" s="1418"/>
      <c r="AD41" s="1426"/>
      <c r="AE41" s="1419"/>
      <c r="AF41" s="1418"/>
      <c r="AG41" s="1419"/>
      <c r="AH41" s="1427"/>
      <c r="AI41" s="1428"/>
      <c r="AJ41" s="1428"/>
      <c r="AK41" s="1428"/>
      <c r="AL41" s="1429"/>
      <c r="AM41" s="530"/>
      <c r="AN41" s="1423"/>
      <c r="AO41" s="1424"/>
      <c r="AP41" s="1423"/>
      <c r="AQ41" s="1425"/>
      <c r="AR41" s="1421">
        <f t="shared" si="8"/>
        <v>0</v>
      </c>
      <c r="AS41" s="1422"/>
      <c r="AT41" s="446"/>
      <c r="AU41" s="1395"/>
      <c r="AV41" s="1396"/>
      <c r="AW41" s="1396"/>
      <c r="AX41" s="1396"/>
      <c r="AY41" s="1396"/>
      <c r="AZ41" s="1397"/>
      <c r="BA41" s="62"/>
      <c r="BB41" s="35">
        <f t="shared" si="1"/>
        <v>0</v>
      </c>
      <c r="BC41" s="65">
        <f>1*BB41</f>
        <v>0</v>
      </c>
      <c r="BD41" s="63"/>
      <c r="BE41" s="35">
        <f t="shared" si="2"/>
        <v>0</v>
      </c>
      <c r="BF41" s="35">
        <f t="shared" si="3"/>
        <v>0</v>
      </c>
      <c r="BG41" s="35">
        <f>INDEX(D$30:D$41,MATCH($BK41,$BC$30:$BC$41,0))</f>
        <v>0</v>
      </c>
      <c r="BH41" s="35">
        <f t="shared" si="4"/>
        <v>0</v>
      </c>
      <c r="BI41" s="35">
        <f t="shared" si="5"/>
        <v>0</v>
      </c>
      <c r="BJ41" s="35">
        <f t="shared" si="6"/>
        <v>0</v>
      </c>
      <c r="BK41" s="35">
        <f t="shared" si="0"/>
        <v>0</v>
      </c>
      <c r="BL41" s="66"/>
      <c r="BM41" s="1400"/>
      <c r="BN41" s="1400"/>
      <c r="BO41" s="67"/>
      <c r="BP41" s="1400"/>
      <c r="BQ41" s="1400"/>
      <c r="BR41" s="67"/>
      <c r="BS41" s="62"/>
      <c r="BT41" s="62"/>
      <c r="BU41" s="62"/>
      <c r="BV41" s="62"/>
      <c r="BW41" s="62"/>
      <c r="BX41" s="62"/>
      <c r="BY41" s="62"/>
      <c r="BZ41" s="62"/>
      <c r="CA41" s="62"/>
    </row>
    <row r="42" spans="1:79" ht="12" customHeight="1">
      <c r="A42" s="278"/>
      <c r="B42" s="278"/>
      <c r="C42" s="278"/>
      <c r="D42" s="278"/>
      <c r="E42" s="278"/>
      <c r="F42" s="278"/>
      <c r="G42" s="278"/>
      <c r="H42" s="278"/>
      <c r="I42" s="278"/>
      <c r="J42" s="278"/>
      <c r="K42" s="278"/>
      <c r="L42" s="278"/>
      <c r="M42" s="278"/>
      <c r="N42" s="278"/>
      <c r="O42" s="278"/>
      <c r="P42" s="278"/>
      <c r="Q42" s="278"/>
      <c r="R42" s="278"/>
      <c r="S42" s="278"/>
      <c r="T42" s="278"/>
      <c r="U42" s="278"/>
      <c r="V42" s="278"/>
      <c r="W42" s="278"/>
      <c r="X42" s="278"/>
      <c r="Y42" s="278"/>
      <c r="Z42" s="278"/>
      <c r="AA42" s="278"/>
      <c r="AB42" s="278"/>
      <c r="AC42" s="278"/>
      <c r="AD42" s="278"/>
      <c r="AE42" s="278"/>
      <c r="AF42" s="278"/>
      <c r="AG42" s="278"/>
      <c r="AH42" s="278"/>
      <c r="AI42" s="278"/>
      <c r="AJ42" s="278"/>
      <c r="AK42" s="278"/>
      <c r="AL42" s="278"/>
      <c r="AM42" s="278"/>
      <c r="AN42" s="278"/>
      <c r="AO42" s="278"/>
      <c r="AP42" s="278"/>
      <c r="AQ42" s="278"/>
      <c r="AR42" s="278"/>
      <c r="AS42" s="278"/>
      <c r="AT42" s="278"/>
      <c r="AU42" s="278"/>
      <c r="AV42" s="278"/>
      <c r="AW42" s="278"/>
      <c r="AX42" s="278"/>
      <c r="AY42" s="278"/>
      <c r="AZ42" s="278"/>
      <c r="BA42" s="62"/>
      <c r="BB42" s="62"/>
      <c r="BC42" s="63"/>
      <c r="BD42" s="63"/>
      <c r="BE42" s="63"/>
      <c r="BF42" s="63"/>
      <c r="BG42" s="62"/>
      <c r="BH42" s="62"/>
      <c r="BI42" s="62"/>
      <c r="BJ42" s="62"/>
      <c r="BK42" s="62"/>
      <c r="BL42" s="62"/>
      <c r="BM42" s="62"/>
      <c r="BN42" s="62"/>
      <c r="BO42" s="62"/>
      <c r="BP42" s="62"/>
      <c r="BQ42" s="62"/>
      <c r="BR42" s="62"/>
      <c r="BS42" s="62"/>
      <c r="BT42" s="62"/>
      <c r="BU42" s="62"/>
      <c r="BV42" s="62"/>
      <c r="BW42" s="62"/>
      <c r="BX42" s="62"/>
      <c r="BY42" s="62"/>
      <c r="BZ42" s="62"/>
      <c r="CA42" s="62"/>
    </row>
    <row r="43" spans="1:79" ht="18.95" customHeight="1">
      <c r="A43" s="1332" t="s">
        <v>750</v>
      </c>
      <c r="B43" s="1332"/>
      <c r="C43" s="1332"/>
      <c r="D43" s="1332"/>
      <c r="E43" s="1332"/>
      <c r="F43" s="1332"/>
      <c r="G43" s="1332"/>
      <c r="H43" s="1332"/>
      <c r="I43" s="1332"/>
      <c r="J43" s="1332"/>
      <c r="K43" s="1332"/>
      <c r="L43" s="1332"/>
      <c r="M43" s="1332"/>
      <c r="N43" s="1332"/>
      <c r="O43" s="1332"/>
      <c r="P43" s="1332"/>
      <c r="Q43" s="1332"/>
      <c r="R43" s="1332"/>
      <c r="S43" s="1332"/>
      <c r="T43" s="1332"/>
      <c r="U43" s="1332"/>
      <c r="V43" s="1332"/>
      <c r="W43" s="1332"/>
      <c r="X43" s="1332"/>
      <c r="Y43" s="1332"/>
      <c r="Z43" s="1332"/>
      <c r="AA43" s="1332" t="s">
        <v>750</v>
      </c>
      <c r="AB43" s="1332"/>
      <c r="AC43" s="1332"/>
      <c r="AD43" s="1332"/>
      <c r="AE43" s="1332"/>
      <c r="AF43" s="1332"/>
      <c r="AG43" s="1332"/>
      <c r="AH43" s="1332"/>
      <c r="AI43" s="1332"/>
      <c r="AJ43" s="1332"/>
      <c r="AK43" s="1332"/>
      <c r="AL43" s="1332"/>
      <c r="AM43" s="1332"/>
      <c r="AN43" s="1332"/>
      <c r="AO43" s="1332"/>
      <c r="AP43" s="1332"/>
      <c r="AQ43" s="1332"/>
      <c r="AR43" s="1332"/>
      <c r="AS43" s="1332"/>
      <c r="AT43" s="1332"/>
      <c r="AU43" s="1332"/>
      <c r="AV43" s="1332"/>
      <c r="AW43" s="1332"/>
      <c r="AX43" s="1332"/>
      <c r="AY43" s="1332"/>
      <c r="AZ43" s="1332"/>
      <c r="BA43" s="62"/>
      <c r="BB43" s="64"/>
      <c r="BC43" s="63"/>
      <c r="BD43" s="63"/>
      <c r="BE43" s="63"/>
      <c r="BF43" s="63"/>
      <c r="BG43" s="62"/>
      <c r="BH43" s="62"/>
      <c r="BI43" s="62"/>
      <c r="BJ43" s="62"/>
      <c r="BK43" s="62"/>
      <c r="BL43" s="62"/>
      <c r="BM43" s="62"/>
      <c r="BN43" s="62"/>
      <c r="BO43" s="62"/>
      <c r="BP43" s="62"/>
      <c r="BQ43" s="62"/>
      <c r="BR43" s="62"/>
      <c r="BS43" s="62"/>
      <c r="BT43" s="62"/>
      <c r="BU43" s="62"/>
      <c r="BV43" s="62"/>
      <c r="BW43" s="62"/>
      <c r="BX43" s="62"/>
      <c r="BY43" s="62"/>
      <c r="BZ43" s="62"/>
      <c r="CA43" s="62"/>
    </row>
    <row r="44" spans="1:79" ht="13.5" customHeight="1" thickBot="1">
      <c r="A44" s="1333" t="s">
        <v>128</v>
      </c>
      <c r="B44" s="1333"/>
      <c r="C44" s="1333" t="s">
        <v>130</v>
      </c>
      <c r="D44" s="1333"/>
      <c r="E44" s="1333"/>
      <c r="F44" s="1333"/>
      <c r="G44" s="1333"/>
      <c r="H44" s="1333" t="s">
        <v>649</v>
      </c>
      <c r="I44" s="1333"/>
      <c r="J44" s="1333"/>
      <c r="K44" s="1333" t="s">
        <v>649</v>
      </c>
      <c r="L44" s="1333"/>
      <c r="M44" s="1333"/>
      <c r="N44" s="1333" t="s">
        <v>649</v>
      </c>
      <c r="O44" s="1333"/>
      <c r="P44" s="1333"/>
      <c r="Q44" s="1333" t="s">
        <v>649</v>
      </c>
      <c r="R44" s="1333"/>
      <c r="S44" s="1333"/>
      <c r="T44" s="1333" t="s">
        <v>649</v>
      </c>
      <c r="U44" s="1333"/>
      <c r="V44" s="1333"/>
      <c r="W44" s="1333" t="s">
        <v>99</v>
      </c>
      <c r="X44" s="1333"/>
      <c r="Y44" s="1333"/>
      <c r="Z44" s="1333"/>
      <c r="AA44" s="1333" t="s">
        <v>128</v>
      </c>
      <c r="AB44" s="1333"/>
      <c r="AC44" s="1333" t="s">
        <v>130</v>
      </c>
      <c r="AD44" s="1333"/>
      <c r="AE44" s="1333"/>
      <c r="AF44" s="1333"/>
      <c r="AG44" s="1333"/>
      <c r="AH44" s="1333" t="s">
        <v>649</v>
      </c>
      <c r="AI44" s="1333"/>
      <c r="AJ44" s="1333"/>
      <c r="AK44" s="1333" t="s">
        <v>649</v>
      </c>
      <c r="AL44" s="1333"/>
      <c r="AM44" s="1333"/>
      <c r="AN44" s="1333" t="s">
        <v>649</v>
      </c>
      <c r="AO44" s="1333"/>
      <c r="AP44" s="1333"/>
      <c r="AQ44" s="1333" t="s">
        <v>649</v>
      </c>
      <c r="AR44" s="1333"/>
      <c r="AS44" s="1333"/>
      <c r="AT44" s="1333" t="s">
        <v>649</v>
      </c>
      <c r="AU44" s="1333"/>
      <c r="AV44" s="1333"/>
      <c r="AW44" s="1333" t="s">
        <v>99</v>
      </c>
      <c r="AX44" s="1333"/>
      <c r="AY44" s="1333"/>
      <c r="AZ44" s="1333"/>
      <c r="BA44" s="62"/>
      <c r="BB44" s="64"/>
      <c r="BC44" s="63"/>
      <c r="BD44" s="63"/>
      <c r="BE44" s="63"/>
      <c r="BF44" s="63"/>
      <c r="BG44" s="62"/>
      <c r="BH44" s="62"/>
      <c r="BI44" s="62"/>
      <c r="BJ44" s="62"/>
      <c r="BK44" s="62"/>
      <c r="BL44" s="62"/>
      <c r="BM44" s="62"/>
      <c r="BN44" s="62"/>
      <c r="BO44" s="62"/>
      <c r="BP44" s="62"/>
      <c r="BQ44" s="62"/>
      <c r="BR44" s="62"/>
      <c r="BS44" s="62"/>
      <c r="BT44" s="62"/>
      <c r="BU44" s="62"/>
      <c r="BV44" s="62"/>
      <c r="BW44" s="62"/>
      <c r="BX44" s="62"/>
      <c r="BY44" s="62"/>
      <c r="BZ44" s="62"/>
      <c r="CA44" s="62"/>
    </row>
    <row r="45" spans="1:79" ht="13.5" customHeight="1">
      <c r="A45" s="1374"/>
      <c r="B45" s="1376" t="s">
        <v>11</v>
      </c>
      <c r="C45" s="1382" t="s">
        <v>963</v>
      </c>
      <c r="D45" s="1382"/>
      <c r="E45" s="1382"/>
      <c r="F45" s="1382"/>
      <c r="G45" s="1382"/>
      <c r="H45" s="1353"/>
      <c r="I45" s="1355" t="s">
        <v>100</v>
      </c>
      <c r="J45" s="1351"/>
      <c r="K45" s="1353"/>
      <c r="L45" s="1355" t="s">
        <v>100</v>
      </c>
      <c r="M45" s="1351"/>
      <c r="N45" s="1353"/>
      <c r="O45" s="1355" t="s">
        <v>100</v>
      </c>
      <c r="P45" s="1351"/>
      <c r="Q45" s="1353"/>
      <c r="R45" s="1355" t="s">
        <v>100</v>
      </c>
      <c r="S45" s="1351"/>
      <c r="T45" s="1353"/>
      <c r="U45" s="1355" t="s">
        <v>100</v>
      </c>
      <c r="V45" s="1357"/>
      <c r="W45" s="1384">
        <f>H45*J45+K45*M45+N45*P45+Q45*S45+T45*V45</f>
        <v>0</v>
      </c>
      <c r="X45" s="1345" t="s">
        <v>27</v>
      </c>
      <c r="Y45" s="1345">
        <f>J45+M45+P45+S45+V45</f>
        <v>0</v>
      </c>
      <c r="Z45" s="1349" t="s">
        <v>650</v>
      </c>
      <c r="AA45" s="1374">
        <v>14</v>
      </c>
      <c r="AB45" s="1376" t="s">
        <v>11</v>
      </c>
      <c r="AC45" s="1353" t="s">
        <v>243</v>
      </c>
      <c r="AD45" s="1378"/>
      <c r="AE45" s="1378"/>
      <c r="AF45" s="1378"/>
      <c r="AG45" s="1351"/>
      <c r="AH45" s="1353">
        <v>5</v>
      </c>
      <c r="AI45" s="1355" t="s">
        <v>100</v>
      </c>
      <c r="AJ45" s="1351">
        <v>21</v>
      </c>
      <c r="AK45" s="1353">
        <v>6</v>
      </c>
      <c r="AL45" s="1355" t="s">
        <v>100</v>
      </c>
      <c r="AM45" s="1351">
        <v>1</v>
      </c>
      <c r="AN45" s="1353"/>
      <c r="AO45" s="1355" t="s">
        <v>100</v>
      </c>
      <c r="AP45" s="1351"/>
      <c r="AQ45" s="1353"/>
      <c r="AR45" s="1355" t="s">
        <v>100</v>
      </c>
      <c r="AS45" s="1351"/>
      <c r="AT45" s="1353"/>
      <c r="AU45" s="1355" t="s">
        <v>100</v>
      </c>
      <c r="AV45" s="1357"/>
      <c r="AW45" s="1359">
        <f>(AH45*AJ45)+(AK45*AM45)+(AN45*AP45)+(AQ45*AS45)+(AT45+AV45)</f>
        <v>111</v>
      </c>
      <c r="AX45" s="1345" t="s">
        <v>27</v>
      </c>
      <c r="AY45" s="1347">
        <f>AJ45+AM45+AP45+AS45+AV45</f>
        <v>22</v>
      </c>
      <c r="AZ45" s="1349" t="s">
        <v>650</v>
      </c>
      <c r="BA45" s="62"/>
      <c r="BB45" s="68"/>
      <c r="BC45" s="63"/>
      <c r="BD45" s="63"/>
      <c r="BE45" s="63"/>
      <c r="BF45" s="63"/>
      <c r="BG45" s="62"/>
      <c r="BH45" s="62"/>
      <c r="BI45" s="62"/>
      <c r="BJ45" s="62"/>
      <c r="BK45" s="62"/>
      <c r="BL45" s="62"/>
      <c r="BM45" s="62"/>
      <c r="BN45" s="62"/>
      <c r="BO45" s="62"/>
      <c r="BP45" s="62"/>
      <c r="BQ45" s="62"/>
      <c r="BR45" s="62"/>
      <c r="BS45" s="62"/>
      <c r="BT45" s="62"/>
      <c r="BU45" s="62"/>
      <c r="BV45" s="62"/>
      <c r="BW45" s="62"/>
      <c r="BX45" s="62"/>
      <c r="BY45" s="62"/>
      <c r="BZ45" s="62"/>
      <c r="CA45" s="62"/>
    </row>
    <row r="46" spans="1:79" ht="13.5" customHeight="1">
      <c r="A46" s="1375"/>
      <c r="B46" s="1377"/>
      <c r="C46" s="1382"/>
      <c r="D46" s="1382"/>
      <c r="E46" s="1382"/>
      <c r="F46" s="1382"/>
      <c r="G46" s="1382"/>
      <c r="H46" s="1354"/>
      <c r="I46" s="1356"/>
      <c r="J46" s="1352"/>
      <c r="K46" s="1354"/>
      <c r="L46" s="1356"/>
      <c r="M46" s="1352"/>
      <c r="N46" s="1354"/>
      <c r="O46" s="1356"/>
      <c r="P46" s="1352"/>
      <c r="Q46" s="1354"/>
      <c r="R46" s="1356"/>
      <c r="S46" s="1352"/>
      <c r="T46" s="1354"/>
      <c r="U46" s="1356"/>
      <c r="V46" s="1358"/>
      <c r="W46" s="1385"/>
      <c r="X46" s="1361"/>
      <c r="Y46" s="1361"/>
      <c r="Z46" s="1363"/>
      <c r="AA46" s="1375"/>
      <c r="AB46" s="1377"/>
      <c r="AC46" s="1379"/>
      <c r="AD46" s="1380"/>
      <c r="AE46" s="1380"/>
      <c r="AF46" s="1380"/>
      <c r="AG46" s="1381"/>
      <c r="AH46" s="1354"/>
      <c r="AI46" s="1356"/>
      <c r="AJ46" s="1352"/>
      <c r="AK46" s="1354"/>
      <c r="AL46" s="1356"/>
      <c r="AM46" s="1352"/>
      <c r="AN46" s="1354"/>
      <c r="AO46" s="1356"/>
      <c r="AP46" s="1352"/>
      <c r="AQ46" s="1354"/>
      <c r="AR46" s="1356"/>
      <c r="AS46" s="1352"/>
      <c r="AT46" s="1354"/>
      <c r="AU46" s="1356"/>
      <c r="AV46" s="1358"/>
      <c r="AW46" s="1360"/>
      <c r="AX46" s="1361"/>
      <c r="AY46" s="1362"/>
      <c r="AZ46" s="1363"/>
      <c r="BA46" s="62"/>
      <c r="BB46" s="68"/>
      <c r="BC46" s="64"/>
      <c r="BD46" s="63"/>
      <c r="BE46" s="63"/>
      <c r="BF46" s="63"/>
      <c r="BG46" s="62"/>
      <c r="BH46" s="62"/>
      <c r="BI46" s="62"/>
      <c r="BJ46" s="62"/>
      <c r="BK46" s="62"/>
      <c r="BL46" s="62"/>
      <c r="BM46" s="62"/>
      <c r="BN46" s="62"/>
      <c r="BO46" s="62"/>
      <c r="BP46" s="62"/>
      <c r="BQ46" s="62"/>
      <c r="BR46" s="62"/>
      <c r="BS46" s="62"/>
      <c r="BT46" s="62"/>
      <c r="BU46" s="62"/>
      <c r="BV46" s="62"/>
      <c r="BW46" s="62"/>
      <c r="BX46" s="62"/>
      <c r="BY46" s="62"/>
      <c r="BZ46" s="62"/>
      <c r="CA46" s="62"/>
    </row>
    <row r="47" spans="1:79" ht="13.5" customHeight="1">
      <c r="A47" s="1368"/>
      <c r="B47" s="1370" t="s">
        <v>11</v>
      </c>
      <c r="C47" s="1382"/>
      <c r="D47" s="1382"/>
      <c r="E47" s="1382"/>
      <c r="F47" s="1382"/>
      <c r="G47" s="1382"/>
      <c r="H47" s="1366"/>
      <c r="I47" s="1341" t="s">
        <v>100</v>
      </c>
      <c r="J47" s="1364"/>
      <c r="K47" s="1366"/>
      <c r="L47" s="1341" t="s">
        <v>100</v>
      </c>
      <c r="M47" s="1364"/>
      <c r="N47" s="1366"/>
      <c r="O47" s="1341" t="s">
        <v>100</v>
      </c>
      <c r="P47" s="1364"/>
      <c r="Q47" s="1366"/>
      <c r="R47" s="1341" t="s">
        <v>100</v>
      </c>
      <c r="S47" s="1364"/>
      <c r="T47" s="1366"/>
      <c r="U47" s="1341" t="s">
        <v>100</v>
      </c>
      <c r="V47" s="1343"/>
      <c r="W47" s="1386">
        <f>H47*J47+K47*M47+N47*P47+Q47*S47+T47*V47</f>
        <v>0</v>
      </c>
      <c r="X47" s="1345" t="s">
        <v>27</v>
      </c>
      <c r="Y47" s="1345">
        <f>J47+M47+P47+S47+V47</f>
        <v>0</v>
      </c>
      <c r="Z47" s="1349" t="s">
        <v>650</v>
      </c>
      <c r="AA47" s="1368"/>
      <c r="AB47" s="1370" t="s">
        <v>11</v>
      </c>
      <c r="AC47" s="1366"/>
      <c r="AD47" s="1372"/>
      <c r="AE47" s="1372"/>
      <c r="AF47" s="1372"/>
      <c r="AG47" s="1364"/>
      <c r="AH47" s="1366"/>
      <c r="AI47" s="1341" t="s">
        <v>100</v>
      </c>
      <c r="AJ47" s="1364"/>
      <c r="AK47" s="1366"/>
      <c r="AL47" s="1341" t="s">
        <v>100</v>
      </c>
      <c r="AM47" s="1364"/>
      <c r="AN47" s="1366"/>
      <c r="AO47" s="1341" t="s">
        <v>100</v>
      </c>
      <c r="AP47" s="1364"/>
      <c r="AQ47" s="1366"/>
      <c r="AR47" s="1341" t="s">
        <v>100</v>
      </c>
      <c r="AS47" s="1364"/>
      <c r="AT47" s="1366"/>
      <c r="AU47" s="1341" t="s">
        <v>100</v>
      </c>
      <c r="AV47" s="1343"/>
      <c r="AW47" s="1345">
        <f>AH47+AK47+AN47+AQ47+AT47</f>
        <v>0</v>
      </c>
      <c r="AX47" s="1345" t="s">
        <v>27</v>
      </c>
      <c r="AY47" s="1347">
        <f>AJ47+AM47+AP47+AS47+AV47</f>
        <v>0</v>
      </c>
      <c r="AZ47" s="1349" t="s">
        <v>650</v>
      </c>
      <c r="BA47" s="62"/>
      <c r="BB47" s="64"/>
      <c r="BC47" s="64"/>
      <c r="BD47" s="63"/>
      <c r="BE47" s="63"/>
      <c r="BF47" s="63"/>
      <c r="BG47" s="62"/>
      <c r="BH47" s="62"/>
      <c r="BI47" s="62"/>
      <c r="BJ47" s="62"/>
      <c r="BK47" s="62"/>
      <c r="BL47" s="62"/>
      <c r="BM47" s="62"/>
      <c r="BN47" s="62"/>
      <c r="BO47" s="62"/>
      <c r="BP47" s="62"/>
      <c r="BQ47" s="62"/>
      <c r="BR47" s="62"/>
      <c r="BS47" s="62"/>
      <c r="BT47" s="62"/>
      <c r="BU47" s="62"/>
      <c r="BV47" s="62"/>
      <c r="BW47" s="62"/>
      <c r="BX47" s="62"/>
      <c r="BY47" s="62"/>
      <c r="BZ47" s="62"/>
      <c r="CA47" s="62"/>
    </row>
    <row r="48" spans="1:79" ht="13.5" customHeight="1" thickBot="1">
      <c r="A48" s="1369"/>
      <c r="B48" s="1371"/>
      <c r="C48" s="1383"/>
      <c r="D48" s="1383"/>
      <c r="E48" s="1383"/>
      <c r="F48" s="1383"/>
      <c r="G48" s="1383"/>
      <c r="H48" s="1367"/>
      <c r="I48" s="1342"/>
      <c r="J48" s="1365"/>
      <c r="K48" s="1367"/>
      <c r="L48" s="1342"/>
      <c r="M48" s="1365"/>
      <c r="N48" s="1367"/>
      <c r="O48" s="1342"/>
      <c r="P48" s="1365"/>
      <c r="Q48" s="1367"/>
      <c r="R48" s="1342"/>
      <c r="S48" s="1365"/>
      <c r="T48" s="1367"/>
      <c r="U48" s="1342"/>
      <c r="V48" s="1344"/>
      <c r="W48" s="1387"/>
      <c r="X48" s="1346"/>
      <c r="Y48" s="1346"/>
      <c r="Z48" s="1350"/>
      <c r="AA48" s="1369"/>
      <c r="AB48" s="1371"/>
      <c r="AC48" s="1367"/>
      <c r="AD48" s="1373"/>
      <c r="AE48" s="1373"/>
      <c r="AF48" s="1373"/>
      <c r="AG48" s="1365"/>
      <c r="AH48" s="1367"/>
      <c r="AI48" s="1342"/>
      <c r="AJ48" s="1365"/>
      <c r="AK48" s="1367"/>
      <c r="AL48" s="1342"/>
      <c r="AM48" s="1365"/>
      <c r="AN48" s="1367"/>
      <c r="AO48" s="1342"/>
      <c r="AP48" s="1365"/>
      <c r="AQ48" s="1367"/>
      <c r="AR48" s="1342"/>
      <c r="AS48" s="1365"/>
      <c r="AT48" s="1367"/>
      <c r="AU48" s="1342"/>
      <c r="AV48" s="1344"/>
      <c r="AW48" s="1346"/>
      <c r="AX48" s="1346"/>
      <c r="AY48" s="1348"/>
      <c r="AZ48" s="1350"/>
      <c r="BA48" s="62"/>
      <c r="BB48" s="69" t="s">
        <v>238</v>
      </c>
      <c r="BC48" s="69" t="s">
        <v>254</v>
      </c>
      <c r="BD48" s="65" t="s">
        <v>255</v>
      </c>
      <c r="BE48" s="63"/>
      <c r="BF48" s="63"/>
      <c r="BG48" s="62"/>
      <c r="BH48" s="62"/>
      <c r="BI48" s="62"/>
      <c r="BJ48" s="62"/>
      <c r="BK48" s="62"/>
      <c r="BL48" s="62"/>
      <c r="BM48" s="62"/>
      <c r="BN48" s="62"/>
      <c r="BO48" s="62"/>
      <c r="BP48" s="62"/>
      <c r="BQ48" s="62"/>
      <c r="BR48" s="62"/>
      <c r="BS48" s="62"/>
      <c r="BT48" s="62"/>
      <c r="BU48" s="62"/>
      <c r="BV48" s="62"/>
      <c r="BW48" s="62"/>
      <c r="BX48" s="62"/>
      <c r="BY48" s="62"/>
      <c r="BZ48" s="62"/>
      <c r="CA48" s="62"/>
    </row>
    <row r="49" spans="1:79" ht="20.100000000000001" customHeight="1">
      <c r="A49" s="1331" t="s">
        <v>893</v>
      </c>
      <c r="B49" s="1331"/>
      <c r="C49" s="1331"/>
      <c r="D49" s="1331"/>
      <c r="E49" s="1331"/>
      <c r="F49" s="1331"/>
      <c r="G49" s="1331"/>
      <c r="H49" s="1331"/>
      <c r="I49" s="1331"/>
      <c r="J49" s="1331"/>
      <c r="K49" s="1331"/>
      <c r="L49" s="1331"/>
      <c r="M49" s="1331"/>
      <c r="N49" s="1331"/>
      <c r="O49" s="1331"/>
      <c r="P49" s="1331"/>
      <c r="Q49" s="1331"/>
      <c r="R49" s="1331"/>
      <c r="S49" s="1331"/>
      <c r="T49" s="1331"/>
      <c r="U49" s="1331"/>
      <c r="V49" s="1331"/>
      <c r="W49" s="1331"/>
      <c r="X49" s="1331"/>
      <c r="Y49" s="1331"/>
      <c r="Z49" s="1331"/>
      <c r="AA49" s="1331" t="s">
        <v>893</v>
      </c>
      <c r="AB49" s="1331"/>
      <c r="AC49" s="1331"/>
      <c r="AD49" s="1331"/>
      <c r="AE49" s="1331"/>
      <c r="AF49" s="1331"/>
      <c r="AG49" s="1331"/>
      <c r="AH49" s="1331"/>
      <c r="AI49" s="1331"/>
      <c r="AJ49" s="1331"/>
      <c r="AK49" s="1331"/>
      <c r="AL49" s="1331"/>
      <c r="AM49" s="1331"/>
      <c r="AN49" s="1331"/>
      <c r="AO49" s="1331"/>
      <c r="AP49" s="1331"/>
      <c r="AQ49" s="1331"/>
      <c r="AR49" s="1331"/>
      <c r="AS49" s="1331"/>
      <c r="AT49" s="1331"/>
      <c r="AU49" s="1331"/>
      <c r="AV49" s="1331"/>
      <c r="AW49" s="1331"/>
      <c r="AX49" s="1331"/>
      <c r="AY49" s="1331"/>
      <c r="AZ49" s="1331"/>
      <c r="BA49" s="62"/>
      <c r="BB49" s="69">
        <f>K49*M49+N49*P49+Q49*S49+T49*V49</f>
        <v>0</v>
      </c>
      <c r="BC49" s="69">
        <f>BJ30</f>
        <v>0</v>
      </c>
      <c r="BD49" s="65">
        <f>Y49</f>
        <v>0</v>
      </c>
      <c r="BE49" s="63"/>
      <c r="BF49" s="63"/>
      <c r="BG49" s="62"/>
      <c r="BH49" s="62"/>
      <c r="BI49" s="62"/>
      <c r="BJ49" s="62"/>
      <c r="BK49" s="62"/>
      <c r="BL49" s="62"/>
      <c r="BM49" s="62"/>
      <c r="BN49" s="62"/>
      <c r="BO49" s="62"/>
      <c r="BP49" s="62"/>
      <c r="BQ49" s="62"/>
      <c r="BR49" s="62"/>
      <c r="BS49" s="62"/>
      <c r="BT49" s="62"/>
      <c r="BU49" s="62"/>
      <c r="BV49" s="62"/>
      <c r="BW49" s="62"/>
      <c r="BX49" s="62"/>
      <c r="BY49" s="62"/>
      <c r="BZ49" s="62"/>
      <c r="CA49" s="62"/>
    </row>
    <row r="50" spans="1:79" ht="20.100000000000001" customHeight="1">
      <c r="A50" s="280"/>
      <c r="B50" s="281"/>
      <c r="C50" s="280"/>
      <c r="D50" s="280"/>
      <c r="E50" s="280"/>
      <c r="F50" s="280"/>
      <c r="G50" s="280"/>
      <c r="H50" s="280"/>
      <c r="I50" s="280"/>
      <c r="J50" s="280"/>
      <c r="K50" s="282"/>
      <c r="L50" s="281"/>
      <c r="M50" s="282"/>
      <c r="N50" s="282"/>
      <c r="O50" s="281"/>
      <c r="P50" s="282"/>
      <c r="Q50" s="282"/>
      <c r="R50" s="281"/>
      <c r="S50" s="282"/>
      <c r="T50" s="282"/>
      <c r="U50" s="281"/>
      <c r="V50" s="282"/>
      <c r="W50" s="283"/>
      <c r="X50" s="281"/>
      <c r="Y50" s="283"/>
      <c r="Z50" s="281"/>
      <c r="AA50" s="284"/>
      <c r="AB50" s="277"/>
      <c r="AC50" s="287"/>
      <c r="AD50" s="287"/>
      <c r="AE50" s="287"/>
      <c r="AF50" s="618"/>
      <c r="AG50" s="618"/>
      <c r="AH50" s="618"/>
      <c r="AI50" s="618"/>
      <c r="AJ50" s="617"/>
      <c r="AK50" s="617"/>
      <c r="AL50" s="617"/>
      <c r="AM50" s="617"/>
      <c r="AN50" s="618"/>
      <c r="AO50" s="618"/>
      <c r="AP50" s="286"/>
      <c r="AQ50" s="284"/>
      <c r="AR50" s="285"/>
      <c r="AS50" s="286"/>
      <c r="AT50" s="284"/>
      <c r="AU50" s="285"/>
      <c r="AV50" s="286"/>
      <c r="AW50" s="283"/>
      <c r="AX50" s="277"/>
      <c r="AY50" s="283"/>
      <c r="AZ50" s="277"/>
      <c r="BA50" s="62"/>
      <c r="BB50" s="69">
        <f>K50*M50+N50*P50+Q50*S50+T50*V50</f>
        <v>0</v>
      </c>
      <c r="BC50" s="69">
        <f>BJ31</f>
        <v>0</v>
      </c>
      <c r="BD50" s="65"/>
      <c r="BE50" s="63"/>
      <c r="BF50" s="63"/>
      <c r="BG50" s="62"/>
      <c r="BH50" s="62"/>
      <c r="BI50" s="62"/>
      <c r="BJ50" s="62"/>
      <c r="BK50" s="62"/>
      <c r="BL50" s="62"/>
      <c r="BM50" s="62"/>
      <c r="BN50" s="62"/>
      <c r="BO50" s="62"/>
      <c r="BP50" s="62"/>
      <c r="BQ50" s="62"/>
      <c r="BR50" s="62"/>
      <c r="BS50" s="62"/>
      <c r="BT50" s="62"/>
      <c r="BU50" s="62"/>
      <c r="BV50" s="62"/>
      <c r="BW50" s="62"/>
      <c r="BX50" s="62"/>
      <c r="BY50" s="62"/>
      <c r="BZ50" s="62"/>
      <c r="CA50" s="62"/>
    </row>
    <row r="51" spans="1:79" ht="20.100000000000001" hidden="1" customHeight="1" thickBot="1">
      <c r="A51" s="280"/>
      <c r="B51" s="281"/>
      <c r="C51" s="619"/>
      <c r="D51" s="280"/>
      <c r="E51" s="280"/>
      <c r="F51" s="280"/>
      <c r="G51" s="280"/>
      <c r="H51" s="280"/>
      <c r="I51" s="280"/>
      <c r="J51" s="280"/>
      <c r="K51" s="282"/>
      <c r="L51" s="281"/>
      <c r="M51" s="282"/>
      <c r="N51" s="282"/>
      <c r="O51" s="281"/>
      <c r="P51" s="282"/>
      <c r="Q51" s="282"/>
      <c r="R51" s="281"/>
      <c r="S51" s="282"/>
      <c r="T51" s="282"/>
      <c r="U51" s="281"/>
      <c r="V51" s="282"/>
      <c r="W51" s="283"/>
      <c r="X51" s="281"/>
      <c r="Y51" s="283"/>
      <c r="Z51" s="281"/>
      <c r="AA51" s="284"/>
      <c r="AB51" s="277"/>
      <c r="AC51" s="287"/>
      <c r="AD51" s="287"/>
      <c r="AE51" s="287"/>
      <c r="AF51" s="1412"/>
      <c r="AG51" s="1412"/>
      <c r="AH51" s="1412"/>
      <c r="AI51" s="1412"/>
      <c r="AJ51" s="1399"/>
      <c r="AK51" s="1399"/>
      <c r="AL51" s="1399"/>
      <c r="AM51" s="1399"/>
      <c r="AN51" s="1412"/>
      <c r="AO51" s="1412"/>
      <c r="AP51" s="286"/>
      <c r="AQ51" s="284"/>
      <c r="AR51" s="285"/>
      <c r="AS51" s="286"/>
      <c r="AT51" s="284"/>
      <c r="AU51" s="285"/>
      <c r="AV51" s="286"/>
      <c r="AW51" s="283"/>
      <c r="AX51" s="277"/>
      <c r="AY51" s="283"/>
      <c r="AZ51" s="277"/>
      <c r="BA51" s="62"/>
      <c r="BB51" s="69">
        <f>K51*M51+N51*P51+Q51*S51+T51*V51</f>
        <v>0</v>
      </c>
      <c r="BC51" s="69">
        <f>BJ32</f>
        <v>0</v>
      </c>
      <c r="BD51" s="65"/>
      <c r="BE51" s="63"/>
      <c r="BF51" s="63"/>
      <c r="BG51" s="62"/>
      <c r="BH51" s="62"/>
      <c r="BI51" s="62"/>
      <c r="BJ51" s="62"/>
      <c r="BK51" s="62"/>
      <c r="BL51" s="62"/>
      <c r="BM51" s="62"/>
      <c r="BN51" s="62"/>
      <c r="BO51" s="62"/>
      <c r="BP51" s="62"/>
      <c r="BQ51" s="62"/>
      <c r="BR51" s="62"/>
      <c r="BS51" s="62"/>
      <c r="BT51" s="62"/>
      <c r="BU51" s="62"/>
      <c r="BV51" s="62"/>
      <c r="BW51" s="62"/>
      <c r="BX51" s="62"/>
      <c r="BY51" s="62"/>
      <c r="BZ51" s="62"/>
      <c r="CA51" s="62"/>
    </row>
    <row r="52" spans="1:79" ht="20.100000000000001" hidden="1" customHeight="1" thickBot="1">
      <c r="A52" s="280"/>
      <c r="B52" s="281"/>
      <c r="C52" s="41" t="s">
        <v>963</v>
      </c>
      <c r="D52" s="619"/>
      <c r="E52" s="619"/>
      <c r="F52" s="619"/>
      <c r="G52" s="619"/>
      <c r="H52" s="280"/>
      <c r="I52" s="280"/>
      <c r="J52" s="280"/>
      <c r="K52" s="282"/>
      <c r="L52" s="281"/>
      <c r="M52" s="282"/>
      <c r="N52" s="282"/>
      <c r="O52" s="281"/>
      <c r="P52" s="282"/>
      <c r="Q52" s="282"/>
      <c r="R52" s="281"/>
      <c r="S52" s="282"/>
      <c r="T52" s="282"/>
      <c r="U52" s="281"/>
      <c r="V52" s="282"/>
      <c r="W52" s="283"/>
      <c r="X52" s="281"/>
      <c r="Y52" s="283"/>
      <c r="Z52" s="281"/>
      <c r="AA52" s="284"/>
      <c r="AB52" s="277"/>
      <c r="AC52" s="287"/>
      <c r="AD52" s="287"/>
      <c r="AE52" s="287"/>
      <c r="AF52" s="1412"/>
      <c r="AG52" s="1412"/>
      <c r="AH52" s="1412"/>
      <c r="AI52" s="1412"/>
      <c r="AJ52" s="1399"/>
      <c r="AK52" s="1399"/>
      <c r="AL52" s="1399"/>
      <c r="AM52" s="1399"/>
      <c r="AN52" s="1412"/>
      <c r="AO52" s="1412"/>
      <c r="AP52" s="286"/>
      <c r="AQ52" s="284"/>
      <c r="AR52" s="285"/>
      <c r="AS52" s="286"/>
      <c r="AT52" s="284"/>
      <c r="AU52" s="285"/>
      <c r="AV52" s="286"/>
      <c r="AW52" s="283"/>
      <c r="AX52" s="277"/>
      <c r="AY52" s="283"/>
      <c r="AZ52" s="277"/>
      <c r="BA52" s="62"/>
      <c r="BB52" s="69">
        <f>K52*M52+N52*P52+Q52*S52+T52*V52</f>
        <v>0</v>
      </c>
      <c r="BC52" s="69">
        <f>BJ33</f>
        <v>0</v>
      </c>
      <c r="BD52" s="65"/>
      <c r="BE52" s="63"/>
      <c r="BF52" s="63"/>
      <c r="BG52" s="486" t="s">
        <v>240</v>
      </c>
      <c r="BH52" s="62"/>
      <c r="BI52" s="62"/>
      <c r="BJ52" s="62"/>
      <c r="BK52" s="62"/>
      <c r="BL52" s="62"/>
      <c r="BM52" s="62"/>
      <c r="BN52" s="62"/>
      <c r="BO52" s="62"/>
      <c r="BP52" s="62"/>
      <c r="BQ52" s="62"/>
      <c r="BR52" s="62"/>
      <c r="BS52" s="62"/>
      <c r="BT52" s="62"/>
      <c r="BU52" s="62"/>
      <c r="BV52" s="62"/>
      <c r="BW52" s="62"/>
      <c r="BX52" s="62"/>
      <c r="BY52" s="62"/>
      <c r="BZ52" s="62"/>
      <c r="CA52" s="62"/>
    </row>
    <row r="53" spans="1:79" ht="20.100000000000001" hidden="1" customHeight="1">
      <c r="A53" s="280"/>
      <c r="B53" s="281"/>
      <c r="C53" s="50" t="s">
        <v>964</v>
      </c>
      <c r="D53" s="619"/>
      <c r="E53" s="619"/>
      <c r="F53" s="619"/>
      <c r="G53" s="619"/>
      <c r="H53" s="280"/>
      <c r="I53" s="280"/>
      <c r="J53" s="280"/>
      <c r="K53" s="282"/>
      <c r="L53" s="281"/>
      <c r="M53" s="282"/>
      <c r="N53" s="282"/>
      <c r="O53" s="281"/>
      <c r="P53" s="282"/>
      <c r="Q53" s="282"/>
      <c r="R53" s="281"/>
      <c r="S53" s="282"/>
      <c r="T53" s="282"/>
      <c r="U53" s="281"/>
      <c r="V53" s="282"/>
      <c r="W53" s="283"/>
      <c r="X53" s="281"/>
      <c r="Y53" s="283"/>
      <c r="Z53" s="281"/>
      <c r="AA53" s="284"/>
      <c r="AB53" s="277"/>
      <c r="AC53" s="287"/>
      <c r="AD53" s="287"/>
      <c r="AE53" s="287"/>
      <c r="AF53" s="1412"/>
      <c r="AG53" s="1412"/>
      <c r="AH53" s="1412"/>
      <c r="AI53" s="1412"/>
      <c r="AJ53" s="1399"/>
      <c r="AK53" s="1399"/>
      <c r="AL53" s="1399"/>
      <c r="AM53" s="1399"/>
      <c r="AN53" s="1412"/>
      <c r="AO53" s="1412"/>
      <c r="AP53" s="286"/>
      <c r="AQ53" s="284"/>
      <c r="AR53" s="285"/>
      <c r="AS53" s="286"/>
      <c r="AT53" s="284"/>
      <c r="AU53" s="285"/>
      <c r="AV53" s="286"/>
      <c r="AW53" s="283"/>
      <c r="AX53" s="277"/>
      <c r="AY53" s="283"/>
      <c r="AZ53" s="277"/>
      <c r="BA53" s="62"/>
      <c r="BB53" s="69">
        <f>K53*M53+N53*P53+Q53*S53+T53*V53</f>
        <v>0</v>
      </c>
      <c r="BC53" s="69">
        <f>BJ34</f>
        <v>0</v>
      </c>
      <c r="BD53" s="65"/>
      <c r="BE53" s="63"/>
      <c r="BF53" s="63"/>
      <c r="BG53" s="487" t="s">
        <v>242</v>
      </c>
      <c r="BH53" s="62"/>
      <c r="BI53" s="62"/>
      <c r="BJ53" s="62"/>
      <c r="BK53" s="62"/>
      <c r="BL53" s="62"/>
      <c r="BM53" s="62"/>
      <c r="BN53" s="62"/>
      <c r="BO53" s="62"/>
      <c r="BP53" s="62"/>
      <c r="BQ53" s="62"/>
      <c r="BR53" s="62"/>
      <c r="BS53" s="62"/>
      <c r="BT53" s="62"/>
      <c r="BU53" s="62"/>
      <c r="BV53" s="62"/>
      <c r="BW53" s="62"/>
      <c r="BX53" s="62"/>
      <c r="BY53" s="62"/>
      <c r="BZ53" s="62"/>
      <c r="CA53" s="62"/>
    </row>
    <row r="54" spans="1:79" ht="15" hidden="1" customHeight="1">
      <c r="A54" s="58" t="b">
        <v>0</v>
      </c>
      <c r="B54" s="58" t="b">
        <v>0</v>
      </c>
      <c r="C54" s="36"/>
      <c r="D54" s="41"/>
      <c r="E54" s="41"/>
      <c r="F54" s="41"/>
      <c r="G54" s="41"/>
      <c r="H54" s="41"/>
      <c r="I54" s="41"/>
      <c r="J54" s="41"/>
      <c r="K54" s="41"/>
      <c r="L54" s="42"/>
      <c r="M54" s="42"/>
      <c r="N54" s="42"/>
      <c r="O54" s="42"/>
      <c r="P54" s="42"/>
      <c r="Q54" s="42"/>
      <c r="R54" s="42"/>
      <c r="S54" s="42"/>
      <c r="T54" s="42"/>
      <c r="U54" s="42"/>
      <c r="V54" s="42"/>
      <c r="W54" s="42"/>
      <c r="X54" s="42"/>
      <c r="Y54" s="42"/>
      <c r="Z54" s="42"/>
      <c r="AA54" s="42"/>
      <c r="AB54" s="42"/>
      <c r="AC54" s="42"/>
      <c r="AD54" s="42"/>
      <c r="AE54" s="42"/>
      <c r="AF54" s="1412"/>
      <c r="AG54" s="1412"/>
      <c r="AH54" s="1412"/>
      <c r="AI54" s="1412"/>
      <c r="AJ54" s="1399"/>
      <c r="AK54" s="1399"/>
      <c r="AL54" s="1399"/>
      <c r="AM54" s="1399"/>
      <c r="AN54" s="1412"/>
      <c r="AO54" s="1412"/>
      <c r="AP54" s="42"/>
      <c r="AQ54" s="42"/>
      <c r="AR54" s="42"/>
      <c r="AS54" s="42"/>
      <c r="AT54" s="42"/>
      <c r="AU54" s="42"/>
      <c r="AV54" s="42"/>
      <c r="AW54" s="42"/>
      <c r="AX54" s="42"/>
      <c r="AY54" s="42"/>
      <c r="AZ54" s="42"/>
      <c r="BA54" s="62"/>
      <c r="BB54" s="64"/>
      <c r="BC54" s="63"/>
      <c r="BD54" s="63"/>
      <c r="BE54" s="63"/>
      <c r="BF54" s="63"/>
      <c r="BG54" s="729" t="s">
        <v>789</v>
      </c>
      <c r="BH54" s="62"/>
      <c r="BI54" s="62"/>
      <c r="BJ54" s="62"/>
      <c r="BK54" s="62"/>
      <c r="BL54" s="62"/>
      <c r="BM54" s="62"/>
      <c r="BN54" s="62"/>
      <c r="BO54" s="62"/>
      <c r="BP54" s="62"/>
      <c r="BQ54" s="62"/>
      <c r="BR54" s="62"/>
      <c r="BS54" s="62"/>
      <c r="BT54" s="62"/>
      <c r="BU54" s="62"/>
      <c r="BV54" s="62"/>
      <c r="BW54" s="62"/>
      <c r="BX54" s="62"/>
      <c r="BY54" s="62"/>
      <c r="BZ54" s="62"/>
      <c r="CA54" s="62"/>
    </row>
    <row r="55" spans="1:79" ht="13.5" hidden="1" customHeight="1">
      <c r="A55" s="58" t="b">
        <v>0</v>
      </c>
      <c r="B55" s="58" t="b">
        <v>0</v>
      </c>
      <c r="C55" s="41"/>
      <c r="D55" s="36"/>
      <c r="E55" s="36"/>
      <c r="F55" s="36"/>
      <c r="G55" s="36"/>
      <c r="H55" s="36"/>
      <c r="I55" s="36"/>
      <c r="J55" s="36"/>
      <c r="K55" s="36"/>
      <c r="L55" s="43"/>
      <c r="M55" s="43"/>
      <c r="N55" s="43"/>
      <c r="O55" s="43"/>
      <c r="P55" s="43"/>
      <c r="Q55" s="43"/>
      <c r="R55" s="43"/>
      <c r="S55" s="43"/>
      <c r="T55" s="43"/>
      <c r="U55" s="43"/>
      <c r="V55" s="43"/>
      <c r="W55" s="43"/>
      <c r="X55" s="43"/>
      <c r="Y55" s="43"/>
      <c r="Z55" s="43"/>
      <c r="AA55" s="43"/>
      <c r="AB55" s="43"/>
      <c r="AC55" s="43"/>
      <c r="AD55" s="43"/>
      <c r="AE55" s="43"/>
      <c r="AF55" s="1398"/>
      <c r="AG55" s="1398"/>
      <c r="AH55" s="1398"/>
      <c r="AI55" s="1398"/>
      <c r="AJ55" s="1399"/>
      <c r="AK55" s="1399"/>
      <c r="AL55" s="1399"/>
      <c r="AM55" s="1399"/>
      <c r="AN55" s="1412"/>
      <c r="AO55" s="1412"/>
      <c r="AP55" s="43"/>
      <c r="AQ55" s="43"/>
      <c r="AR55" s="43"/>
      <c r="AS55" s="43"/>
      <c r="AT55" s="43"/>
      <c r="AU55" s="43"/>
      <c r="AV55" s="43"/>
      <c r="AW55" s="43"/>
      <c r="AX55" s="43"/>
      <c r="AY55" s="43"/>
      <c r="AZ55" s="43"/>
      <c r="BA55" s="62"/>
      <c r="BB55" s="70" t="s">
        <v>239</v>
      </c>
      <c r="BC55" s="63"/>
      <c r="BD55" s="63"/>
      <c r="BE55" s="63"/>
      <c r="BF55" s="63"/>
      <c r="BG55" s="485" t="s">
        <v>759</v>
      </c>
      <c r="BH55" s="62"/>
      <c r="BI55" s="62"/>
      <c r="BJ55" s="62"/>
      <c r="BK55" s="65" t="s">
        <v>241</v>
      </c>
      <c r="BL55" s="63"/>
      <c r="BM55" s="62"/>
      <c r="BN55" s="62"/>
      <c r="BO55" s="62"/>
      <c r="BP55" s="62"/>
      <c r="BQ55" s="62"/>
      <c r="BR55" s="62"/>
      <c r="BS55" s="62"/>
      <c r="BT55" s="62"/>
      <c r="BU55" s="62"/>
      <c r="BV55" s="62"/>
      <c r="BW55" s="62"/>
      <c r="BX55" s="62"/>
      <c r="BY55" s="62"/>
      <c r="BZ55" s="62"/>
      <c r="CA55" s="62"/>
    </row>
    <row r="56" spans="1:79" ht="13.5" hidden="1" customHeight="1">
      <c r="B56" s="949"/>
      <c r="C56" s="948"/>
      <c r="D56" s="949"/>
      <c r="E56" s="949"/>
      <c r="F56" s="949"/>
      <c r="G56" s="949"/>
      <c r="H56" s="949"/>
      <c r="I56" s="949"/>
      <c r="J56" s="949"/>
      <c r="K56" s="37"/>
      <c r="AA56" s="44"/>
      <c r="AB56" s="44"/>
      <c r="AC56" s="44"/>
      <c r="AD56" s="44"/>
      <c r="AE56" s="44"/>
      <c r="AF56" s="1398"/>
      <c r="AG56" s="1398"/>
      <c r="AH56" s="1398"/>
      <c r="AI56" s="1398"/>
      <c r="AJ56" s="1399"/>
      <c r="AK56" s="1399"/>
      <c r="AL56" s="1399"/>
      <c r="AM56" s="1399"/>
      <c r="AN56" s="1412"/>
      <c r="AO56" s="1412"/>
      <c r="BA56" s="62"/>
      <c r="BB56" s="69"/>
      <c r="BC56" s="63"/>
      <c r="BD56" s="63"/>
      <c r="BE56" s="63"/>
      <c r="BF56" s="63"/>
      <c r="BG56" s="485" t="s">
        <v>760</v>
      </c>
      <c r="BH56" s="62"/>
      <c r="BI56" s="62"/>
      <c r="BJ56" s="62"/>
      <c r="BK56" s="35"/>
      <c r="BL56" s="71">
        <v>1</v>
      </c>
      <c r="BM56" s="300">
        <v>0</v>
      </c>
      <c r="BN56" s="62"/>
      <c r="BO56" s="62"/>
      <c r="BP56" s="62"/>
      <c r="BQ56" s="62"/>
      <c r="BR56" s="62"/>
      <c r="BS56" s="62"/>
      <c r="BT56" s="62"/>
      <c r="BU56" s="62"/>
      <c r="BV56" s="62"/>
      <c r="BW56" s="62"/>
      <c r="BX56" s="62"/>
      <c r="BY56" s="62"/>
      <c r="BZ56" s="62"/>
      <c r="CA56" s="62"/>
    </row>
    <row r="57" spans="1:79" ht="13.5" hidden="1" customHeight="1">
      <c r="A57" s="38"/>
      <c r="B57" s="37"/>
      <c r="C57" s="37"/>
      <c r="D57" s="37"/>
      <c r="E57" s="37"/>
      <c r="F57" s="37"/>
      <c r="G57" s="37"/>
      <c r="H57" s="37"/>
      <c r="I57" s="37"/>
      <c r="J57" s="37"/>
      <c r="K57" s="37"/>
      <c r="AA57" s="45"/>
      <c r="AF57" s="3"/>
      <c r="AG57" s="3"/>
      <c r="AH57" s="3"/>
      <c r="AI57" s="3"/>
      <c r="AJ57" s="3"/>
      <c r="BA57" s="62"/>
      <c r="BB57" s="69"/>
      <c r="BC57" s="63"/>
      <c r="BD57" s="63"/>
      <c r="BE57" s="63"/>
      <c r="BF57" s="63"/>
      <c r="BG57" s="485" t="s">
        <v>761</v>
      </c>
      <c r="BH57" s="62"/>
      <c r="BI57" s="62"/>
      <c r="BJ57" s="62"/>
      <c r="BK57" s="72" t="s">
        <v>249</v>
      </c>
      <c r="BL57" s="71">
        <f>BL56+1</f>
        <v>2</v>
      </c>
      <c r="BM57" s="62">
        <v>15</v>
      </c>
      <c r="BN57" s="62"/>
      <c r="BO57" s="62"/>
      <c r="BP57" s="62"/>
      <c r="BQ57" s="62"/>
      <c r="BR57" s="62"/>
      <c r="BS57" s="62"/>
      <c r="BT57" s="62"/>
      <c r="BU57" s="62"/>
      <c r="BV57" s="62"/>
      <c r="BW57" s="62"/>
      <c r="BX57" s="62"/>
      <c r="BY57" s="62"/>
      <c r="BZ57" s="62"/>
      <c r="CA57" s="62"/>
    </row>
    <row r="58" spans="1:79" ht="13.5" hidden="1" customHeight="1">
      <c r="A58" s="39"/>
      <c r="B58" s="37"/>
      <c r="C58" s="37"/>
      <c r="D58" s="37"/>
      <c r="E58" s="40"/>
      <c r="F58" s="37"/>
      <c r="G58" s="37"/>
      <c r="H58" s="37"/>
      <c r="I58" s="37"/>
      <c r="J58" s="37"/>
      <c r="K58" s="37"/>
      <c r="AA58" s="46"/>
      <c r="AE58" s="47"/>
      <c r="AF58" s="3"/>
      <c r="AG58" s="3"/>
      <c r="AH58" s="3"/>
      <c r="AI58" s="3"/>
      <c r="AJ58" s="3"/>
      <c r="BA58" s="62"/>
      <c r="BB58" s="69"/>
      <c r="BC58" s="63"/>
      <c r="BD58" s="63"/>
      <c r="BE58" s="63"/>
      <c r="BF58" s="63"/>
      <c r="BG58" s="485" t="s">
        <v>762</v>
      </c>
      <c r="BI58" s="62"/>
      <c r="BJ58" s="62"/>
      <c r="BK58" s="72" t="s">
        <v>250</v>
      </c>
      <c r="BL58" s="71">
        <f t="shared" ref="BL58:BL86" si="10">BL57+1</f>
        <v>3</v>
      </c>
      <c r="BM58" s="62">
        <v>30</v>
      </c>
      <c r="BN58" s="62"/>
      <c r="BO58" s="62"/>
      <c r="BP58" s="62"/>
      <c r="BQ58" s="62"/>
      <c r="BR58" s="62"/>
      <c r="BS58" s="62"/>
      <c r="BT58" s="62"/>
      <c r="BU58" s="62"/>
      <c r="BV58" s="62"/>
      <c r="BW58" s="62"/>
      <c r="BX58" s="62"/>
      <c r="BY58" s="62"/>
      <c r="BZ58" s="62"/>
      <c r="CA58" s="62"/>
    </row>
    <row r="59" spans="1:79" ht="13.5" hidden="1" customHeight="1">
      <c r="A59" s="39"/>
      <c r="B59" s="37"/>
      <c r="C59" s="37"/>
      <c r="D59" s="37"/>
      <c r="E59" s="37"/>
      <c r="F59" s="37"/>
      <c r="G59" s="37"/>
      <c r="H59" s="37"/>
      <c r="I59" s="37">
        <f>$K$11</f>
        <v>0</v>
      </c>
      <c r="J59" s="37"/>
      <c r="K59" s="37"/>
      <c r="AA59" s="46"/>
      <c r="AF59" s="3"/>
      <c r="AG59" s="3"/>
      <c r="AH59" s="3"/>
      <c r="AI59" s="3"/>
      <c r="AJ59" s="3"/>
      <c r="BA59" s="62"/>
      <c r="BB59" s="69"/>
      <c r="BC59" s="63"/>
      <c r="BD59" s="63"/>
      <c r="BE59" s="63"/>
      <c r="BF59" s="63"/>
      <c r="BG59" s="485" t="s">
        <v>792</v>
      </c>
      <c r="BI59" s="62"/>
      <c r="BJ59" s="62"/>
      <c r="BK59" s="72" t="s">
        <v>251</v>
      </c>
      <c r="BL59" s="65">
        <f t="shared" si="10"/>
        <v>4</v>
      </c>
      <c r="BM59" s="62">
        <v>45</v>
      </c>
      <c r="BN59" s="62"/>
      <c r="BO59" s="62"/>
      <c r="BP59" s="62"/>
      <c r="BQ59" s="62"/>
      <c r="BR59" s="62"/>
      <c r="BS59" s="62"/>
      <c r="BT59" s="62"/>
      <c r="BU59" s="62"/>
      <c r="BV59" s="62"/>
      <c r="BW59" s="62"/>
      <c r="BX59" s="62"/>
      <c r="BY59" s="62"/>
      <c r="BZ59" s="62"/>
      <c r="CA59" s="62"/>
    </row>
    <row r="60" spans="1:79" ht="13.5" hidden="1" customHeight="1">
      <c r="A60" s="39"/>
      <c r="B60" s="37"/>
      <c r="C60" s="37"/>
      <c r="D60" s="37"/>
      <c r="E60" s="37"/>
      <c r="F60" s="37"/>
      <c r="G60" s="37"/>
      <c r="H60" s="37"/>
      <c r="I60" s="37"/>
      <c r="J60" s="37"/>
      <c r="K60" s="37"/>
      <c r="AA60" s="46"/>
      <c r="AF60" s="3"/>
      <c r="AG60" s="3"/>
      <c r="AH60" s="3"/>
      <c r="AI60" s="3"/>
      <c r="AJ60" s="3"/>
      <c r="BA60" s="62"/>
      <c r="BB60" s="70"/>
      <c r="BC60" s="63"/>
      <c r="BD60" s="63"/>
      <c r="BE60" s="63"/>
      <c r="BF60" s="63"/>
      <c r="BG60" s="485" t="s">
        <v>793</v>
      </c>
      <c r="BI60" s="62"/>
      <c r="BJ60" s="62"/>
      <c r="BK60" s="63"/>
      <c r="BL60" s="65">
        <f t="shared" si="10"/>
        <v>5</v>
      </c>
      <c r="BM60" s="62"/>
      <c r="BN60" s="62"/>
      <c r="BO60" s="62"/>
      <c r="BP60" s="62"/>
      <c r="BQ60" s="62"/>
      <c r="BR60" s="62"/>
      <c r="BS60" s="62"/>
      <c r="BT60" s="62"/>
      <c r="BU60" s="62"/>
      <c r="BV60" s="62"/>
      <c r="BW60" s="62"/>
      <c r="BX60" s="62"/>
      <c r="BY60" s="62"/>
      <c r="BZ60" s="62"/>
      <c r="CA60" s="62"/>
    </row>
    <row r="61" spans="1:79" ht="27">
      <c r="A61" s="46"/>
      <c r="AA61" s="46"/>
      <c r="AF61" s="3"/>
      <c r="AG61" s="3"/>
      <c r="AH61" s="3"/>
      <c r="AI61" s="3"/>
      <c r="AJ61" s="3"/>
      <c r="BA61" s="62"/>
      <c r="BB61" s="69"/>
      <c r="BC61" s="63"/>
      <c r="BD61" s="63"/>
      <c r="BE61" s="63"/>
      <c r="BF61" s="63"/>
      <c r="BG61" s="730" t="s">
        <v>874</v>
      </c>
      <c r="BI61" s="62"/>
      <c r="BJ61" s="62"/>
      <c r="BK61" s="63"/>
      <c r="BL61" s="65">
        <f t="shared" si="10"/>
        <v>6</v>
      </c>
      <c r="BM61" s="62"/>
      <c r="BN61" s="62"/>
      <c r="BO61" s="62"/>
      <c r="BP61" s="62"/>
      <c r="BQ61" s="62"/>
      <c r="BR61" s="62"/>
      <c r="BS61" s="62"/>
      <c r="BT61" s="62"/>
      <c r="BU61" s="62"/>
      <c r="BV61" s="62"/>
      <c r="BW61" s="62"/>
      <c r="BX61" s="62"/>
      <c r="BY61" s="62"/>
      <c r="BZ61" s="62"/>
      <c r="CA61" s="62"/>
    </row>
    <row r="62" spans="1:79" ht="27">
      <c r="A62" s="46"/>
      <c r="AA62" s="46"/>
      <c r="AF62" s="3"/>
      <c r="AG62" s="3"/>
      <c r="AH62" s="3"/>
      <c r="AI62" s="3"/>
      <c r="AJ62" s="3"/>
      <c r="BA62" s="62"/>
      <c r="BB62" s="69"/>
      <c r="BC62" s="63"/>
      <c r="BD62" s="63"/>
      <c r="BE62" s="63"/>
      <c r="BF62" s="63"/>
      <c r="BG62" s="730" t="s">
        <v>875</v>
      </c>
      <c r="BI62" s="62"/>
      <c r="BJ62" s="62"/>
      <c r="BK62" s="63"/>
      <c r="BL62" s="65">
        <f t="shared" si="10"/>
        <v>7</v>
      </c>
      <c r="BM62" s="62"/>
      <c r="BN62" s="62"/>
      <c r="BO62" s="62"/>
      <c r="BP62" s="62"/>
      <c r="BQ62" s="62"/>
      <c r="BR62" s="62"/>
      <c r="BS62" s="62"/>
      <c r="BT62" s="62"/>
      <c r="BU62" s="62"/>
      <c r="BV62" s="62"/>
      <c r="BW62" s="62"/>
      <c r="BX62" s="62"/>
      <c r="BY62" s="62"/>
      <c r="BZ62" s="62"/>
      <c r="CA62" s="62"/>
    </row>
    <row r="63" spans="1:79" ht="27.75" thickBot="1">
      <c r="A63" s="46"/>
      <c r="AA63" s="46"/>
      <c r="AF63" s="3"/>
      <c r="AG63" s="3"/>
      <c r="AH63" s="3"/>
      <c r="AI63" s="3"/>
      <c r="AJ63" s="3"/>
      <c r="BA63" s="62"/>
      <c r="BB63" s="69"/>
      <c r="BC63" s="63"/>
      <c r="BD63" s="63"/>
      <c r="BE63" s="63"/>
      <c r="BF63" s="63"/>
      <c r="BG63" s="731" t="s">
        <v>876</v>
      </c>
      <c r="BI63" s="62"/>
      <c r="BJ63" s="62"/>
      <c r="BK63" s="63"/>
      <c r="BL63" s="65">
        <f t="shared" si="10"/>
        <v>8</v>
      </c>
      <c r="BM63" s="62"/>
      <c r="BN63" s="62"/>
      <c r="BO63" s="62"/>
      <c r="BP63" s="62"/>
      <c r="BQ63" s="62"/>
      <c r="BR63" s="62"/>
      <c r="BS63" s="62"/>
      <c r="BT63" s="62"/>
      <c r="BU63" s="62"/>
      <c r="BV63" s="62"/>
      <c r="BW63" s="62"/>
      <c r="BX63" s="62"/>
      <c r="BY63" s="62"/>
      <c r="BZ63" s="62"/>
      <c r="CA63" s="62"/>
    </row>
    <row r="64" spans="1:79" ht="33.75" customHeight="1" thickBot="1">
      <c r="A64" s="46"/>
      <c r="AA64" s="46"/>
      <c r="AF64" s="3"/>
      <c r="AG64" s="3"/>
      <c r="AH64" s="3"/>
      <c r="AI64" s="3"/>
      <c r="AJ64" s="3"/>
      <c r="BA64" s="62"/>
      <c r="BB64" s="69"/>
      <c r="BC64" s="63"/>
      <c r="BD64" s="63"/>
      <c r="BE64" s="63"/>
      <c r="BF64" s="63"/>
      <c r="BG64" s="731" t="s">
        <v>877</v>
      </c>
      <c r="BI64" s="62"/>
      <c r="BJ64" s="62"/>
      <c r="BK64" s="63"/>
      <c r="BL64" s="65">
        <f t="shared" si="10"/>
        <v>9</v>
      </c>
      <c r="BM64" s="62"/>
      <c r="BN64" s="62"/>
      <c r="BO64" s="62"/>
      <c r="BP64" s="62"/>
      <c r="BQ64" s="62"/>
      <c r="BR64" s="62"/>
      <c r="BS64" s="62"/>
      <c r="BT64" s="62"/>
      <c r="BU64" s="62"/>
      <c r="BV64" s="62"/>
      <c r="BW64" s="62"/>
      <c r="BX64" s="62"/>
      <c r="BY64" s="62"/>
      <c r="BZ64" s="62"/>
      <c r="CA64" s="62"/>
    </row>
    <row r="65" spans="1:79" ht="13.5" customHeight="1" thickBot="1">
      <c r="A65" s="46"/>
      <c r="AA65" s="46"/>
      <c r="AF65" s="3"/>
      <c r="AG65" s="3"/>
      <c r="AH65" s="3"/>
      <c r="AI65" s="3"/>
      <c r="AJ65" s="3"/>
      <c r="BA65" s="62"/>
      <c r="BB65" s="35"/>
      <c r="BC65" s="63"/>
      <c r="BD65" s="63"/>
      <c r="BE65" s="63"/>
      <c r="BF65" s="63"/>
      <c r="BG65" s="488"/>
      <c r="BH65" s="62"/>
      <c r="BI65" s="62"/>
      <c r="BJ65" s="62"/>
      <c r="BK65" s="63"/>
      <c r="BL65" s="65">
        <f t="shared" si="10"/>
        <v>10</v>
      </c>
      <c r="BM65" s="62"/>
      <c r="BN65" s="62"/>
      <c r="BO65" s="62"/>
      <c r="BP65" s="62"/>
      <c r="BQ65" s="62"/>
      <c r="BR65" s="62"/>
      <c r="BS65" s="62"/>
      <c r="BT65" s="62"/>
      <c r="BU65" s="62"/>
      <c r="BV65" s="62"/>
      <c r="BW65" s="62"/>
      <c r="BX65" s="62"/>
      <c r="BY65" s="62"/>
      <c r="BZ65" s="62"/>
      <c r="CA65" s="62"/>
    </row>
    <row r="66" spans="1:79" ht="13.5" customHeight="1" thickBot="1">
      <c r="A66" s="46"/>
      <c r="AA66" s="46"/>
      <c r="AF66" s="3"/>
      <c r="AG66" s="3"/>
      <c r="AH66" s="3"/>
      <c r="AI66" s="3"/>
      <c r="AJ66" s="3"/>
      <c r="BA66" s="62"/>
      <c r="BB66" s="70"/>
      <c r="BC66" s="63"/>
      <c r="BD66" s="63"/>
      <c r="BE66" s="63"/>
      <c r="BF66" s="63"/>
      <c r="BG66" s="486" t="s">
        <v>319</v>
      </c>
      <c r="BH66" s="62"/>
      <c r="BI66" s="62"/>
      <c r="BJ66" s="62"/>
      <c r="BK66" s="63"/>
      <c r="BL66" s="65">
        <f t="shared" si="10"/>
        <v>11</v>
      </c>
      <c r="BM66" s="62"/>
      <c r="BN66" s="62"/>
      <c r="BO66" s="62"/>
      <c r="BP66" s="62"/>
      <c r="BQ66" s="62"/>
      <c r="BR66" s="62"/>
      <c r="BS66" s="62"/>
      <c r="BT66" s="62"/>
      <c r="BU66" s="62"/>
      <c r="BV66" s="62"/>
      <c r="BW66" s="62"/>
      <c r="BX66" s="62"/>
      <c r="BY66" s="62"/>
      <c r="BZ66" s="62"/>
      <c r="CA66" s="62"/>
    </row>
    <row r="67" spans="1:79" ht="13.5" customHeight="1">
      <c r="A67" s="46"/>
      <c r="AA67" s="46"/>
      <c r="AF67" s="3"/>
      <c r="AG67" s="3"/>
      <c r="AH67" s="3"/>
      <c r="AI67" s="3"/>
      <c r="AJ67" s="3"/>
      <c r="BA67" s="62"/>
      <c r="BB67" s="69"/>
      <c r="BC67" s="62"/>
      <c r="BD67" s="62"/>
      <c r="BE67" s="62"/>
      <c r="BF67" s="62"/>
      <c r="BG67" s="724" t="s">
        <v>777</v>
      </c>
      <c r="BH67" s="62"/>
      <c r="BI67" s="62"/>
      <c r="BJ67" s="62"/>
      <c r="BK67" s="63"/>
      <c r="BL67" s="65">
        <f t="shared" si="10"/>
        <v>12</v>
      </c>
      <c r="BM67" s="62"/>
      <c r="BN67" s="62"/>
      <c r="BO67" s="62"/>
      <c r="BP67" s="62"/>
      <c r="BQ67" s="62"/>
      <c r="BR67" s="62"/>
      <c r="BS67" s="62"/>
      <c r="BT67" s="62"/>
      <c r="BU67" s="62"/>
      <c r="BV67" s="62"/>
      <c r="BW67" s="62"/>
      <c r="BX67" s="62"/>
      <c r="BY67" s="62"/>
      <c r="BZ67" s="62"/>
      <c r="CA67" s="62"/>
    </row>
    <row r="68" spans="1:79" ht="13.5" customHeight="1">
      <c r="A68" s="46"/>
      <c r="AA68" s="46"/>
      <c r="AF68" s="3"/>
      <c r="AG68" s="3"/>
      <c r="AH68" s="3"/>
      <c r="AI68" s="3"/>
      <c r="AJ68" s="3"/>
      <c r="BA68" s="62"/>
      <c r="BB68" s="69"/>
      <c r="BC68" s="62"/>
      <c r="BD68" s="62"/>
      <c r="BE68" s="62"/>
      <c r="BF68" s="62"/>
      <c r="BG68" s="723" t="s">
        <v>772</v>
      </c>
      <c r="BH68" s="62"/>
      <c r="BI68" s="62"/>
      <c r="BJ68" s="62"/>
      <c r="BK68" s="63"/>
      <c r="BL68" s="65">
        <f t="shared" si="10"/>
        <v>13</v>
      </c>
      <c r="BM68" s="62"/>
      <c r="BN68" s="62"/>
      <c r="BO68" s="62"/>
      <c r="BP68" s="62"/>
      <c r="BQ68" s="62"/>
      <c r="BR68" s="62"/>
      <c r="BS68" s="62"/>
      <c r="BT68" s="62"/>
      <c r="BU68" s="62"/>
      <c r="BV68" s="62"/>
      <c r="BW68" s="62"/>
      <c r="BX68" s="62"/>
      <c r="BY68" s="62"/>
      <c r="BZ68" s="62"/>
      <c r="CA68" s="62"/>
    </row>
    <row r="69" spans="1:79" ht="13.5" customHeight="1">
      <c r="AF69" s="3"/>
      <c r="AG69" s="3"/>
      <c r="AH69" s="3"/>
      <c r="AI69" s="3"/>
      <c r="AJ69" s="3"/>
      <c r="BA69" s="62"/>
      <c r="BB69" s="69"/>
      <c r="BC69" s="62"/>
      <c r="BD69" s="62"/>
      <c r="BE69" s="62"/>
      <c r="BF69" s="62"/>
      <c r="BG69" s="723" t="s">
        <v>773</v>
      </c>
      <c r="BH69" s="62"/>
      <c r="BI69" s="62"/>
      <c r="BJ69" s="62"/>
      <c r="BK69" s="63"/>
      <c r="BL69" s="65">
        <f t="shared" si="10"/>
        <v>14</v>
      </c>
      <c r="BM69" s="62"/>
      <c r="BN69" s="62"/>
      <c r="BO69" s="62"/>
      <c r="BP69" s="62"/>
      <c r="BQ69" s="62"/>
      <c r="BR69" s="62"/>
      <c r="BS69" s="62"/>
      <c r="BT69" s="62"/>
      <c r="BU69" s="62"/>
      <c r="BV69" s="62"/>
      <c r="BW69" s="62"/>
      <c r="BX69" s="62"/>
      <c r="BY69" s="62"/>
      <c r="BZ69" s="62"/>
      <c r="CA69" s="62"/>
    </row>
    <row r="70" spans="1:79" ht="13.5" customHeight="1">
      <c r="AF70" s="3"/>
      <c r="AG70" s="3"/>
      <c r="AH70" s="3"/>
      <c r="AI70" s="3"/>
      <c r="AJ70" s="3"/>
      <c r="BA70" s="62"/>
      <c r="BB70" s="69"/>
      <c r="BC70" s="62"/>
      <c r="BD70" s="62"/>
      <c r="BE70" s="62"/>
      <c r="BF70" s="62"/>
      <c r="BG70" s="723" t="s">
        <v>774</v>
      </c>
      <c r="BH70" s="62"/>
      <c r="BI70" s="62"/>
      <c r="BJ70" s="62"/>
      <c r="BK70" s="63"/>
      <c r="BL70" s="65">
        <f t="shared" si="10"/>
        <v>15</v>
      </c>
      <c r="BM70" s="62"/>
      <c r="BN70" s="62"/>
      <c r="BO70" s="62"/>
      <c r="BP70" s="62"/>
      <c r="BQ70" s="62"/>
      <c r="BR70" s="62"/>
      <c r="BS70" s="62"/>
      <c r="BT70" s="62"/>
      <c r="BU70" s="62"/>
      <c r="BV70" s="62"/>
      <c r="BW70" s="62"/>
      <c r="BX70" s="62"/>
      <c r="BY70" s="62"/>
      <c r="BZ70" s="62"/>
      <c r="CA70" s="62"/>
    </row>
    <row r="71" spans="1:79" ht="13.5" customHeight="1">
      <c r="AF71" s="3"/>
      <c r="AG71" s="3"/>
      <c r="AH71" s="3"/>
      <c r="AI71" s="3"/>
      <c r="AJ71" s="3"/>
      <c r="BA71" s="62"/>
      <c r="BB71" s="69"/>
      <c r="BC71" s="62"/>
      <c r="BD71" s="62"/>
      <c r="BE71" s="62"/>
      <c r="BF71" s="62"/>
      <c r="BG71" s="723" t="s">
        <v>775</v>
      </c>
      <c r="BH71" s="62"/>
      <c r="BI71" s="62"/>
      <c r="BJ71" s="62"/>
      <c r="BK71" s="63"/>
      <c r="BL71" s="65">
        <f t="shared" si="10"/>
        <v>16</v>
      </c>
      <c r="BM71" s="62"/>
      <c r="BN71" s="62"/>
      <c r="BO71" s="62"/>
      <c r="BP71" s="62"/>
      <c r="BQ71" s="62"/>
      <c r="BR71" s="62"/>
      <c r="BS71" s="62"/>
      <c r="BT71" s="62"/>
      <c r="BU71" s="62"/>
      <c r="BV71" s="62"/>
      <c r="BW71" s="62"/>
      <c r="BX71" s="62"/>
      <c r="BY71" s="62"/>
      <c r="BZ71" s="62"/>
      <c r="CA71" s="62"/>
    </row>
    <row r="72" spans="1:79" ht="13.5" customHeight="1">
      <c r="AF72" s="3"/>
      <c r="AG72" s="3"/>
      <c r="AH72" s="3"/>
      <c r="AI72" s="3"/>
      <c r="AJ72" s="3"/>
      <c r="BA72" s="62"/>
      <c r="BB72" s="69"/>
      <c r="BC72" s="62"/>
      <c r="BD72" s="62"/>
      <c r="BE72" s="62"/>
      <c r="BF72" s="62"/>
      <c r="BG72" s="723" t="s">
        <v>795</v>
      </c>
      <c r="BH72" s="62"/>
      <c r="BI72" s="62"/>
      <c r="BJ72" s="62"/>
      <c r="BK72" s="63"/>
      <c r="BL72" s="65">
        <f t="shared" si="10"/>
        <v>17</v>
      </c>
      <c r="BM72" s="62"/>
      <c r="BN72" s="62"/>
      <c r="BO72" s="62"/>
      <c r="BP72" s="62"/>
      <c r="BQ72" s="62"/>
      <c r="BR72" s="62"/>
      <c r="BS72" s="62"/>
      <c r="BT72" s="62"/>
      <c r="BU72" s="62"/>
      <c r="BV72" s="62"/>
      <c r="BW72" s="62"/>
      <c r="BX72" s="62"/>
      <c r="BY72" s="62"/>
      <c r="BZ72" s="62"/>
      <c r="CA72" s="62"/>
    </row>
    <row r="73" spans="1:79" ht="13.5" customHeight="1">
      <c r="AF73" s="3"/>
      <c r="AG73" s="3"/>
      <c r="AH73" s="3"/>
      <c r="AI73" s="3"/>
      <c r="AJ73" s="3"/>
      <c r="BA73" s="62"/>
      <c r="BB73" s="69"/>
      <c r="BC73" s="62"/>
      <c r="BD73" s="62"/>
      <c r="BE73" s="62"/>
      <c r="BF73" s="62"/>
      <c r="BG73" s="723" t="s">
        <v>776</v>
      </c>
      <c r="BH73" s="62"/>
      <c r="BI73" s="62"/>
      <c r="BJ73" s="62"/>
      <c r="BK73" s="63"/>
      <c r="BL73" s="65">
        <f t="shared" si="10"/>
        <v>18</v>
      </c>
      <c r="BM73" s="62"/>
      <c r="BN73" s="62"/>
      <c r="BO73" s="62"/>
      <c r="BP73" s="62"/>
      <c r="BQ73" s="62"/>
      <c r="BR73" s="62"/>
      <c r="BS73" s="62"/>
      <c r="BT73" s="62"/>
      <c r="BU73" s="62"/>
      <c r="BV73" s="62"/>
      <c r="BW73" s="62"/>
      <c r="BX73" s="62"/>
      <c r="BY73" s="62"/>
      <c r="BZ73" s="62"/>
      <c r="CA73" s="62"/>
    </row>
    <row r="74" spans="1:79" ht="51" customHeight="1">
      <c r="AF74" s="3"/>
      <c r="AG74" s="3"/>
      <c r="AH74" s="3"/>
      <c r="AI74" s="3"/>
      <c r="AJ74" s="3"/>
      <c r="BA74" s="62"/>
      <c r="BB74" s="69"/>
      <c r="BC74" s="62"/>
      <c r="BD74" s="62"/>
      <c r="BE74" s="62"/>
      <c r="BF74" s="62"/>
      <c r="BG74" s="954" t="s">
        <v>887</v>
      </c>
      <c r="BH74" s="62"/>
      <c r="BI74" s="62"/>
      <c r="BJ74" s="62"/>
      <c r="BK74" s="63"/>
      <c r="BL74" s="65">
        <f t="shared" si="10"/>
        <v>19</v>
      </c>
      <c r="BM74" s="62"/>
      <c r="BN74" s="62"/>
      <c r="BO74" s="62"/>
      <c r="BP74" s="62"/>
      <c r="BQ74" s="62"/>
      <c r="BR74" s="62"/>
      <c r="BS74" s="62"/>
      <c r="BT74" s="62"/>
      <c r="BU74" s="62"/>
      <c r="BV74" s="62"/>
      <c r="BW74" s="62"/>
      <c r="BX74" s="62"/>
      <c r="BY74" s="62"/>
      <c r="BZ74" s="62"/>
      <c r="CA74" s="62"/>
    </row>
    <row r="75" spans="1:79" ht="39.75" customHeight="1">
      <c r="AF75" s="3"/>
      <c r="AG75" s="3"/>
      <c r="AH75" s="3"/>
      <c r="AI75" s="3"/>
      <c r="AJ75" s="3"/>
      <c r="BA75" s="62"/>
      <c r="BB75" s="69"/>
      <c r="BC75" s="62"/>
      <c r="BD75" s="62"/>
      <c r="BE75" s="62"/>
      <c r="BF75" s="62"/>
      <c r="BG75" s="955" t="s">
        <v>932</v>
      </c>
      <c r="BH75" s="62"/>
      <c r="BI75" s="62"/>
      <c r="BJ75" s="62"/>
      <c r="BK75" s="63"/>
      <c r="BL75" s="65">
        <f t="shared" si="10"/>
        <v>20</v>
      </c>
      <c r="BM75" s="62"/>
      <c r="BN75" s="62"/>
      <c r="BO75" s="62"/>
      <c r="BP75" s="62"/>
      <c r="BQ75" s="62"/>
      <c r="BR75" s="62"/>
      <c r="BS75" s="62"/>
      <c r="BT75" s="62"/>
      <c r="BU75" s="62"/>
      <c r="BV75" s="62"/>
      <c r="BW75" s="62"/>
      <c r="BX75" s="62"/>
      <c r="BY75" s="62"/>
      <c r="BZ75" s="62"/>
      <c r="CA75" s="62"/>
    </row>
    <row r="76" spans="1:79" ht="30" customHeight="1">
      <c r="AF76" s="3"/>
      <c r="AG76" s="3"/>
      <c r="AH76" s="3"/>
      <c r="AI76" s="3"/>
      <c r="AJ76" s="3"/>
      <c r="BA76" s="62"/>
      <c r="BB76" s="69"/>
      <c r="BC76" s="62"/>
      <c r="BD76" s="62"/>
      <c r="BE76" s="62"/>
      <c r="BF76" s="62"/>
      <c r="BG76" s="817" t="s">
        <v>779</v>
      </c>
      <c r="BH76" s="62"/>
      <c r="BI76" s="62"/>
      <c r="BJ76" s="62"/>
      <c r="BK76" s="63"/>
      <c r="BL76" s="65">
        <f t="shared" si="10"/>
        <v>21</v>
      </c>
      <c r="BM76" s="62"/>
      <c r="BN76" s="62"/>
      <c r="BO76" s="62"/>
      <c r="BP76" s="62"/>
      <c r="BQ76" s="62"/>
      <c r="BR76" s="62"/>
      <c r="BS76" s="62"/>
      <c r="BT76" s="62"/>
      <c r="BU76" s="62"/>
      <c r="BV76" s="62"/>
      <c r="BW76" s="62"/>
      <c r="BX76" s="62"/>
      <c r="BY76" s="62"/>
      <c r="BZ76" s="62"/>
      <c r="CA76" s="62"/>
    </row>
    <row r="77" spans="1:79" ht="30" customHeight="1">
      <c r="AF77" s="3"/>
      <c r="AG77" s="3"/>
      <c r="AH77" s="3"/>
      <c r="AI77" s="3"/>
      <c r="AJ77" s="3"/>
      <c r="BA77" s="62"/>
      <c r="BB77" s="69"/>
      <c r="BC77" s="62"/>
      <c r="BD77" s="62"/>
      <c r="BE77" s="62"/>
      <c r="BF77" s="62"/>
      <c r="BG77" s="817" t="s">
        <v>889</v>
      </c>
      <c r="BH77" s="62"/>
      <c r="BI77" s="62"/>
      <c r="BJ77" s="62"/>
      <c r="BK77" s="63"/>
      <c r="BL77" s="65">
        <f t="shared" si="10"/>
        <v>22</v>
      </c>
      <c r="BM77" s="62"/>
      <c r="BN77" s="62"/>
      <c r="BO77" s="62"/>
      <c r="BP77" s="62"/>
      <c r="BQ77" s="62"/>
      <c r="BR77" s="62"/>
      <c r="BS77" s="62"/>
      <c r="BT77" s="62"/>
      <c r="BU77" s="62"/>
      <c r="BV77" s="62"/>
      <c r="BW77" s="62"/>
      <c r="BX77" s="62"/>
      <c r="BY77" s="62"/>
      <c r="BZ77" s="62"/>
      <c r="CA77" s="62"/>
    </row>
    <row r="78" spans="1:79" ht="30" customHeight="1">
      <c r="AF78" s="3"/>
      <c r="AG78" s="3"/>
      <c r="AH78" s="3"/>
      <c r="AI78" s="3"/>
      <c r="AJ78" s="3"/>
      <c r="BA78" s="62"/>
      <c r="BB78" s="69"/>
      <c r="BC78" s="62"/>
      <c r="BD78" s="62"/>
      <c r="BE78" s="62"/>
      <c r="BF78" s="62"/>
      <c r="BG78" s="817" t="s">
        <v>780</v>
      </c>
      <c r="BH78" s="62"/>
      <c r="BI78" s="62"/>
      <c r="BJ78" s="62"/>
      <c r="BK78" s="63"/>
      <c r="BL78" s="65">
        <f t="shared" si="10"/>
        <v>23</v>
      </c>
      <c r="BM78" s="62"/>
      <c r="BN78" s="62"/>
      <c r="BO78" s="62"/>
      <c r="BP78" s="62"/>
      <c r="BQ78" s="62"/>
      <c r="BR78" s="62"/>
      <c r="BS78" s="62"/>
      <c r="BT78" s="62"/>
      <c r="BU78" s="62"/>
      <c r="BV78" s="62"/>
      <c r="BW78" s="62"/>
      <c r="BX78" s="62"/>
      <c r="BY78" s="62"/>
      <c r="BZ78" s="62"/>
      <c r="CA78" s="62"/>
    </row>
    <row r="79" spans="1:79" ht="30" customHeight="1">
      <c r="AF79" s="3"/>
      <c r="AG79" s="3"/>
      <c r="AH79" s="3"/>
      <c r="AI79" s="3"/>
      <c r="AJ79" s="3"/>
      <c r="BA79" s="62"/>
      <c r="BB79" s="69"/>
      <c r="BC79" s="62"/>
      <c r="BD79" s="62"/>
      <c r="BE79" s="62"/>
      <c r="BF79" s="62"/>
      <c r="BG79" s="817" t="s">
        <v>890</v>
      </c>
      <c r="BI79" s="62"/>
      <c r="BJ79" s="62"/>
      <c r="BK79" s="63"/>
      <c r="BL79" s="65">
        <f>BL78+1</f>
        <v>24</v>
      </c>
      <c r="BM79" s="62"/>
      <c r="BN79" s="62"/>
      <c r="BO79" s="62"/>
      <c r="BP79" s="62"/>
      <c r="BQ79" s="62"/>
      <c r="BR79" s="62"/>
      <c r="BS79" s="62"/>
      <c r="BT79" s="62"/>
      <c r="BU79" s="62"/>
      <c r="BV79" s="62"/>
      <c r="BW79" s="62"/>
      <c r="BX79" s="62"/>
      <c r="BY79" s="62"/>
      <c r="BZ79" s="62"/>
      <c r="CA79" s="62"/>
    </row>
    <row r="80" spans="1:79" ht="30" customHeight="1">
      <c r="AF80" s="3"/>
      <c r="AG80" s="3"/>
      <c r="AH80" s="3"/>
      <c r="AI80" s="3"/>
      <c r="AJ80" s="3"/>
      <c r="BA80" s="62"/>
      <c r="BB80" s="70"/>
      <c r="BC80" s="62"/>
      <c r="BD80" s="62"/>
      <c r="BE80" s="62"/>
      <c r="BF80" s="62"/>
      <c r="BG80" s="817" t="s">
        <v>878</v>
      </c>
      <c r="BI80" s="62"/>
      <c r="BJ80" s="62"/>
      <c r="BK80" s="63"/>
      <c r="BL80" s="65">
        <f t="shared" si="10"/>
        <v>25</v>
      </c>
      <c r="BM80" s="62"/>
      <c r="BN80" s="62"/>
      <c r="BO80" s="62"/>
      <c r="BP80" s="62"/>
      <c r="BQ80" s="62"/>
      <c r="BR80" s="62"/>
      <c r="BS80" s="62"/>
      <c r="BT80" s="62"/>
      <c r="BU80" s="62"/>
      <c r="BV80" s="62"/>
      <c r="BW80" s="62"/>
      <c r="BX80" s="62"/>
      <c r="BY80" s="62"/>
      <c r="BZ80" s="62"/>
      <c r="CA80" s="62"/>
    </row>
    <row r="81" spans="32:79" ht="30" customHeight="1">
      <c r="AF81" s="3"/>
      <c r="AG81" s="3"/>
      <c r="AH81" s="3"/>
      <c r="AI81" s="3"/>
      <c r="AJ81" s="3"/>
      <c r="BA81" s="62"/>
      <c r="BB81" s="69"/>
      <c r="BC81" s="62"/>
      <c r="BD81" s="62"/>
      <c r="BE81" s="62"/>
      <c r="BF81" s="62"/>
      <c r="BG81" s="816" t="s">
        <v>778</v>
      </c>
      <c r="BH81" s="62"/>
      <c r="BI81" s="62"/>
      <c r="BJ81" s="62"/>
      <c r="BK81" s="63"/>
      <c r="BL81" s="65">
        <f t="shared" si="10"/>
        <v>26</v>
      </c>
      <c r="BM81" s="62"/>
      <c r="BN81" s="62"/>
      <c r="BO81" s="62"/>
      <c r="BP81" s="62"/>
      <c r="BQ81" s="62"/>
      <c r="BR81" s="62"/>
      <c r="BS81" s="62"/>
      <c r="BT81" s="62"/>
      <c r="BU81" s="62"/>
      <c r="BV81" s="62"/>
      <c r="BW81" s="62"/>
      <c r="BX81" s="62"/>
      <c r="BY81" s="62"/>
      <c r="BZ81" s="62"/>
      <c r="CA81" s="62"/>
    </row>
    <row r="82" spans="32:79" ht="30" customHeight="1">
      <c r="AF82" s="3"/>
      <c r="AG82" s="3"/>
      <c r="AH82" s="3"/>
      <c r="AI82" s="3"/>
      <c r="AJ82" s="3"/>
      <c r="BA82" s="62"/>
      <c r="BB82" s="69"/>
      <c r="BC82" s="62"/>
      <c r="BD82" s="62"/>
      <c r="BE82" s="62"/>
      <c r="BF82" s="62"/>
      <c r="BG82" s="816" t="s">
        <v>888</v>
      </c>
      <c r="BH82" s="62"/>
      <c r="BI82" s="62"/>
      <c r="BJ82" s="62"/>
      <c r="BK82" s="63"/>
      <c r="BL82" s="65">
        <f t="shared" si="10"/>
        <v>27</v>
      </c>
      <c r="BM82" s="62"/>
      <c r="BN82" s="62"/>
      <c r="BO82" s="62"/>
      <c r="BP82" s="62"/>
      <c r="BQ82" s="62"/>
      <c r="BR82" s="62"/>
      <c r="BS82" s="62"/>
      <c r="BT82" s="62"/>
      <c r="BU82" s="62"/>
      <c r="BV82" s="62"/>
      <c r="BW82" s="62"/>
      <c r="BX82" s="62"/>
      <c r="BY82" s="62"/>
      <c r="BZ82" s="62"/>
      <c r="CA82" s="62"/>
    </row>
    <row r="83" spans="32:79" ht="30" customHeight="1" thickBot="1">
      <c r="AF83" s="3"/>
      <c r="AG83" s="3"/>
      <c r="AH83" s="3"/>
      <c r="AI83" s="3"/>
      <c r="AJ83" s="3"/>
      <c r="BA83" s="62"/>
      <c r="BB83" s="35"/>
      <c r="BC83" s="62"/>
      <c r="BD83" s="62"/>
      <c r="BE83" s="62"/>
      <c r="BF83" s="62"/>
      <c r="BG83" s="818"/>
      <c r="BH83" s="62"/>
      <c r="BI83" s="62"/>
      <c r="BJ83" s="62"/>
      <c r="BK83" s="63"/>
      <c r="BL83" s="65">
        <f t="shared" si="10"/>
        <v>28</v>
      </c>
      <c r="BM83" s="62"/>
      <c r="BN83" s="62"/>
      <c r="BO83" s="62"/>
      <c r="BP83" s="62"/>
      <c r="BQ83" s="62"/>
      <c r="BR83" s="62"/>
      <c r="BS83" s="62"/>
      <c r="BT83" s="62"/>
      <c r="BU83" s="62"/>
      <c r="BV83" s="62"/>
      <c r="BW83" s="62"/>
      <c r="BX83" s="62"/>
      <c r="BY83" s="62"/>
      <c r="BZ83" s="62"/>
      <c r="CA83" s="62"/>
    </row>
    <row r="84" spans="32:79" ht="13.5" customHeight="1">
      <c r="AF84" s="3"/>
      <c r="AG84" s="3"/>
      <c r="AH84" s="3"/>
      <c r="AI84" s="3"/>
      <c r="AJ84" s="3"/>
      <c r="BA84" s="62"/>
      <c r="BB84" s="70"/>
      <c r="BC84" s="62"/>
      <c r="BD84" s="62"/>
      <c r="BE84" s="62"/>
      <c r="BF84" s="62"/>
      <c r="BG84" s="73"/>
      <c r="BH84" s="62"/>
      <c r="BI84" s="62"/>
      <c r="BJ84" s="62"/>
      <c r="BK84" s="63"/>
      <c r="BL84" s="65">
        <f t="shared" si="10"/>
        <v>29</v>
      </c>
      <c r="BM84" s="62"/>
      <c r="BN84" s="62"/>
      <c r="BO84" s="62"/>
      <c r="BP84" s="62"/>
      <c r="BQ84" s="62"/>
      <c r="BR84" s="62"/>
      <c r="BS84" s="62"/>
      <c r="BT84" s="62"/>
      <c r="BU84" s="62"/>
      <c r="BV84" s="62"/>
      <c r="BW84" s="62"/>
      <c r="BX84" s="62"/>
      <c r="BY84" s="62"/>
      <c r="BZ84" s="62"/>
      <c r="CA84" s="62"/>
    </row>
    <row r="85" spans="32:79" ht="13.5" customHeight="1">
      <c r="AF85" s="3"/>
      <c r="AG85" s="3"/>
      <c r="AH85" s="3"/>
      <c r="AI85" s="3"/>
      <c r="AJ85" s="3"/>
      <c r="BA85" s="62"/>
      <c r="BB85" s="69"/>
      <c r="BC85" s="62"/>
      <c r="BD85" s="62"/>
      <c r="BE85" s="62"/>
      <c r="BF85" s="62"/>
      <c r="BG85" s="64"/>
      <c r="BH85" s="62"/>
      <c r="BI85" s="62"/>
      <c r="BJ85" s="62"/>
      <c r="BK85" s="63"/>
      <c r="BL85" s="65">
        <f t="shared" si="10"/>
        <v>30</v>
      </c>
      <c r="BM85" s="62"/>
      <c r="BN85" s="62"/>
      <c r="BO85" s="62"/>
      <c r="BP85" s="62"/>
      <c r="BQ85" s="62"/>
      <c r="BR85" s="62"/>
      <c r="BS85" s="62"/>
      <c r="BT85" s="62"/>
      <c r="BU85" s="62"/>
      <c r="BV85" s="62"/>
      <c r="BW85" s="62"/>
      <c r="BX85" s="62"/>
      <c r="BY85" s="62"/>
      <c r="BZ85" s="62"/>
      <c r="CA85" s="62"/>
    </row>
    <row r="86" spans="32:79" ht="13.5" customHeight="1">
      <c r="AF86" s="3"/>
      <c r="AG86" s="3"/>
      <c r="AH86" s="3"/>
      <c r="AI86" s="3"/>
      <c r="AJ86" s="3"/>
      <c r="BA86" s="62"/>
      <c r="BB86" s="69"/>
      <c r="BC86" s="62"/>
      <c r="BD86" s="62"/>
      <c r="BE86" s="62"/>
      <c r="BF86" s="62"/>
      <c r="BG86" s="68"/>
      <c r="BH86" s="62"/>
      <c r="BI86" s="62"/>
      <c r="BJ86" s="62"/>
      <c r="BK86" s="63"/>
      <c r="BL86" s="65">
        <f t="shared" si="10"/>
        <v>31</v>
      </c>
      <c r="BM86" s="62"/>
      <c r="BN86" s="62"/>
      <c r="BO86" s="62"/>
      <c r="BP86" s="62"/>
      <c r="BQ86" s="62"/>
      <c r="BR86" s="62"/>
      <c r="BS86" s="62"/>
      <c r="BT86" s="62"/>
      <c r="BU86" s="62"/>
      <c r="BV86" s="62"/>
      <c r="BW86" s="62"/>
      <c r="BX86" s="62"/>
      <c r="BY86" s="62"/>
      <c r="BZ86" s="62"/>
      <c r="CA86" s="62"/>
    </row>
    <row r="87" spans="32:79" ht="13.5" customHeight="1" thickBot="1">
      <c r="AF87" s="3"/>
      <c r="AG87" s="3"/>
      <c r="AH87" s="3"/>
      <c r="AI87" s="3"/>
      <c r="AJ87" s="3"/>
      <c r="BA87" s="62"/>
      <c r="BB87" s="69"/>
      <c r="BC87" s="62"/>
      <c r="BD87" s="62"/>
      <c r="BE87" s="62"/>
      <c r="BF87" s="62"/>
      <c r="BH87" s="62"/>
      <c r="BI87" s="62"/>
      <c r="BJ87" s="62"/>
      <c r="BK87" s="62"/>
      <c r="BL87" s="62"/>
      <c r="BM87" s="62"/>
      <c r="BN87" s="62"/>
      <c r="BO87" s="62"/>
      <c r="BP87" s="62"/>
      <c r="BQ87" s="62"/>
      <c r="BR87" s="62"/>
      <c r="BS87" s="62"/>
      <c r="BT87" s="62"/>
      <c r="BU87" s="62"/>
      <c r="BV87" s="62"/>
      <c r="BW87" s="62"/>
      <c r="BX87" s="62"/>
      <c r="BY87" s="62"/>
      <c r="BZ87" s="62"/>
      <c r="CA87" s="62"/>
    </row>
    <row r="88" spans="32:79" ht="13.5" customHeight="1" thickBot="1">
      <c r="AF88" s="3"/>
      <c r="AG88" s="3"/>
      <c r="AH88" s="3"/>
      <c r="AI88" s="3"/>
      <c r="AJ88" s="3"/>
      <c r="BA88" s="62"/>
      <c r="BB88" s="69"/>
      <c r="BC88" s="62"/>
      <c r="BD88" s="62"/>
      <c r="BE88" s="62"/>
      <c r="BF88" s="62"/>
      <c r="BG88" s="74" t="s">
        <v>244</v>
      </c>
      <c r="BH88" s="62"/>
      <c r="BI88" s="62"/>
      <c r="BJ88" s="62"/>
      <c r="BK88" s="62"/>
      <c r="BL88" s="62"/>
      <c r="BM88" s="62"/>
      <c r="BN88" s="62"/>
      <c r="BO88" s="62"/>
      <c r="BP88" s="62"/>
      <c r="BQ88" s="62"/>
      <c r="BR88" s="62"/>
      <c r="BS88" s="62"/>
      <c r="BT88" s="62"/>
      <c r="BU88" s="62"/>
      <c r="BV88" s="62"/>
      <c r="BW88" s="62"/>
      <c r="BX88" s="62"/>
      <c r="BY88" s="62"/>
      <c r="BZ88" s="62"/>
      <c r="CA88" s="62"/>
    </row>
    <row r="89" spans="32:79" ht="13.5" customHeight="1">
      <c r="AF89" s="3"/>
      <c r="AG89" s="3"/>
      <c r="AH89" s="3"/>
      <c r="AI89" s="3"/>
      <c r="AJ89" s="3"/>
      <c r="BA89" s="62"/>
      <c r="BB89" s="69"/>
      <c r="BC89" s="62"/>
      <c r="BD89" s="62"/>
      <c r="BE89" s="62"/>
      <c r="BF89" s="62"/>
      <c r="BG89" s="771" t="s">
        <v>791</v>
      </c>
      <c r="BH89" s="62"/>
      <c r="BI89" s="62"/>
      <c r="BJ89" s="62"/>
      <c r="BK89" s="62"/>
      <c r="BL89" s="62"/>
      <c r="BM89" s="62"/>
      <c r="BN89" s="62"/>
      <c r="BO89" s="62"/>
      <c r="BP89" s="62"/>
      <c r="BQ89" s="62"/>
      <c r="BR89" s="62"/>
      <c r="BS89" s="62"/>
      <c r="BT89" s="62"/>
      <c r="BU89" s="62"/>
      <c r="BV89" s="62"/>
      <c r="BW89" s="62"/>
      <c r="BX89" s="62"/>
      <c r="BY89" s="62"/>
      <c r="BZ89" s="62"/>
      <c r="CA89" s="62"/>
    </row>
    <row r="90" spans="32:79" ht="13.5" customHeight="1">
      <c r="AF90" s="3"/>
      <c r="AG90" s="3"/>
      <c r="AH90" s="3"/>
      <c r="AI90" s="3"/>
      <c r="AJ90" s="3"/>
      <c r="BA90" s="62"/>
      <c r="BB90" s="69"/>
      <c r="BC90" s="62"/>
      <c r="BD90" s="62"/>
      <c r="BE90" s="62"/>
      <c r="BF90" s="62"/>
      <c r="BG90" s="724" t="s">
        <v>817</v>
      </c>
      <c r="BH90" s="62"/>
      <c r="BI90" s="62"/>
      <c r="BJ90" s="62"/>
      <c r="BK90" s="62"/>
      <c r="BL90" s="62"/>
      <c r="BM90" s="62"/>
      <c r="BN90" s="62"/>
      <c r="BO90" s="62"/>
      <c r="BP90" s="62"/>
      <c r="BQ90" s="62"/>
      <c r="BR90" s="62"/>
      <c r="BS90" s="62"/>
      <c r="BT90" s="62"/>
      <c r="BU90" s="62"/>
      <c r="BV90" s="62"/>
      <c r="BW90" s="62"/>
      <c r="BX90" s="62"/>
      <c r="BY90" s="62"/>
      <c r="BZ90" s="62"/>
      <c r="CA90" s="62"/>
    </row>
    <row r="91" spans="32:79" ht="13.5" customHeight="1">
      <c r="AF91" s="3"/>
      <c r="AG91" s="3"/>
      <c r="AH91" s="3"/>
      <c r="AI91" s="3"/>
      <c r="AJ91" s="3"/>
      <c r="BA91" s="62"/>
      <c r="BB91" s="62"/>
      <c r="BC91" s="62"/>
      <c r="BD91" s="62"/>
      <c r="BE91" s="62"/>
      <c r="BF91" s="62"/>
      <c r="BG91" s="724" t="s">
        <v>820</v>
      </c>
      <c r="BH91" s="62"/>
      <c r="BI91" s="62"/>
      <c r="BJ91" s="62"/>
      <c r="BK91" s="62"/>
      <c r="BL91" s="62"/>
      <c r="BM91" s="62"/>
      <c r="BN91" s="62"/>
      <c r="BO91" s="62"/>
      <c r="BP91" s="62"/>
      <c r="BQ91" s="62"/>
      <c r="BR91" s="62"/>
      <c r="BS91" s="62"/>
      <c r="BT91" s="62"/>
      <c r="BU91" s="62"/>
      <c r="BV91" s="62"/>
      <c r="BW91" s="62"/>
      <c r="BX91" s="62"/>
      <c r="BY91" s="62"/>
      <c r="BZ91" s="62"/>
      <c r="CA91" s="62"/>
    </row>
    <row r="92" spans="32:79" ht="13.5" customHeight="1">
      <c r="AF92" s="3"/>
      <c r="AG92" s="3"/>
      <c r="AH92" s="3"/>
      <c r="AI92" s="3"/>
      <c r="AJ92" s="3"/>
      <c r="BA92" s="62"/>
      <c r="BB92" s="62"/>
      <c r="BC92" s="62"/>
      <c r="BD92" s="62"/>
      <c r="BE92" s="62"/>
      <c r="BF92" s="62"/>
      <c r="BG92" s="485" t="s">
        <v>759</v>
      </c>
      <c r="BH92" s="62"/>
      <c r="BI92" s="62"/>
      <c r="BJ92" s="62"/>
      <c r="BK92" s="62"/>
      <c r="BL92" s="62"/>
      <c r="BM92" s="62"/>
      <c r="BN92" s="62"/>
      <c r="BO92" s="62"/>
      <c r="BP92" s="62"/>
      <c r="BQ92" s="62"/>
      <c r="BR92" s="62"/>
      <c r="BS92" s="62"/>
      <c r="BT92" s="62"/>
      <c r="BU92" s="62"/>
      <c r="BV92" s="62"/>
      <c r="BW92" s="62"/>
      <c r="BX92" s="62"/>
      <c r="BY92" s="62"/>
      <c r="BZ92" s="62"/>
      <c r="CA92" s="62"/>
    </row>
    <row r="93" spans="32:79" ht="13.5" customHeight="1">
      <c r="AF93" s="3"/>
      <c r="AG93" s="3"/>
      <c r="AH93" s="3"/>
      <c r="AI93" s="3"/>
      <c r="AJ93" s="3"/>
      <c r="BA93" s="62"/>
      <c r="BB93" s="62"/>
      <c r="BC93" s="62"/>
      <c r="BD93" s="62"/>
      <c r="BE93" s="62"/>
      <c r="BF93" s="62"/>
      <c r="BG93" s="485" t="s">
        <v>760</v>
      </c>
      <c r="BH93" s="62"/>
      <c r="BI93" s="62"/>
      <c r="BJ93" s="62"/>
      <c r="BK93" s="62"/>
      <c r="BL93" s="62"/>
      <c r="BM93" s="62"/>
      <c r="BN93" s="62"/>
      <c r="BO93" s="62"/>
      <c r="BP93" s="62"/>
      <c r="BQ93" s="62"/>
      <c r="BR93" s="62"/>
      <c r="BS93" s="62"/>
      <c r="BT93" s="62"/>
      <c r="BU93" s="62"/>
      <c r="BV93" s="62"/>
      <c r="BW93" s="62"/>
      <c r="BX93" s="62"/>
      <c r="BY93" s="62"/>
      <c r="BZ93" s="62"/>
      <c r="CA93" s="62"/>
    </row>
    <row r="94" spans="32:79" ht="13.5" customHeight="1">
      <c r="AF94" s="3"/>
      <c r="AG94" s="3"/>
      <c r="AH94" s="3"/>
      <c r="AI94" s="3"/>
      <c r="AJ94" s="3"/>
      <c r="BA94" s="62"/>
      <c r="BB94" s="62"/>
      <c r="BC94" s="62"/>
      <c r="BD94" s="62"/>
      <c r="BE94" s="62"/>
      <c r="BF94" s="62"/>
      <c r="BG94" s="485" t="s">
        <v>761</v>
      </c>
      <c r="BH94" s="62"/>
      <c r="BI94" s="62"/>
      <c r="BJ94" s="62"/>
      <c r="BK94" s="62"/>
      <c r="BL94" s="62"/>
      <c r="BM94" s="62"/>
      <c r="BN94" s="62"/>
      <c r="BO94" s="62"/>
      <c r="BP94" s="62"/>
      <c r="BQ94" s="62"/>
      <c r="BR94" s="62"/>
      <c r="BS94" s="62"/>
      <c r="BT94" s="62"/>
      <c r="BU94" s="62"/>
      <c r="BV94" s="62"/>
      <c r="BW94" s="62"/>
      <c r="BX94" s="62"/>
      <c r="BY94" s="62"/>
      <c r="BZ94" s="62"/>
      <c r="CA94" s="62"/>
    </row>
    <row r="95" spans="32:79" ht="13.5" customHeight="1">
      <c r="AF95" s="3"/>
      <c r="AG95" s="3"/>
      <c r="AH95" s="3"/>
      <c r="AI95" s="3"/>
      <c r="AJ95" s="3"/>
      <c r="BA95" s="62"/>
      <c r="BB95" s="62"/>
      <c r="BC95" s="62"/>
      <c r="BD95" s="62"/>
      <c r="BE95" s="62"/>
      <c r="BF95" s="62"/>
      <c r="BG95" s="485" t="s">
        <v>762</v>
      </c>
      <c r="BH95" s="62"/>
      <c r="BI95" s="62"/>
      <c r="BJ95" s="62"/>
      <c r="BK95" s="62"/>
      <c r="BL95" s="62"/>
      <c r="BM95" s="62"/>
      <c r="BN95" s="62"/>
      <c r="BO95" s="62"/>
      <c r="BP95" s="62"/>
      <c r="BQ95" s="62"/>
      <c r="BR95" s="62"/>
      <c r="BS95" s="62"/>
      <c r="BT95" s="62"/>
      <c r="BU95" s="62"/>
      <c r="BV95" s="62"/>
      <c r="BW95" s="62"/>
      <c r="BX95" s="62"/>
      <c r="BY95" s="62"/>
      <c r="BZ95" s="62"/>
      <c r="CA95" s="62"/>
    </row>
    <row r="96" spans="32:79" ht="13.5" customHeight="1">
      <c r="AF96" s="3"/>
      <c r="AG96" s="3"/>
      <c r="AH96" s="3"/>
      <c r="AI96" s="3"/>
      <c r="AJ96" s="3"/>
      <c r="BA96" s="62"/>
      <c r="BB96" s="62"/>
      <c r="BC96" s="62"/>
      <c r="BD96" s="62"/>
      <c r="BE96" s="62"/>
      <c r="BF96" s="62"/>
      <c r="BG96" s="485" t="s">
        <v>792</v>
      </c>
      <c r="BH96" s="62"/>
      <c r="BI96" s="62"/>
      <c r="BJ96" s="62"/>
      <c r="BK96" s="62"/>
      <c r="BL96" s="62"/>
      <c r="BM96" s="62"/>
      <c r="BN96" s="62"/>
      <c r="BO96" s="62"/>
      <c r="BP96" s="62"/>
      <c r="BQ96" s="62"/>
      <c r="BR96" s="62"/>
      <c r="BS96" s="62"/>
      <c r="BT96" s="62"/>
      <c r="BU96" s="62"/>
      <c r="BV96" s="62"/>
      <c r="BW96" s="62"/>
      <c r="BX96" s="62"/>
      <c r="BY96" s="62"/>
      <c r="BZ96" s="62"/>
      <c r="CA96" s="62"/>
    </row>
    <row r="97" spans="32:79" ht="13.5" customHeight="1">
      <c r="AF97" s="3"/>
      <c r="AG97" s="3"/>
      <c r="AH97" s="3"/>
      <c r="AI97" s="3"/>
      <c r="AJ97" s="3"/>
      <c r="BA97" s="62"/>
      <c r="BB97" s="62"/>
      <c r="BC97" s="62"/>
      <c r="BD97" s="62"/>
      <c r="BE97" s="62"/>
      <c r="BF97" s="62"/>
      <c r="BG97" s="485" t="s">
        <v>793</v>
      </c>
      <c r="BH97" s="62"/>
      <c r="BI97" s="62"/>
      <c r="BJ97" s="62"/>
      <c r="BK97" s="62"/>
      <c r="BL97" s="62"/>
      <c r="BM97" s="62"/>
      <c r="BN97" s="62"/>
      <c r="BO97" s="62"/>
      <c r="BP97" s="62"/>
      <c r="BQ97" s="62"/>
      <c r="BR97" s="62"/>
      <c r="BS97" s="62"/>
      <c r="BT97" s="62"/>
      <c r="BU97" s="62"/>
      <c r="BV97" s="62"/>
      <c r="BW97" s="62"/>
      <c r="BX97" s="62"/>
      <c r="BY97" s="62"/>
      <c r="BZ97" s="62"/>
      <c r="CA97" s="62"/>
    </row>
    <row r="98" spans="32:79" ht="13.5" customHeight="1">
      <c r="AF98" s="3"/>
      <c r="AG98" s="3"/>
      <c r="AH98" s="3"/>
      <c r="AI98" s="3"/>
      <c r="AJ98" s="3"/>
      <c r="BA98" s="62"/>
      <c r="BB98" s="62"/>
      <c r="BC98" s="62"/>
      <c r="BD98" s="62"/>
      <c r="BE98" s="62"/>
      <c r="BF98" s="62"/>
      <c r="BG98" s="485"/>
      <c r="BH98" s="62"/>
      <c r="BI98" s="62"/>
      <c r="BJ98" s="62"/>
      <c r="BK98" s="62"/>
      <c r="BL98" s="62"/>
      <c r="BM98" s="62"/>
      <c r="BN98" s="62"/>
      <c r="BO98" s="62"/>
      <c r="BP98" s="62"/>
      <c r="BQ98" s="62"/>
      <c r="BR98" s="62"/>
      <c r="BS98" s="62"/>
      <c r="BT98" s="62"/>
      <c r="BU98" s="62"/>
      <c r="BV98" s="62"/>
      <c r="BW98" s="62"/>
      <c r="BX98" s="62"/>
      <c r="BY98" s="62"/>
      <c r="BZ98" s="62"/>
      <c r="CA98" s="62"/>
    </row>
    <row r="99" spans="32:79" ht="13.5" customHeight="1">
      <c r="AF99" s="3"/>
      <c r="AG99" s="3"/>
      <c r="AH99" s="3"/>
      <c r="AI99" s="3"/>
      <c r="AJ99" s="3"/>
      <c r="BA99" s="62"/>
      <c r="BB99" s="62"/>
      <c r="BC99" s="62"/>
      <c r="BD99" s="62"/>
      <c r="BE99" s="62"/>
      <c r="BF99" s="62"/>
      <c r="BG99" s="485"/>
      <c r="BH99" s="62"/>
      <c r="BI99" s="62"/>
      <c r="BJ99" s="62"/>
      <c r="BK99" s="62"/>
      <c r="BL99" s="62"/>
      <c r="BM99" s="62"/>
      <c r="BN99" s="62"/>
      <c r="BO99" s="62"/>
      <c r="BP99" s="62"/>
      <c r="BQ99" s="62"/>
      <c r="BR99" s="62"/>
      <c r="BS99" s="62"/>
      <c r="BT99" s="62"/>
      <c r="BU99" s="62"/>
      <c r="BV99" s="62"/>
      <c r="BW99" s="62"/>
      <c r="BX99" s="62"/>
      <c r="BY99" s="62"/>
      <c r="BZ99" s="62"/>
      <c r="CA99" s="62"/>
    </row>
    <row r="100" spans="32:79" ht="13.5" customHeight="1" thickBot="1">
      <c r="AF100" s="3"/>
      <c r="AG100" s="3"/>
      <c r="AH100" s="3"/>
      <c r="AI100" s="3"/>
      <c r="AJ100" s="3"/>
      <c r="BA100" s="62"/>
      <c r="BB100" s="62"/>
      <c r="BC100" s="62"/>
      <c r="BD100" s="62"/>
      <c r="BE100" s="62"/>
      <c r="BF100" s="62"/>
      <c r="BG100" s="732"/>
      <c r="BH100" s="62"/>
      <c r="BI100" s="62"/>
      <c r="BJ100" s="62"/>
      <c r="BK100" s="62"/>
      <c r="BL100" s="62"/>
      <c r="BM100" s="62"/>
      <c r="BN100" s="62"/>
      <c r="BO100" s="62"/>
      <c r="BP100" s="62"/>
      <c r="BQ100" s="62"/>
      <c r="BR100" s="62"/>
      <c r="BS100" s="62"/>
      <c r="BT100" s="62"/>
      <c r="BU100" s="62"/>
      <c r="BV100" s="62"/>
      <c r="BW100" s="62"/>
      <c r="BX100" s="62"/>
      <c r="BY100" s="62"/>
      <c r="BZ100" s="62"/>
      <c r="CA100" s="62"/>
    </row>
    <row r="101" spans="32:79" ht="13.5" customHeight="1">
      <c r="AF101" s="3"/>
      <c r="AG101" s="3"/>
      <c r="AH101" s="3"/>
      <c r="AI101" s="3"/>
      <c r="AJ101" s="3"/>
      <c r="BA101" s="62"/>
      <c r="BB101" s="62"/>
      <c r="BC101" s="62"/>
      <c r="BD101" s="62"/>
      <c r="BE101" s="62"/>
      <c r="BF101" s="62"/>
      <c r="BG101" s="62"/>
      <c r="BH101" s="62"/>
      <c r="BI101" s="62"/>
      <c r="BJ101" s="62"/>
      <c r="BK101" s="62"/>
      <c r="BL101" s="62"/>
      <c r="BM101" s="62"/>
      <c r="BN101" s="62"/>
      <c r="BO101" s="62"/>
      <c r="BP101" s="62"/>
      <c r="BQ101" s="62"/>
      <c r="BR101" s="62"/>
      <c r="BS101" s="62"/>
      <c r="BT101" s="62"/>
      <c r="BU101" s="62"/>
      <c r="BV101" s="62"/>
      <c r="BW101" s="62"/>
      <c r="BX101" s="62"/>
      <c r="BY101" s="62"/>
      <c r="BZ101" s="62"/>
      <c r="CA101" s="62"/>
    </row>
    <row r="102" spans="32:79" ht="13.5" customHeight="1">
      <c r="AF102" s="3"/>
      <c r="AG102" s="3"/>
      <c r="AH102" s="3"/>
      <c r="AI102" s="3"/>
      <c r="AJ102" s="3"/>
      <c r="BA102" s="62"/>
      <c r="BB102" s="62"/>
      <c r="BC102" s="62"/>
      <c r="BD102" s="62"/>
      <c r="BE102" s="62"/>
      <c r="BF102" s="62"/>
      <c r="BG102" s="62"/>
      <c r="BH102" s="62"/>
      <c r="BI102" s="62"/>
      <c r="BJ102" s="62"/>
      <c r="BK102" s="62"/>
      <c r="BL102" s="62"/>
      <c r="BM102" s="62"/>
      <c r="BN102" s="62"/>
      <c r="BO102" s="62"/>
      <c r="BP102" s="62"/>
      <c r="BQ102" s="62"/>
      <c r="BR102" s="62"/>
      <c r="BS102" s="62"/>
      <c r="BT102" s="62"/>
      <c r="BU102" s="62"/>
      <c r="BV102" s="62"/>
      <c r="BW102" s="62"/>
      <c r="BX102" s="62"/>
      <c r="BY102" s="62"/>
      <c r="BZ102" s="62"/>
      <c r="CA102" s="62"/>
    </row>
    <row r="103" spans="32:79" ht="13.5" customHeight="1">
      <c r="AF103" s="3"/>
      <c r="AG103" s="3"/>
      <c r="AH103" s="3"/>
      <c r="AI103" s="3"/>
      <c r="AJ103" s="3"/>
      <c r="BA103" s="62"/>
      <c r="BB103" s="62"/>
      <c r="BC103" s="62"/>
      <c r="BD103" s="62"/>
      <c r="BE103" s="62"/>
      <c r="BF103" s="62"/>
      <c r="BG103" s="62"/>
      <c r="BH103" s="62"/>
      <c r="BI103" s="62"/>
      <c r="BJ103" s="62"/>
      <c r="BK103" s="62"/>
      <c r="BL103" s="62"/>
      <c r="BM103" s="62"/>
      <c r="BN103" s="62"/>
      <c r="BO103" s="62"/>
      <c r="BP103" s="62"/>
      <c r="BQ103" s="62"/>
      <c r="BR103" s="62"/>
      <c r="BS103" s="62"/>
      <c r="BT103" s="62"/>
      <c r="BU103" s="62"/>
      <c r="BV103" s="62"/>
      <c r="BW103" s="62"/>
      <c r="BX103" s="62"/>
      <c r="BY103" s="62"/>
      <c r="BZ103" s="62"/>
      <c r="CA103" s="62"/>
    </row>
    <row r="104" spans="32:79" ht="13.5" customHeight="1">
      <c r="AF104" s="3"/>
      <c r="AG104" s="3"/>
      <c r="AH104" s="3"/>
      <c r="AI104" s="3"/>
      <c r="AJ104" s="3"/>
      <c r="BA104" s="62"/>
      <c r="BB104" s="62" t="s">
        <v>256</v>
      </c>
      <c r="BC104" s="62"/>
      <c r="BD104" s="62"/>
      <c r="BE104" s="62"/>
      <c r="BF104" s="62"/>
      <c r="BG104" s="62"/>
      <c r="BH104" s="62"/>
      <c r="BI104" s="62"/>
      <c r="BJ104" s="62"/>
      <c r="BK104" s="62"/>
      <c r="BL104" s="62"/>
      <c r="BM104" s="62"/>
      <c r="BN104" s="62"/>
      <c r="BO104" s="62"/>
      <c r="BP104" s="62"/>
      <c r="BQ104" s="62"/>
      <c r="BR104" s="62"/>
      <c r="BS104" s="62"/>
      <c r="BT104" s="62"/>
      <c r="BU104" s="62"/>
      <c r="BV104" s="62"/>
      <c r="BW104" s="62"/>
      <c r="BX104" s="62"/>
      <c r="BY104" s="62"/>
      <c r="BZ104" s="62"/>
      <c r="CA104" s="62"/>
    </row>
    <row r="105" spans="32:79" ht="13.5" customHeight="1" thickBot="1">
      <c r="AF105" s="3"/>
      <c r="AG105" s="3"/>
      <c r="AH105" s="3"/>
      <c r="AI105" s="3"/>
      <c r="AJ105" s="3"/>
      <c r="BA105" s="62"/>
      <c r="BB105" s="62" t="s">
        <v>257</v>
      </c>
      <c r="BC105" s="62" t="s">
        <v>258</v>
      </c>
      <c r="BD105" s="62" t="s">
        <v>253</v>
      </c>
      <c r="BE105" s="62" t="s">
        <v>265</v>
      </c>
      <c r="BF105" s="62" t="s">
        <v>264</v>
      </c>
      <c r="BG105" s="62" t="s">
        <v>259</v>
      </c>
      <c r="BH105" s="62" t="s">
        <v>267</v>
      </c>
      <c r="BI105" s="62" t="s">
        <v>266</v>
      </c>
      <c r="BJ105" s="62"/>
      <c r="BK105" s="62"/>
      <c r="BL105" s="62" t="s">
        <v>257</v>
      </c>
      <c r="BM105" s="62" t="s">
        <v>258</v>
      </c>
      <c r="BN105" s="62" t="s">
        <v>253</v>
      </c>
      <c r="BO105" s="62" t="s">
        <v>277</v>
      </c>
      <c r="BP105" s="62" t="s">
        <v>278</v>
      </c>
      <c r="BQ105" s="62" t="s">
        <v>279</v>
      </c>
      <c r="BR105" s="62" t="s">
        <v>280</v>
      </c>
      <c r="BS105" s="62"/>
      <c r="BT105" s="62" t="s">
        <v>257</v>
      </c>
      <c r="BU105" s="62" t="s">
        <v>258</v>
      </c>
      <c r="BV105" s="62" t="s">
        <v>281</v>
      </c>
      <c r="BW105" s="62" t="s">
        <v>253</v>
      </c>
      <c r="BX105" s="62" t="s">
        <v>277</v>
      </c>
      <c r="BY105" s="62" t="s">
        <v>278</v>
      </c>
      <c r="BZ105" s="62" t="s">
        <v>279</v>
      </c>
      <c r="CA105" s="62"/>
    </row>
    <row r="106" spans="32:79" ht="13.5" customHeight="1">
      <c r="AF106" s="3"/>
      <c r="AG106" s="3"/>
      <c r="AH106" s="3"/>
      <c r="AI106" s="3"/>
      <c r="AJ106" s="3"/>
      <c r="BA106" s="62" t="s">
        <v>262</v>
      </c>
      <c r="BB106" s="75">
        <f>A30</f>
        <v>0</v>
      </c>
      <c r="BC106" s="75">
        <f>C30</f>
        <v>0</v>
      </c>
      <c r="BD106" s="75">
        <f>IF(AND(NOT($H$30="通常食"),NOT($H$30="キッズ")),$H$30,"")</f>
        <v>0</v>
      </c>
      <c r="BE106" s="76" t="e">
        <f>IF(NOT($BD106=""),VLOOKUP($BD106,$BD$160:$BF$225,2,0),"")</f>
        <v>#N/A</v>
      </c>
      <c r="BF106" s="75" t="e">
        <f>IF(NOT($BD106=""),VLOOKUP($BD106,$BD$160:$BF$225,3,0),"")</f>
        <v>#N/A</v>
      </c>
      <c r="BG106" s="77">
        <f>IF(AND(NOT($H$30="通常食"),NOT($H$30="キッズ")),$R$30,"")</f>
        <v>0</v>
      </c>
      <c r="BH106" s="35"/>
      <c r="BI106" s="35">
        <f>IF(OR(BG106="",BG106=0),0,48)</f>
        <v>0</v>
      </c>
      <c r="BJ106" s="62"/>
      <c r="BK106" s="62"/>
      <c r="BL106" s="35">
        <f>INDEX($BB$106:$BB$153,MATCH($BR106,$BI$106:$BI$153,0))</f>
        <v>0</v>
      </c>
      <c r="BM106" s="35">
        <f>INDEX($BC$106:$BC$153,MATCH($BR106,$BI$106:$BI$153,0))</f>
        <v>0</v>
      </c>
      <c r="BN106" s="35" t="e">
        <f>INDEX($BE$106:$BE$153,MATCH($BR106,$BI$106:$BI$153,0))</f>
        <v>#N/A</v>
      </c>
      <c r="BO106" s="35" t="e">
        <f>INDEX($BF$106:$BF$153,MATCH($BR106,$BI$106:$BI$153,0))</f>
        <v>#N/A</v>
      </c>
      <c r="BP106" s="35">
        <f>INDEX($BG$106:$BG$153,MATCH($BR106,$BI$106:$BI$153,0))</f>
        <v>0</v>
      </c>
      <c r="BQ106" s="35" t="e">
        <f>BO106*BP106</f>
        <v>#N/A</v>
      </c>
      <c r="BR106" s="35">
        <f t="shared" ref="BR106:BR123" si="11">LARGE($BI$106:$BI$153,ROW(A1))</f>
        <v>0</v>
      </c>
      <c r="BS106" s="62"/>
      <c r="BT106" s="35">
        <f>IF(NOT($BR106=0),BL106,0)</f>
        <v>0</v>
      </c>
      <c r="BU106" s="35">
        <f t="shared" ref="BU106:BU121" si="12">IF(NOT($BR106=0),BM106,0)</f>
        <v>0</v>
      </c>
      <c r="BV106" s="35">
        <f>IF(BU106="朝　食","朝",(IF(BU106="昼　食","昼",(IF(BU106="夕　食","夕",0)))))</f>
        <v>0</v>
      </c>
      <c r="BW106" s="35">
        <f t="shared" ref="BW106:BW123" si="13">IF(NOT($BR106=0),BN106,0)</f>
        <v>0</v>
      </c>
      <c r="BX106" s="35">
        <f>IF(NOT($BR106=0),BO106,0)</f>
        <v>0</v>
      </c>
      <c r="BY106" s="35">
        <f t="shared" ref="BY106:BY123" si="14">IF(NOT($BR106=0),BP106,0)</f>
        <v>0</v>
      </c>
      <c r="BZ106" s="35">
        <f>IF(NOT($BR106=0),BQ106,0)</f>
        <v>0</v>
      </c>
      <c r="CA106" s="62"/>
    </row>
    <row r="107" spans="32:79" ht="13.5" customHeight="1">
      <c r="AF107" s="3"/>
      <c r="AG107" s="3"/>
      <c r="AH107" s="3"/>
      <c r="AI107" s="3"/>
      <c r="AJ107" s="3"/>
      <c r="BA107" s="62" t="s">
        <v>260</v>
      </c>
      <c r="BB107" s="78">
        <f>A30</f>
        <v>0</v>
      </c>
      <c r="BC107" s="78">
        <f>C30</f>
        <v>0</v>
      </c>
      <c r="BD107" s="79" t="str">
        <f>IF(AND(OR(($H$30="通常食"),($H$30="キッズ")),NOT(OR($M$30=0,$M$30=""))),$H$30,"")</f>
        <v/>
      </c>
      <c r="BE107" s="78" t="str">
        <f>IF($BG107="","",VLOOKUP($BH107,$BD$160:$BF$193,2,0))</f>
        <v/>
      </c>
      <c r="BF107" s="78" t="str">
        <f>IF($BG107="","",VLOOKUP($BH107,$BD$160:$BF$193,3,0))</f>
        <v/>
      </c>
      <c r="BG107" s="79" t="str">
        <f>IF(AND(OR(($H$30="通常食"),($H$30="キッズ")),NOT(OR($M$30=0,$M$30=""))),$M$30,"")</f>
        <v/>
      </c>
      <c r="BH107" s="35" t="str">
        <f>BC107&amp;BD107&amp;BA107</f>
        <v>0幼児</v>
      </c>
      <c r="BI107" s="35">
        <f>IF(OR(BG107="",BG107=0),0,47)</f>
        <v>0</v>
      </c>
      <c r="BJ107" s="62"/>
      <c r="BK107" s="62"/>
      <c r="BL107" s="35">
        <f t="shared" ref="BL107:BL123" si="15">INDEX($BB$106:$BB$153,MATCH($BR107,$BI$106:$BI$153,0))</f>
        <v>0</v>
      </c>
      <c r="BM107" s="35">
        <f t="shared" ref="BM107:BM123" si="16">INDEX($BC$106:$BC$153,MATCH($BR107,$BI$106:$BI$153,0))</f>
        <v>0</v>
      </c>
      <c r="BN107" s="35" t="e">
        <f>INDEX($BE$106:$BE$153,MATCH($BR107,$BI$106:$BI$153,0))</f>
        <v>#N/A</v>
      </c>
      <c r="BO107" s="35" t="e">
        <f t="shared" ref="BO107:BO123" si="17">INDEX($BF$106:$BF$153,MATCH($BR107,$BI$106:$BI$153,0))</f>
        <v>#N/A</v>
      </c>
      <c r="BP107" s="35">
        <f t="shared" ref="BP107:BP123" si="18">INDEX($BG$106:$BG$153,MATCH($BR107,$BI$106:$BI$153,0))</f>
        <v>0</v>
      </c>
      <c r="BQ107" s="35" t="e">
        <f t="shared" ref="BQ107:BQ123" si="19">BO107*BP107</f>
        <v>#N/A</v>
      </c>
      <c r="BR107" s="35">
        <f t="shared" si="11"/>
        <v>0</v>
      </c>
      <c r="BS107" s="62"/>
      <c r="BT107" s="35">
        <f t="shared" ref="BT107:BU123" si="20">IF(NOT($BR107=0),BL107,0)</f>
        <v>0</v>
      </c>
      <c r="BU107" s="35">
        <f t="shared" si="12"/>
        <v>0</v>
      </c>
      <c r="BV107" s="35">
        <f t="shared" ref="BV107:BV123" si="21">IF(BU107="朝　食","朝",(IF(BU107="昼　食","昼",(IF(BU107="夕　食","夕",0)))))</f>
        <v>0</v>
      </c>
      <c r="BW107" s="35">
        <f t="shared" si="13"/>
        <v>0</v>
      </c>
      <c r="BX107" s="35">
        <f t="shared" ref="BX107:BX123" si="22">IF(NOT($BR107=0),BO107,0)</f>
        <v>0</v>
      </c>
      <c r="BY107" s="35">
        <f t="shared" si="14"/>
        <v>0</v>
      </c>
      <c r="BZ107" s="35">
        <f t="shared" ref="BZ107:BZ123" si="23">IF(NOT($BR107=0),BQ107,0)</f>
        <v>0</v>
      </c>
      <c r="CA107" s="62"/>
    </row>
    <row r="108" spans="32:79" ht="13.5" customHeight="1">
      <c r="AF108" s="3"/>
      <c r="AG108" s="3"/>
      <c r="AH108" s="3"/>
      <c r="AI108" s="3"/>
      <c r="AJ108" s="3"/>
      <c r="BA108" s="62" t="s">
        <v>261</v>
      </c>
      <c r="BB108" s="78">
        <f>A30</f>
        <v>0</v>
      </c>
      <c r="BC108" s="78">
        <f>C30</f>
        <v>0</v>
      </c>
      <c r="BD108" s="79" t="str">
        <f>IF(AND(OR(($H$30="通常食"),($H$30="キッズ")),NOT(OR($N$30=0,$N$30=""))),$H$30,"")</f>
        <v/>
      </c>
      <c r="BE108" s="78" t="str">
        <f>IF($BG108="","",VLOOKUP($BH108,$BD$160:$BF$193,2,0))</f>
        <v/>
      </c>
      <c r="BF108" s="78" t="str">
        <f>IF($BG108="","",VLOOKUP($BH108,$BD$160:$BF$193,3,0))</f>
        <v/>
      </c>
      <c r="BG108" s="79" t="str">
        <f>IF(AND(OR(($H$30="通常食"),($H$30="キッズ")),NOT(OR($N$30=0,$N$30=""))),$N$30,"")</f>
        <v/>
      </c>
      <c r="BH108" s="35" t="str">
        <f>BC108&amp;BD108&amp;BA108</f>
        <v>0小学生</v>
      </c>
      <c r="BI108" s="35">
        <f>IF(OR(BG108="",BG108=0),0,46)</f>
        <v>0</v>
      </c>
      <c r="BJ108" s="62"/>
      <c r="BK108" s="62"/>
      <c r="BL108" s="35">
        <f t="shared" si="15"/>
        <v>0</v>
      </c>
      <c r="BM108" s="35">
        <f t="shared" si="16"/>
        <v>0</v>
      </c>
      <c r="BN108" s="35" t="e">
        <f>INDEX($BE$106:$BE$153,MATCH($BR108,$BI$106:$BI$153,0))</f>
        <v>#N/A</v>
      </c>
      <c r="BO108" s="35" t="e">
        <f t="shared" si="17"/>
        <v>#N/A</v>
      </c>
      <c r="BP108" s="35">
        <f t="shared" si="18"/>
        <v>0</v>
      </c>
      <c r="BQ108" s="35" t="e">
        <f t="shared" si="19"/>
        <v>#N/A</v>
      </c>
      <c r="BR108" s="35">
        <f t="shared" si="11"/>
        <v>0</v>
      </c>
      <c r="BS108" s="62"/>
      <c r="BT108" s="35">
        <f t="shared" si="20"/>
        <v>0</v>
      </c>
      <c r="BU108" s="35">
        <f t="shared" si="12"/>
        <v>0</v>
      </c>
      <c r="BV108" s="35">
        <f t="shared" si="21"/>
        <v>0</v>
      </c>
      <c r="BW108" s="35">
        <f>IF(NOT($BR108=0),BN108,0)</f>
        <v>0</v>
      </c>
      <c r="BX108" s="35">
        <f t="shared" si="22"/>
        <v>0</v>
      </c>
      <c r="BY108" s="35">
        <f t="shared" si="14"/>
        <v>0</v>
      </c>
      <c r="BZ108" s="35">
        <f t="shared" si="23"/>
        <v>0</v>
      </c>
      <c r="CA108" s="62"/>
    </row>
    <row r="109" spans="32:79" ht="13.5" customHeight="1" thickBot="1">
      <c r="AF109" s="3"/>
      <c r="AG109" s="3"/>
      <c r="AH109" s="3"/>
      <c r="AI109" s="3"/>
      <c r="AJ109" s="3"/>
      <c r="BA109" s="62" t="s">
        <v>263</v>
      </c>
      <c r="BB109" s="80">
        <f>A30</f>
        <v>0</v>
      </c>
      <c r="BC109" s="80">
        <f>C30</f>
        <v>0</v>
      </c>
      <c r="BD109" s="79" t="str">
        <f>IF(AND(OR(($H$30="通常食"),($H$30="キッズ")),NOT(OR($P$30=0,$P$30=""))),$H$30,"")</f>
        <v/>
      </c>
      <c r="BE109" s="78" t="str">
        <f>IF($BG109="","",VLOOKUP($BH109,$BD$160:$BF$193,2,0))</f>
        <v/>
      </c>
      <c r="BF109" s="78" t="str">
        <f>IF($BG109="","",VLOOKUP($BH109,$BD$160:$BF$193,3,0))</f>
        <v/>
      </c>
      <c r="BG109" s="79" t="str">
        <f>IF(AND(OR(($H$30="通常食"),($H$30="キッズ")),NOT(OR($P$30=0,$P$30=""))),$P$30,"")</f>
        <v/>
      </c>
      <c r="BH109" s="35" t="str">
        <f t="shared" ref="BH109:BH153" si="24">BC109&amp;BD109&amp;BA109</f>
        <v>0中学生以上</v>
      </c>
      <c r="BI109" s="35">
        <f>IF(OR(BG109="",BG109=0),0,45)</f>
        <v>0</v>
      </c>
      <c r="BJ109" s="62"/>
      <c r="BK109" s="62"/>
      <c r="BL109" s="35">
        <f t="shared" si="15"/>
        <v>0</v>
      </c>
      <c r="BM109" s="35">
        <f t="shared" si="16"/>
        <v>0</v>
      </c>
      <c r="BN109" s="35" t="e">
        <f t="shared" ref="BN109:BN123" si="25">INDEX($BE$106:$BE$153,MATCH($BR109,$BI$106:$BI$153,0))</f>
        <v>#N/A</v>
      </c>
      <c r="BO109" s="35" t="e">
        <f t="shared" si="17"/>
        <v>#N/A</v>
      </c>
      <c r="BP109" s="35">
        <f t="shared" si="18"/>
        <v>0</v>
      </c>
      <c r="BQ109" s="35" t="e">
        <f t="shared" si="19"/>
        <v>#N/A</v>
      </c>
      <c r="BR109" s="35">
        <f t="shared" si="11"/>
        <v>0</v>
      </c>
      <c r="BS109" s="62"/>
      <c r="BT109" s="35">
        <f t="shared" si="20"/>
        <v>0</v>
      </c>
      <c r="BU109" s="35">
        <f t="shared" si="12"/>
        <v>0</v>
      </c>
      <c r="BV109" s="35">
        <f t="shared" si="21"/>
        <v>0</v>
      </c>
      <c r="BW109" s="35">
        <f t="shared" si="13"/>
        <v>0</v>
      </c>
      <c r="BX109" s="35">
        <f t="shared" si="22"/>
        <v>0</v>
      </c>
      <c r="BY109" s="35">
        <f t="shared" si="14"/>
        <v>0</v>
      </c>
      <c r="BZ109" s="35">
        <f t="shared" si="23"/>
        <v>0</v>
      </c>
      <c r="CA109" s="62"/>
    </row>
    <row r="110" spans="32:79" ht="13.5" customHeight="1">
      <c r="AF110" s="3"/>
      <c r="AG110" s="3"/>
      <c r="AH110" s="3"/>
      <c r="AI110" s="3"/>
      <c r="AJ110" s="3"/>
      <c r="BA110" s="62" t="s">
        <v>262</v>
      </c>
      <c r="BB110" s="75">
        <f>A31</f>
        <v>0</v>
      </c>
      <c r="BC110" s="75">
        <f>C31</f>
        <v>0</v>
      </c>
      <c r="BD110" s="75">
        <f>IF(AND(NOT($H$31="通常食"),NOT($H$31="キッズ")),$H$31,"")</f>
        <v>0</v>
      </c>
      <c r="BE110" s="75" t="e">
        <f>IF(NOT($BD110=""),VLOOKUP($BD110,$BD$159:$BF$231,2,0),"")</f>
        <v>#N/A</v>
      </c>
      <c r="BF110" s="75" t="e">
        <f>IF(NOT($BD110=""),VLOOKUP($BD110,$BD$159:$BF$225,3,0),"")</f>
        <v>#N/A</v>
      </c>
      <c r="BG110" s="77">
        <f>IF(AND(NOT($H$31="通常食"),NOT($H$31="キッズ")),$R$31,"")</f>
        <v>0</v>
      </c>
      <c r="BH110" s="35"/>
      <c r="BI110" s="35">
        <f>IF(OR(BG110="",BG110=0),0,44)</f>
        <v>0</v>
      </c>
      <c r="BJ110" s="62"/>
      <c r="BK110" s="62"/>
      <c r="BL110" s="35">
        <f t="shared" si="15"/>
        <v>0</v>
      </c>
      <c r="BM110" s="35">
        <f t="shared" si="16"/>
        <v>0</v>
      </c>
      <c r="BN110" s="35" t="e">
        <f t="shared" si="25"/>
        <v>#N/A</v>
      </c>
      <c r="BO110" s="35" t="e">
        <f t="shared" si="17"/>
        <v>#N/A</v>
      </c>
      <c r="BP110" s="35">
        <f t="shared" si="18"/>
        <v>0</v>
      </c>
      <c r="BQ110" s="35" t="e">
        <f t="shared" si="19"/>
        <v>#N/A</v>
      </c>
      <c r="BR110" s="35">
        <f t="shared" si="11"/>
        <v>0</v>
      </c>
      <c r="BS110" s="62"/>
      <c r="BT110" s="35">
        <f t="shared" si="20"/>
        <v>0</v>
      </c>
      <c r="BU110" s="35">
        <f t="shared" si="12"/>
        <v>0</v>
      </c>
      <c r="BV110" s="35">
        <f t="shared" si="21"/>
        <v>0</v>
      </c>
      <c r="BW110" s="35">
        <f t="shared" si="13"/>
        <v>0</v>
      </c>
      <c r="BX110" s="35">
        <f t="shared" si="22"/>
        <v>0</v>
      </c>
      <c r="BY110" s="35">
        <f t="shared" si="14"/>
        <v>0</v>
      </c>
      <c r="BZ110" s="35">
        <f t="shared" si="23"/>
        <v>0</v>
      </c>
      <c r="CA110" s="62"/>
    </row>
    <row r="111" spans="32:79" ht="13.5" customHeight="1">
      <c r="AF111" s="3"/>
      <c r="AG111" s="3"/>
      <c r="AH111" s="3"/>
      <c r="AI111" s="3"/>
      <c r="AJ111" s="3"/>
      <c r="BA111" s="62" t="s">
        <v>260</v>
      </c>
      <c r="BB111" s="78">
        <f>A31</f>
        <v>0</v>
      </c>
      <c r="BC111" s="78">
        <f>C31</f>
        <v>0</v>
      </c>
      <c r="BD111" s="79" t="str">
        <f>IF(AND(OR(($H$31="通常食"),($H$31="キッズ")),NOT(OR($M$31=0,$M$31=""))),$H$31,"")</f>
        <v/>
      </c>
      <c r="BE111" s="78" t="str">
        <f>IF($BG111="","",VLOOKUP($BH111,$BD$160:$BF$193,2,0))</f>
        <v/>
      </c>
      <c r="BF111" s="78" t="str">
        <f>IF($BG111="","",VLOOKUP($BH111,$BD$160:$BF$193,3,0))</f>
        <v/>
      </c>
      <c r="BG111" s="79" t="str">
        <f>IF(AND(OR(($H$31="通常食"),($H$31="キッズ")),NOT(OR($M$31=0,$M$31=""))),$M$31,"")</f>
        <v/>
      </c>
      <c r="BH111" s="35" t="str">
        <f t="shared" si="24"/>
        <v>0幼児</v>
      </c>
      <c r="BI111" s="35">
        <f>IF(OR(BG111="",BG111=0),0,43)</f>
        <v>0</v>
      </c>
      <c r="BJ111" s="62"/>
      <c r="BK111" s="62"/>
      <c r="BL111" s="35">
        <f t="shared" si="15"/>
        <v>0</v>
      </c>
      <c r="BM111" s="35">
        <f t="shared" si="16"/>
        <v>0</v>
      </c>
      <c r="BN111" s="35" t="e">
        <f>INDEX($BE$106:$BE$153,MATCH($BR111,$BI$106:$BI$153,0))</f>
        <v>#N/A</v>
      </c>
      <c r="BO111" s="35" t="e">
        <f t="shared" si="17"/>
        <v>#N/A</v>
      </c>
      <c r="BP111" s="35">
        <f t="shared" si="18"/>
        <v>0</v>
      </c>
      <c r="BQ111" s="35" t="e">
        <f t="shared" si="19"/>
        <v>#N/A</v>
      </c>
      <c r="BR111" s="35">
        <f t="shared" si="11"/>
        <v>0</v>
      </c>
      <c r="BS111" s="62"/>
      <c r="BT111" s="35">
        <f t="shared" si="20"/>
        <v>0</v>
      </c>
      <c r="BU111" s="35">
        <f t="shared" si="12"/>
        <v>0</v>
      </c>
      <c r="BV111" s="35">
        <f t="shared" si="21"/>
        <v>0</v>
      </c>
      <c r="BW111" s="35">
        <f t="shared" si="13"/>
        <v>0</v>
      </c>
      <c r="BX111" s="35">
        <f t="shared" si="22"/>
        <v>0</v>
      </c>
      <c r="BY111" s="35">
        <f t="shared" si="14"/>
        <v>0</v>
      </c>
      <c r="BZ111" s="35">
        <f t="shared" si="23"/>
        <v>0</v>
      </c>
      <c r="CA111" s="62"/>
    </row>
    <row r="112" spans="32:79" ht="13.5" customHeight="1">
      <c r="AF112" s="3"/>
      <c r="AG112" s="3"/>
      <c r="AH112" s="3"/>
      <c r="AI112" s="3"/>
      <c r="AJ112" s="3"/>
      <c r="BA112" s="62" t="s">
        <v>261</v>
      </c>
      <c r="BB112" s="78">
        <f>A31</f>
        <v>0</v>
      </c>
      <c r="BC112" s="78">
        <f>C31</f>
        <v>0</v>
      </c>
      <c r="BD112" s="79" t="str">
        <f>IF(AND(OR(($H$31="通常食"),($H$31="キッズ")),NOT(OR($N$31=0,$N$31=""))),$H$31,"")</f>
        <v/>
      </c>
      <c r="BE112" s="78" t="str">
        <f>IF($BG112="","",VLOOKUP($BH112,$BD$160:$BF$193,2,0))</f>
        <v/>
      </c>
      <c r="BF112" s="78" t="str">
        <f>IF($BG112="","",VLOOKUP($BH112,$BD$160:$BF$193,3,0))</f>
        <v/>
      </c>
      <c r="BG112" s="79" t="str">
        <f>IF(AND(OR(($H$31="通常食"),($H$31="キッズ")),NOT(OR($N$31=0,$N$31=""))),$N$31,"")</f>
        <v/>
      </c>
      <c r="BH112" s="35" t="str">
        <f t="shared" si="24"/>
        <v>0小学生</v>
      </c>
      <c r="BI112" s="35">
        <f>IF(OR(BG112="",BG112=0),0,42)</f>
        <v>0</v>
      </c>
      <c r="BJ112" s="62"/>
      <c r="BK112" s="62"/>
      <c r="BL112" s="35">
        <f t="shared" si="15"/>
        <v>0</v>
      </c>
      <c r="BM112" s="35">
        <f t="shared" si="16"/>
        <v>0</v>
      </c>
      <c r="BN112" s="35" t="e">
        <f t="shared" si="25"/>
        <v>#N/A</v>
      </c>
      <c r="BO112" s="35" t="e">
        <f t="shared" si="17"/>
        <v>#N/A</v>
      </c>
      <c r="BP112" s="35">
        <f t="shared" si="18"/>
        <v>0</v>
      </c>
      <c r="BQ112" s="35" t="e">
        <f t="shared" si="19"/>
        <v>#N/A</v>
      </c>
      <c r="BR112" s="35">
        <f t="shared" si="11"/>
        <v>0</v>
      </c>
      <c r="BS112" s="62"/>
      <c r="BT112" s="35">
        <f t="shared" si="20"/>
        <v>0</v>
      </c>
      <c r="BU112" s="35">
        <f t="shared" si="12"/>
        <v>0</v>
      </c>
      <c r="BV112" s="35">
        <f>IF(BU112="朝　食","朝",(IF(BU112="昼　食","昼",(IF(BU112="夕　食","夕",0)))))</f>
        <v>0</v>
      </c>
      <c r="BW112" s="35">
        <f t="shared" si="13"/>
        <v>0</v>
      </c>
      <c r="BX112" s="35">
        <f t="shared" si="22"/>
        <v>0</v>
      </c>
      <c r="BY112" s="35">
        <f t="shared" si="14"/>
        <v>0</v>
      </c>
      <c r="BZ112" s="35">
        <f t="shared" si="23"/>
        <v>0</v>
      </c>
      <c r="CA112" s="62"/>
    </row>
    <row r="113" spans="32:79" ht="13.5" customHeight="1" thickBot="1">
      <c r="AF113" s="3"/>
      <c r="AG113" s="3"/>
      <c r="AH113" s="3"/>
      <c r="AI113" s="3"/>
      <c r="AJ113" s="3"/>
      <c r="BA113" s="62" t="s">
        <v>263</v>
      </c>
      <c r="BB113" s="80">
        <f>A31</f>
        <v>0</v>
      </c>
      <c r="BC113" s="80">
        <f>C31</f>
        <v>0</v>
      </c>
      <c r="BD113" s="79" t="str">
        <f>IF(AND(OR(($H$31="通常食"),($H$31="キッズ")),NOT(OR($P$31=0,$P$31=""))),$H$31,"")</f>
        <v/>
      </c>
      <c r="BE113" s="78" t="str">
        <f>IF($BG113="","",VLOOKUP($BH113,$BD$160:$BF$193,2,0))</f>
        <v/>
      </c>
      <c r="BF113" s="78" t="str">
        <f>IF($BG113="","",VLOOKUP($BH113,$BD$160:$BF$193,3,0))</f>
        <v/>
      </c>
      <c r="BG113" s="79" t="str">
        <f>IF(AND(OR(($H$31="通常食"),($H$31="キッズ")),NOT(OR($P$31=0,$P$31=""))),$P$31,"")</f>
        <v/>
      </c>
      <c r="BH113" s="35" t="str">
        <f t="shared" si="24"/>
        <v>0中学生以上</v>
      </c>
      <c r="BI113" s="35">
        <f>IF(OR(BG113="",BG113=0),0,41)</f>
        <v>0</v>
      </c>
      <c r="BJ113" s="62"/>
      <c r="BK113" s="62"/>
      <c r="BL113" s="35">
        <f t="shared" si="15"/>
        <v>0</v>
      </c>
      <c r="BM113" s="35">
        <f t="shared" si="16"/>
        <v>0</v>
      </c>
      <c r="BN113" s="35" t="e">
        <f t="shared" si="25"/>
        <v>#N/A</v>
      </c>
      <c r="BO113" s="35" t="e">
        <f t="shared" si="17"/>
        <v>#N/A</v>
      </c>
      <c r="BP113" s="35">
        <f t="shared" si="18"/>
        <v>0</v>
      </c>
      <c r="BQ113" s="35" t="e">
        <f t="shared" si="19"/>
        <v>#N/A</v>
      </c>
      <c r="BR113" s="35">
        <f t="shared" si="11"/>
        <v>0</v>
      </c>
      <c r="BS113" s="62"/>
      <c r="BT113" s="35">
        <f t="shared" si="20"/>
        <v>0</v>
      </c>
      <c r="BU113" s="35">
        <f t="shared" si="12"/>
        <v>0</v>
      </c>
      <c r="BV113" s="35">
        <f t="shared" si="21"/>
        <v>0</v>
      </c>
      <c r="BW113" s="35">
        <f>IF(NOT($BR113=0),BN113,0)</f>
        <v>0</v>
      </c>
      <c r="BX113" s="35">
        <f t="shared" si="22"/>
        <v>0</v>
      </c>
      <c r="BY113" s="35">
        <f t="shared" si="14"/>
        <v>0</v>
      </c>
      <c r="BZ113" s="35">
        <f t="shared" si="23"/>
        <v>0</v>
      </c>
      <c r="CA113" s="62"/>
    </row>
    <row r="114" spans="32:79" ht="13.5" customHeight="1">
      <c r="AF114" s="3"/>
      <c r="AG114" s="3"/>
      <c r="AH114" s="3"/>
      <c r="AI114" s="3"/>
      <c r="AJ114" s="3"/>
      <c r="BA114" s="62" t="s">
        <v>262</v>
      </c>
      <c r="BB114" s="75">
        <f>A32</f>
        <v>0</v>
      </c>
      <c r="BC114" s="75">
        <f>C32</f>
        <v>0</v>
      </c>
      <c r="BD114" s="75">
        <f>IF(AND(NOT($H$32="通常食"),NOT($H$32="キッズ")),$H$32,"")</f>
        <v>0</v>
      </c>
      <c r="BE114" s="75" t="e">
        <f>IF(NOT($BD114=""),VLOOKUP($BD114,$BD$159:$BF$231,2,0),"")</f>
        <v>#N/A</v>
      </c>
      <c r="BF114" s="75" t="e">
        <f>IF(NOT($BD114=""),VLOOKUP($BD114,$BD$159:$BF$225,3,0),"")</f>
        <v>#N/A</v>
      </c>
      <c r="BG114" s="77">
        <f>IF(AND(NOT($H$32="通常食"),NOT($H$32="キッズ")),$R$32,"")</f>
        <v>0</v>
      </c>
      <c r="BH114" s="35"/>
      <c r="BI114" s="35">
        <f>IF(OR(BG114="",BG114=0),0,40)</f>
        <v>0</v>
      </c>
      <c r="BJ114" s="62"/>
      <c r="BK114" s="62"/>
      <c r="BL114" s="35">
        <f t="shared" si="15"/>
        <v>0</v>
      </c>
      <c r="BM114" s="35">
        <f t="shared" si="16"/>
        <v>0</v>
      </c>
      <c r="BN114" s="35" t="e">
        <f>INDEX($BE$106:$BE$153,MATCH($BR114,$BI$106:$BI$153,0))</f>
        <v>#N/A</v>
      </c>
      <c r="BO114" s="35" t="e">
        <f t="shared" si="17"/>
        <v>#N/A</v>
      </c>
      <c r="BP114" s="35">
        <f t="shared" si="18"/>
        <v>0</v>
      </c>
      <c r="BQ114" s="35" t="e">
        <f>BO114*BP114</f>
        <v>#N/A</v>
      </c>
      <c r="BR114" s="35">
        <f t="shared" si="11"/>
        <v>0</v>
      </c>
      <c r="BS114" s="62"/>
      <c r="BT114" s="35">
        <f t="shared" si="20"/>
        <v>0</v>
      </c>
      <c r="BU114" s="35">
        <f t="shared" si="12"/>
        <v>0</v>
      </c>
      <c r="BV114" s="35">
        <f t="shared" si="21"/>
        <v>0</v>
      </c>
      <c r="BW114" s="35">
        <f>IF(NOT($BR114=0),BN114,0)</f>
        <v>0</v>
      </c>
      <c r="BX114" s="35">
        <f t="shared" si="22"/>
        <v>0</v>
      </c>
      <c r="BY114" s="35">
        <f t="shared" si="14"/>
        <v>0</v>
      </c>
      <c r="BZ114" s="35">
        <f t="shared" si="23"/>
        <v>0</v>
      </c>
      <c r="CA114" s="62"/>
    </row>
    <row r="115" spans="32:79" ht="13.5" customHeight="1">
      <c r="AF115" s="3"/>
      <c r="AG115" s="3"/>
      <c r="AH115" s="3"/>
      <c r="AI115" s="3"/>
      <c r="AJ115" s="3"/>
      <c r="BA115" s="62" t="s">
        <v>260</v>
      </c>
      <c r="BB115" s="78">
        <f>A32</f>
        <v>0</v>
      </c>
      <c r="BC115" s="78">
        <f>C32</f>
        <v>0</v>
      </c>
      <c r="BD115" s="79" t="str">
        <f>IF(AND(OR(($H$32="通常食"),($H$32="キッズ")),NOT(OR($M$32=0,$M$32=""))),$H$32,"")</f>
        <v/>
      </c>
      <c r="BE115" s="78" t="str">
        <f>IF($BG115="","",VLOOKUP($BH115,$BD$158:$BF$191,2,0))</f>
        <v/>
      </c>
      <c r="BF115" s="78" t="str">
        <f>IF($BG115="","",VLOOKUP($BH115,$BD$159:$BF$192,3,0))</f>
        <v/>
      </c>
      <c r="BG115" s="79" t="str">
        <f>IF(AND(OR(($H$32="通常食"),($H$32="キッズ")),NOT(OR($M$32=0,$M$32=""))),$M$32,"")</f>
        <v/>
      </c>
      <c r="BH115" s="35" t="str">
        <f t="shared" si="24"/>
        <v>0幼児</v>
      </c>
      <c r="BI115" s="35">
        <f>IF(OR(BG115="",BG115=0),0,39)</f>
        <v>0</v>
      </c>
      <c r="BJ115" s="62"/>
      <c r="BK115" s="62"/>
      <c r="BL115" s="35">
        <f t="shared" si="15"/>
        <v>0</v>
      </c>
      <c r="BM115" s="35">
        <f t="shared" si="16"/>
        <v>0</v>
      </c>
      <c r="BN115" s="35" t="e">
        <f t="shared" si="25"/>
        <v>#N/A</v>
      </c>
      <c r="BO115" s="35" t="e">
        <f t="shared" si="17"/>
        <v>#N/A</v>
      </c>
      <c r="BP115" s="35">
        <f t="shared" si="18"/>
        <v>0</v>
      </c>
      <c r="BQ115" s="35" t="e">
        <f t="shared" si="19"/>
        <v>#N/A</v>
      </c>
      <c r="BR115" s="35">
        <f t="shared" si="11"/>
        <v>0</v>
      </c>
      <c r="BS115" s="62"/>
      <c r="BT115" s="35">
        <f t="shared" si="20"/>
        <v>0</v>
      </c>
      <c r="BU115" s="35">
        <f t="shared" si="12"/>
        <v>0</v>
      </c>
      <c r="BV115" s="35">
        <f t="shared" si="21"/>
        <v>0</v>
      </c>
      <c r="BW115" s="35">
        <f t="shared" si="13"/>
        <v>0</v>
      </c>
      <c r="BX115" s="35">
        <f t="shared" si="22"/>
        <v>0</v>
      </c>
      <c r="BY115" s="35">
        <f t="shared" si="14"/>
        <v>0</v>
      </c>
      <c r="BZ115" s="35">
        <f t="shared" si="23"/>
        <v>0</v>
      </c>
      <c r="CA115" s="62"/>
    </row>
    <row r="116" spans="32:79" ht="13.5" customHeight="1">
      <c r="AF116" s="3"/>
      <c r="AG116" s="3"/>
      <c r="AH116" s="3"/>
      <c r="AI116" s="3"/>
      <c r="AJ116" s="3"/>
      <c r="BA116" s="62" t="s">
        <v>261</v>
      </c>
      <c r="BB116" s="78">
        <f>A32</f>
        <v>0</v>
      </c>
      <c r="BC116" s="78">
        <f>C32</f>
        <v>0</v>
      </c>
      <c r="BD116" s="79" t="str">
        <f>IF(AND(OR(($H$32="通常食"),($H$32="キッズ")),NOT(OR($N$32=0,$N$32=""))),$H$32,"")</f>
        <v/>
      </c>
      <c r="BE116" s="78" t="str">
        <f>IF($BG116="","",VLOOKUP($BH116,$BD$160:$BF$193,2,0))</f>
        <v/>
      </c>
      <c r="BF116" s="78" t="str">
        <f>IF($BG116="","",VLOOKUP($BH116,$BD$160:$BF$193,3,0))</f>
        <v/>
      </c>
      <c r="BG116" s="79" t="str">
        <f>IF(AND(OR(($H$32="通常食"),($H$32="キッズ")),NOT(OR($N$32=0,$N$32=""))),$N$32,"")</f>
        <v/>
      </c>
      <c r="BH116" s="35" t="str">
        <f t="shared" si="24"/>
        <v>0小学生</v>
      </c>
      <c r="BI116" s="35">
        <f>IF(OR(BG116="",BG116=0),0,38)</f>
        <v>0</v>
      </c>
      <c r="BJ116" s="62"/>
      <c r="BK116" s="62"/>
      <c r="BL116" s="35">
        <f t="shared" si="15"/>
        <v>0</v>
      </c>
      <c r="BM116" s="35">
        <f t="shared" si="16"/>
        <v>0</v>
      </c>
      <c r="BN116" s="35" t="e">
        <f t="shared" si="25"/>
        <v>#N/A</v>
      </c>
      <c r="BO116" s="35" t="e">
        <f t="shared" si="17"/>
        <v>#N/A</v>
      </c>
      <c r="BP116" s="35">
        <f t="shared" si="18"/>
        <v>0</v>
      </c>
      <c r="BQ116" s="35" t="e">
        <f t="shared" si="19"/>
        <v>#N/A</v>
      </c>
      <c r="BR116" s="35">
        <f t="shared" si="11"/>
        <v>0</v>
      </c>
      <c r="BS116" s="62"/>
      <c r="BT116" s="35">
        <f t="shared" si="20"/>
        <v>0</v>
      </c>
      <c r="BU116" s="35">
        <f t="shared" si="12"/>
        <v>0</v>
      </c>
      <c r="BV116" s="35">
        <f t="shared" si="21"/>
        <v>0</v>
      </c>
      <c r="BW116" s="35">
        <f t="shared" si="13"/>
        <v>0</v>
      </c>
      <c r="BX116" s="35">
        <f t="shared" si="22"/>
        <v>0</v>
      </c>
      <c r="BY116" s="35">
        <f t="shared" si="14"/>
        <v>0</v>
      </c>
      <c r="BZ116" s="35">
        <f t="shared" si="23"/>
        <v>0</v>
      </c>
      <c r="CA116" s="62"/>
    </row>
    <row r="117" spans="32:79" ht="13.5" customHeight="1" thickBot="1">
      <c r="AF117" s="3"/>
      <c r="AG117" s="3"/>
      <c r="AH117" s="3"/>
      <c r="AI117" s="3"/>
      <c r="AJ117" s="3"/>
      <c r="BA117" s="62" t="s">
        <v>263</v>
      </c>
      <c r="BB117" s="80">
        <f>A32</f>
        <v>0</v>
      </c>
      <c r="BC117" s="80">
        <f>C32</f>
        <v>0</v>
      </c>
      <c r="BD117" s="79" t="str">
        <f>IF(AND(OR(($H$32="通常食"),($H$32="キッズ")),NOT(OR($P$32=0,$P$32=""))),$H$32,"")</f>
        <v/>
      </c>
      <c r="BE117" s="78" t="str">
        <f>IF($BG117="","",VLOOKUP($BH117,$BD$160:$BF$193,2,0))</f>
        <v/>
      </c>
      <c r="BF117" s="78" t="str">
        <f>IF($BG117="","",VLOOKUP($BH117,$BD$160:$BF$193,3,0))</f>
        <v/>
      </c>
      <c r="BG117" s="79" t="str">
        <f>IF(AND(OR(($H$32="通常食"),($H$32="キッズ")),NOT(OR($P$32=0,$P$32=""))),$P$32,"")</f>
        <v/>
      </c>
      <c r="BH117" s="35" t="str">
        <f t="shared" si="24"/>
        <v>0中学生以上</v>
      </c>
      <c r="BI117" s="35">
        <f>IF(OR(BG117="",BG117=0),0,37)</f>
        <v>0</v>
      </c>
      <c r="BJ117" s="62"/>
      <c r="BK117" s="62"/>
      <c r="BL117" s="35">
        <f t="shared" si="15"/>
        <v>0</v>
      </c>
      <c r="BM117" s="35">
        <f t="shared" si="16"/>
        <v>0</v>
      </c>
      <c r="BN117" s="35" t="e">
        <f t="shared" si="25"/>
        <v>#N/A</v>
      </c>
      <c r="BO117" s="35" t="e">
        <f t="shared" si="17"/>
        <v>#N/A</v>
      </c>
      <c r="BP117" s="35">
        <f t="shared" si="18"/>
        <v>0</v>
      </c>
      <c r="BQ117" s="35" t="e">
        <f t="shared" si="19"/>
        <v>#N/A</v>
      </c>
      <c r="BR117" s="35">
        <f t="shared" si="11"/>
        <v>0</v>
      </c>
      <c r="BS117" s="62"/>
      <c r="BT117" s="35">
        <f t="shared" si="20"/>
        <v>0</v>
      </c>
      <c r="BU117" s="35">
        <f t="shared" si="12"/>
        <v>0</v>
      </c>
      <c r="BV117" s="35">
        <f t="shared" si="21"/>
        <v>0</v>
      </c>
      <c r="BW117" s="35">
        <f t="shared" si="13"/>
        <v>0</v>
      </c>
      <c r="BX117" s="35">
        <f t="shared" si="22"/>
        <v>0</v>
      </c>
      <c r="BY117" s="35">
        <f t="shared" si="14"/>
        <v>0</v>
      </c>
      <c r="BZ117" s="35">
        <f t="shared" si="23"/>
        <v>0</v>
      </c>
      <c r="CA117" s="62"/>
    </row>
    <row r="118" spans="32:79" ht="13.5" customHeight="1">
      <c r="AF118" s="3"/>
      <c r="AG118" s="3"/>
      <c r="AH118" s="3"/>
      <c r="AI118" s="3"/>
      <c r="AJ118" s="3"/>
      <c r="BA118" s="62" t="s">
        <v>262</v>
      </c>
      <c r="BB118" s="75">
        <f>A33</f>
        <v>0</v>
      </c>
      <c r="BC118" s="75">
        <f>C33</f>
        <v>0</v>
      </c>
      <c r="BD118" s="75">
        <f>IF(AND(NOT($H$33="通常食"),NOT($H$33="キッズ")),$H$33,"")</f>
        <v>0</v>
      </c>
      <c r="BE118" s="75" t="e">
        <f>IF(NOT($BD118=""),VLOOKUP($BD118,$BD$159:$BF$231,2,0),"")</f>
        <v>#N/A</v>
      </c>
      <c r="BF118" s="75" t="e">
        <f>IF(NOT($BD118=""),VLOOKUP($BD118,$BD$159:$BF$225,3,0),"")</f>
        <v>#N/A</v>
      </c>
      <c r="BG118" s="77">
        <f>IF(AND(NOT($H$33="通常食"),NOT($H$33="キッズ")),$R$33,"")</f>
        <v>0</v>
      </c>
      <c r="BH118" s="35"/>
      <c r="BI118" s="35">
        <f>IF(OR(BG118="",BG118=0),0,36)</f>
        <v>0</v>
      </c>
      <c r="BJ118" s="62"/>
      <c r="BK118" s="62"/>
      <c r="BL118" s="35">
        <f t="shared" si="15"/>
        <v>0</v>
      </c>
      <c r="BM118" s="35">
        <f t="shared" si="16"/>
        <v>0</v>
      </c>
      <c r="BN118" s="35" t="e">
        <f>INDEX($BE$106:$BE$153,MATCH($BR118,$BI$106:$BI$153,0))</f>
        <v>#N/A</v>
      </c>
      <c r="BO118" s="35" t="e">
        <f t="shared" si="17"/>
        <v>#N/A</v>
      </c>
      <c r="BP118" s="35">
        <f t="shared" si="18"/>
        <v>0</v>
      </c>
      <c r="BQ118" s="35" t="e">
        <f t="shared" si="19"/>
        <v>#N/A</v>
      </c>
      <c r="BR118" s="35">
        <f t="shared" si="11"/>
        <v>0</v>
      </c>
      <c r="BS118" s="62"/>
      <c r="BT118" s="35">
        <f t="shared" si="20"/>
        <v>0</v>
      </c>
      <c r="BU118" s="35">
        <f t="shared" si="12"/>
        <v>0</v>
      </c>
      <c r="BV118" s="35">
        <f t="shared" si="21"/>
        <v>0</v>
      </c>
      <c r="BW118" s="35">
        <f>IF(NOT($BR118=0),BN118,0)</f>
        <v>0</v>
      </c>
      <c r="BX118" s="35">
        <f t="shared" si="22"/>
        <v>0</v>
      </c>
      <c r="BY118" s="35">
        <f t="shared" si="14"/>
        <v>0</v>
      </c>
      <c r="BZ118" s="35">
        <f t="shared" si="23"/>
        <v>0</v>
      </c>
      <c r="CA118" s="62"/>
    </row>
    <row r="119" spans="32:79" ht="13.5" customHeight="1">
      <c r="AF119" s="3"/>
      <c r="AG119" s="3"/>
      <c r="AH119" s="3"/>
      <c r="AI119" s="3"/>
      <c r="AJ119" s="3"/>
      <c r="BA119" s="62" t="s">
        <v>260</v>
      </c>
      <c r="BB119" s="78">
        <f>A33</f>
        <v>0</v>
      </c>
      <c r="BC119" s="78">
        <f>C33</f>
        <v>0</v>
      </c>
      <c r="BD119" s="79" t="str">
        <f>IF(AND(OR(($H$33="通常食"),($H$33="キッズ")),NOT(OR($M$33=0,$M$33=""))),$H$33,"")</f>
        <v/>
      </c>
      <c r="BE119" s="78" t="str">
        <f>IF($BG119="","",VLOOKUP($BH119,$BD$160:$BF$193,2,0))</f>
        <v/>
      </c>
      <c r="BF119" s="78" t="str">
        <f>IF($BG119="","",VLOOKUP($BH119,$BD$160:$BF$193,3,0))</f>
        <v/>
      </c>
      <c r="BG119" s="79" t="str">
        <f>IF(AND(OR(($H$33="通常食"),($H$33="キッズ")),NOT(OR($M$33=0,$M$33=""))),$M$33,"")</f>
        <v/>
      </c>
      <c r="BH119" s="35" t="str">
        <f>BC119&amp;BD119&amp;BA119</f>
        <v>0幼児</v>
      </c>
      <c r="BI119" s="35">
        <f>IF(OR(BG119="",BG119=0),0,35)</f>
        <v>0</v>
      </c>
      <c r="BJ119" s="62"/>
      <c r="BK119" s="62"/>
      <c r="BL119" s="35">
        <f t="shared" si="15"/>
        <v>0</v>
      </c>
      <c r="BM119" s="35">
        <f t="shared" si="16"/>
        <v>0</v>
      </c>
      <c r="BN119" s="35" t="e">
        <f t="shared" si="25"/>
        <v>#N/A</v>
      </c>
      <c r="BO119" s="35" t="e">
        <f t="shared" si="17"/>
        <v>#N/A</v>
      </c>
      <c r="BP119" s="35">
        <f t="shared" si="18"/>
        <v>0</v>
      </c>
      <c r="BQ119" s="35" t="e">
        <f t="shared" si="19"/>
        <v>#N/A</v>
      </c>
      <c r="BR119" s="35">
        <f t="shared" si="11"/>
        <v>0</v>
      </c>
      <c r="BS119" s="62"/>
      <c r="BT119" s="35">
        <f t="shared" si="20"/>
        <v>0</v>
      </c>
      <c r="BU119" s="35">
        <f t="shared" si="12"/>
        <v>0</v>
      </c>
      <c r="BV119" s="35">
        <f t="shared" si="21"/>
        <v>0</v>
      </c>
      <c r="BW119" s="35">
        <f t="shared" si="13"/>
        <v>0</v>
      </c>
      <c r="BX119" s="35">
        <f t="shared" si="22"/>
        <v>0</v>
      </c>
      <c r="BY119" s="35">
        <f t="shared" si="14"/>
        <v>0</v>
      </c>
      <c r="BZ119" s="35">
        <f t="shared" si="23"/>
        <v>0</v>
      </c>
      <c r="CA119" s="62"/>
    </row>
    <row r="120" spans="32:79" ht="13.5" customHeight="1">
      <c r="AF120" s="3"/>
      <c r="AG120" s="3"/>
      <c r="AH120" s="3"/>
      <c r="AI120" s="3"/>
      <c r="AJ120" s="3"/>
      <c r="BA120" s="62" t="s">
        <v>261</v>
      </c>
      <c r="BB120" s="78">
        <f>A33</f>
        <v>0</v>
      </c>
      <c r="BC120" s="78">
        <f>C33</f>
        <v>0</v>
      </c>
      <c r="BD120" s="79" t="str">
        <f>IF(AND(OR(($H$33="通常食"),($H$33="キッズ")),NOT(OR($N$33=0,$N$33=""))),$H$33,"")</f>
        <v/>
      </c>
      <c r="BE120" s="78" t="str">
        <f>IF($BG120="","",VLOOKUP($BH120,$BD$160:$BF$193,2,0))</f>
        <v/>
      </c>
      <c r="BF120" s="78" t="str">
        <f>IF($BG120="","",VLOOKUP($BH120,$BD$160:$BF$193,3,0))</f>
        <v/>
      </c>
      <c r="BG120" s="79" t="str">
        <f>IF(AND(OR(($H$33="通常食"),($H$33="キッズ")),NOT(OR($N$33=0,$N$33=""))),$N$33,"")</f>
        <v/>
      </c>
      <c r="BH120" s="35" t="str">
        <f t="shared" si="24"/>
        <v>0小学生</v>
      </c>
      <c r="BI120" s="35">
        <f>IF(OR(BG120="",BG120=0),0,34)</f>
        <v>0</v>
      </c>
      <c r="BJ120" s="62"/>
      <c r="BK120" s="62"/>
      <c r="BL120" s="35">
        <f t="shared" si="15"/>
        <v>0</v>
      </c>
      <c r="BM120" s="35">
        <f t="shared" si="16"/>
        <v>0</v>
      </c>
      <c r="BN120" s="35" t="e">
        <f t="shared" si="25"/>
        <v>#N/A</v>
      </c>
      <c r="BO120" s="35" t="e">
        <f t="shared" si="17"/>
        <v>#N/A</v>
      </c>
      <c r="BP120" s="35">
        <f t="shared" si="18"/>
        <v>0</v>
      </c>
      <c r="BQ120" s="35" t="e">
        <f t="shared" si="19"/>
        <v>#N/A</v>
      </c>
      <c r="BR120" s="35">
        <f t="shared" si="11"/>
        <v>0</v>
      </c>
      <c r="BS120" s="62"/>
      <c r="BT120" s="35">
        <f t="shared" si="20"/>
        <v>0</v>
      </c>
      <c r="BU120" s="35">
        <f t="shared" si="12"/>
        <v>0</v>
      </c>
      <c r="BV120" s="35">
        <f t="shared" si="21"/>
        <v>0</v>
      </c>
      <c r="BW120" s="35">
        <f t="shared" si="13"/>
        <v>0</v>
      </c>
      <c r="BX120" s="35">
        <f t="shared" si="22"/>
        <v>0</v>
      </c>
      <c r="BY120" s="35">
        <f t="shared" si="14"/>
        <v>0</v>
      </c>
      <c r="BZ120" s="35">
        <f t="shared" si="23"/>
        <v>0</v>
      </c>
      <c r="CA120" s="62"/>
    </row>
    <row r="121" spans="32:79" ht="13.5" customHeight="1" thickBot="1">
      <c r="AF121" s="3"/>
      <c r="AG121" s="3"/>
      <c r="AH121" s="3"/>
      <c r="AI121" s="3"/>
      <c r="AJ121" s="3"/>
      <c r="BA121" s="62" t="s">
        <v>263</v>
      </c>
      <c r="BB121" s="80">
        <f>A33</f>
        <v>0</v>
      </c>
      <c r="BC121" s="80">
        <f>C33</f>
        <v>0</v>
      </c>
      <c r="BD121" s="79" t="str">
        <f>IF(AND(OR(($H$33="通常食"),($H$33="キッズ")),NOT(OR($P$33=0,$P$33=""))),$H$33,"")</f>
        <v/>
      </c>
      <c r="BE121" s="78" t="str">
        <f>IF($BG121="","",VLOOKUP($BH121,$BD$160:$BF$193,2,0))</f>
        <v/>
      </c>
      <c r="BF121" s="78" t="str">
        <f>IF($BG121="","",VLOOKUP($BH121,$BD$160:$BF$193,3,0))</f>
        <v/>
      </c>
      <c r="BG121" s="79" t="str">
        <f>IF(AND(OR(($H$33="通常食"),($H$33="キッズ")),NOT(OR($P$33=0,$P$33=""))),$P$33,"")</f>
        <v/>
      </c>
      <c r="BH121" s="35" t="str">
        <f t="shared" si="24"/>
        <v>0中学生以上</v>
      </c>
      <c r="BI121" s="35">
        <f>IF(OR(BG121="",BG121=0),0,33)</f>
        <v>0</v>
      </c>
      <c r="BJ121" s="62"/>
      <c r="BK121" s="62"/>
      <c r="BL121" s="35">
        <f t="shared" si="15"/>
        <v>0</v>
      </c>
      <c r="BM121" s="35">
        <f t="shared" si="16"/>
        <v>0</v>
      </c>
      <c r="BN121" s="35" t="e">
        <f t="shared" si="25"/>
        <v>#N/A</v>
      </c>
      <c r="BO121" s="35" t="e">
        <f t="shared" si="17"/>
        <v>#N/A</v>
      </c>
      <c r="BP121" s="35">
        <f t="shared" si="18"/>
        <v>0</v>
      </c>
      <c r="BQ121" s="35" t="e">
        <f t="shared" si="19"/>
        <v>#N/A</v>
      </c>
      <c r="BR121" s="35">
        <f t="shared" si="11"/>
        <v>0</v>
      </c>
      <c r="BS121" s="62"/>
      <c r="BT121" s="35">
        <f t="shared" si="20"/>
        <v>0</v>
      </c>
      <c r="BU121" s="35">
        <f t="shared" si="12"/>
        <v>0</v>
      </c>
      <c r="BV121" s="35">
        <f t="shared" si="21"/>
        <v>0</v>
      </c>
      <c r="BW121" s="35">
        <f t="shared" si="13"/>
        <v>0</v>
      </c>
      <c r="BX121" s="35">
        <f t="shared" si="22"/>
        <v>0</v>
      </c>
      <c r="BY121" s="35">
        <f t="shared" si="14"/>
        <v>0</v>
      </c>
      <c r="BZ121" s="35">
        <f t="shared" si="23"/>
        <v>0</v>
      </c>
      <c r="CA121" s="62"/>
    </row>
    <row r="122" spans="32:79" ht="13.5" customHeight="1">
      <c r="AF122" s="3"/>
      <c r="AG122" s="3"/>
      <c r="AH122" s="3"/>
      <c r="AI122" s="3"/>
      <c r="AJ122" s="3"/>
      <c r="BA122" s="62" t="s">
        <v>262</v>
      </c>
      <c r="BB122" s="75">
        <f>A34</f>
        <v>0</v>
      </c>
      <c r="BC122" s="75">
        <f>C34</f>
        <v>0</v>
      </c>
      <c r="BD122" s="75">
        <f>IF(AND(NOT($H$34="通常食"),NOT($H$34="キッズ")),$H$34,"")</f>
        <v>0</v>
      </c>
      <c r="BE122" s="75" t="e">
        <f>IF(NOT($BD122=""),VLOOKUP($BD122,$BD$159:$BF$231,2,0),"")</f>
        <v>#N/A</v>
      </c>
      <c r="BF122" s="75" t="e">
        <f>IF(NOT($BD122=""),VLOOKUP($BD122,$BD$159:$BF$225,3,0),"")</f>
        <v>#N/A</v>
      </c>
      <c r="BG122" s="77">
        <f>IF(AND(NOT($H$34="通常食"),NOT($H$34="キッズ")),$R$34,"")</f>
        <v>0</v>
      </c>
      <c r="BH122" s="35"/>
      <c r="BI122" s="35">
        <f>IF(OR(BG122="",BG122=0),0,32)</f>
        <v>0</v>
      </c>
      <c r="BJ122" s="62"/>
      <c r="BK122" s="62"/>
      <c r="BL122" s="35">
        <f t="shared" si="15"/>
        <v>0</v>
      </c>
      <c r="BM122" s="35">
        <f t="shared" si="16"/>
        <v>0</v>
      </c>
      <c r="BN122" s="35" t="e">
        <f t="shared" si="25"/>
        <v>#N/A</v>
      </c>
      <c r="BO122" s="35" t="e">
        <f t="shared" si="17"/>
        <v>#N/A</v>
      </c>
      <c r="BP122" s="35">
        <f t="shared" si="18"/>
        <v>0</v>
      </c>
      <c r="BQ122" s="35" t="e">
        <f t="shared" si="19"/>
        <v>#N/A</v>
      </c>
      <c r="BR122" s="35">
        <f t="shared" si="11"/>
        <v>0</v>
      </c>
      <c r="BS122" s="62"/>
      <c r="BT122" s="35">
        <f t="shared" si="20"/>
        <v>0</v>
      </c>
      <c r="BU122" s="35">
        <f t="shared" si="20"/>
        <v>0</v>
      </c>
      <c r="BV122" s="35">
        <f t="shared" si="21"/>
        <v>0</v>
      </c>
      <c r="BW122" s="35">
        <f t="shared" si="13"/>
        <v>0</v>
      </c>
      <c r="BX122" s="35">
        <f t="shared" si="22"/>
        <v>0</v>
      </c>
      <c r="BY122" s="35">
        <f t="shared" si="14"/>
        <v>0</v>
      </c>
      <c r="BZ122" s="35">
        <f t="shared" si="23"/>
        <v>0</v>
      </c>
      <c r="CA122" s="62"/>
    </row>
    <row r="123" spans="32:79" ht="13.5" customHeight="1">
      <c r="AF123" s="3"/>
      <c r="AG123" s="3"/>
      <c r="AH123" s="3"/>
      <c r="AI123" s="3"/>
      <c r="AJ123" s="3"/>
      <c r="BA123" s="62" t="s">
        <v>260</v>
      </c>
      <c r="BB123" s="78">
        <f>A34</f>
        <v>0</v>
      </c>
      <c r="BC123" s="78">
        <f>C34</f>
        <v>0</v>
      </c>
      <c r="BD123" s="79" t="str">
        <f>IF(AND(OR(($H$34="通常食"),($H$34="キッズ")),NOT(OR($M$34=0,$M$34=""))),$H$34,"")</f>
        <v/>
      </c>
      <c r="BE123" s="78" t="str">
        <f>IF($BG123="","",VLOOKUP($BH123,$BD$160:$BF$193,2,0))</f>
        <v/>
      </c>
      <c r="BF123" s="78" t="str">
        <f>IF($BG123="","",VLOOKUP($BH123,$BD$160:$BF$193,3,0))</f>
        <v/>
      </c>
      <c r="BG123" s="79" t="str">
        <f>IF(AND(OR(($H$34="通常食"),($H$34="キッズ")),NOT(OR($M$34=0,$M$34=""))),$M$34,"")</f>
        <v/>
      </c>
      <c r="BH123" s="35" t="str">
        <f t="shared" si="24"/>
        <v>0幼児</v>
      </c>
      <c r="BI123" s="35">
        <f>IF(OR(BG123="",BG123=0),0,31)</f>
        <v>0</v>
      </c>
      <c r="BJ123" s="62"/>
      <c r="BK123" s="62"/>
      <c r="BL123" s="35">
        <f t="shared" si="15"/>
        <v>0</v>
      </c>
      <c r="BM123" s="35">
        <f t="shared" si="16"/>
        <v>0</v>
      </c>
      <c r="BN123" s="35" t="e">
        <f t="shared" si="25"/>
        <v>#N/A</v>
      </c>
      <c r="BO123" s="35" t="e">
        <f t="shared" si="17"/>
        <v>#N/A</v>
      </c>
      <c r="BP123" s="35">
        <f t="shared" si="18"/>
        <v>0</v>
      </c>
      <c r="BQ123" s="35" t="e">
        <f t="shared" si="19"/>
        <v>#N/A</v>
      </c>
      <c r="BR123" s="35">
        <f t="shared" si="11"/>
        <v>0</v>
      </c>
      <c r="BS123" s="62"/>
      <c r="BT123" s="35">
        <f t="shared" si="20"/>
        <v>0</v>
      </c>
      <c r="BU123" s="35">
        <f t="shared" si="20"/>
        <v>0</v>
      </c>
      <c r="BV123" s="35">
        <f t="shared" si="21"/>
        <v>0</v>
      </c>
      <c r="BW123" s="35">
        <f t="shared" si="13"/>
        <v>0</v>
      </c>
      <c r="BX123" s="35">
        <f t="shared" si="22"/>
        <v>0</v>
      </c>
      <c r="BY123" s="35">
        <f t="shared" si="14"/>
        <v>0</v>
      </c>
      <c r="BZ123" s="35">
        <f t="shared" si="23"/>
        <v>0</v>
      </c>
      <c r="CA123" s="62">
        <f>LARGE($BI$106:$BI$153,ROW(I18))</f>
        <v>0</v>
      </c>
    </row>
    <row r="124" spans="32:79" ht="13.5" customHeight="1">
      <c r="AF124" s="1388"/>
      <c r="AG124" s="1388"/>
      <c r="AH124" s="1388"/>
      <c r="AI124" s="1388"/>
      <c r="AJ124" s="1388"/>
      <c r="BA124" s="62" t="s">
        <v>261</v>
      </c>
      <c r="BB124" s="78">
        <f>A34</f>
        <v>0</v>
      </c>
      <c r="BC124" s="78">
        <f>C34</f>
        <v>0</v>
      </c>
      <c r="BD124" s="79" t="str">
        <f>IF(AND(OR(($H$34="通常食"),($H$34="キッズ")),NOT(OR($N$34=0,$N$34=""))),$H$34,"")</f>
        <v/>
      </c>
      <c r="BE124" s="78" t="str">
        <f>IF($BG124="","",VLOOKUP($BH124,$BD$160:$BF$193,2,0))</f>
        <v/>
      </c>
      <c r="BF124" s="78" t="str">
        <f>IF($BG124="","",VLOOKUP($BH124,$BD$160:$BF$193,3,0))</f>
        <v/>
      </c>
      <c r="BG124" s="79" t="str">
        <f>IF(AND(OR(($H$34="通常食"),($H$34="キッズ")),NOT(OR($N$34=0,$N$34=""))),$N$34,"")</f>
        <v/>
      </c>
      <c r="BH124" s="35" t="str">
        <f t="shared" si="24"/>
        <v>0小学生</v>
      </c>
      <c r="BI124" s="35">
        <f>IF(OR(BG124="",BG124=0),0,30)</f>
        <v>0</v>
      </c>
      <c r="BJ124" s="62"/>
      <c r="BK124" s="62"/>
      <c r="BL124" s="62"/>
      <c r="BM124" s="62"/>
      <c r="BN124" s="62"/>
      <c r="BO124" s="62"/>
      <c r="BP124" s="62"/>
      <c r="BQ124" s="62"/>
      <c r="BR124" s="62"/>
      <c r="BS124" s="62"/>
      <c r="BT124" s="62"/>
      <c r="BU124" s="62"/>
      <c r="BV124" s="62"/>
      <c r="BW124" s="62"/>
      <c r="BX124" s="62"/>
      <c r="BY124" s="62"/>
      <c r="BZ124" s="62"/>
      <c r="CA124" s="62"/>
    </row>
    <row r="125" spans="32:79" ht="13.5" customHeight="1" thickBot="1">
      <c r="AF125" s="1388"/>
      <c r="AG125" s="1388"/>
      <c r="AH125" s="1388"/>
      <c r="AI125" s="1388"/>
      <c r="AJ125" s="1388"/>
      <c r="BA125" s="62" t="s">
        <v>263</v>
      </c>
      <c r="BB125" s="80">
        <f>A34</f>
        <v>0</v>
      </c>
      <c r="BC125" s="80">
        <f>C34</f>
        <v>0</v>
      </c>
      <c r="BD125" s="79" t="str">
        <f>IF(AND(OR(($H$34="通常食"),($H$34="キッズ")),NOT(OR($P$34=0,$P$34=""))),$H$34,"")</f>
        <v/>
      </c>
      <c r="BE125" s="78" t="str">
        <f>IF($BG125="","",VLOOKUP($BH125,$BD$160:$BF$193,2,0))</f>
        <v/>
      </c>
      <c r="BF125" s="78" t="str">
        <f>IF($BG125="","",VLOOKUP($BH125,$BD$160:$BF$193,3,0))</f>
        <v/>
      </c>
      <c r="BG125" s="79" t="str">
        <f>IF(AND(OR(($H$34="通常食"),($H$34="キッズ")),NOT(OR($P$34=0,$P$34=""))),$P$34,"")</f>
        <v/>
      </c>
      <c r="BH125" s="35" t="str">
        <f t="shared" si="24"/>
        <v>0中学生以上</v>
      </c>
      <c r="BI125" s="35">
        <f>IF(OR(BG125="",BG125=0),0,29)</f>
        <v>0</v>
      </c>
      <c r="BJ125" s="62"/>
      <c r="BK125" s="62"/>
      <c r="BL125" s="62"/>
      <c r="BM125" s="62"/>
      <c r="BN125" s="62"/>
      <c r="BO125" s="62"/>
      <c r="BP125" s="62"/>
      <c r="BQ125" s="62"/>
      <c r="BR125" s="62"/>
      <c r="BS125" s="62"/>
      <c r="BT125" s="62"/>
      <c r="BU125" s="62"/>
      <c r="BV125" s="62"/>
      <c r="BW125" s="62"/>
      <c r="BX125" s="62"/>
      <c r="BY125" s="62"/>
      <c r="BZ125" s="62"/>
      <c r="CA125" s="62"/>
    </row>
    <row r="126" spans="32:79" ht="13.5" customHeight="1">
      <c r="AF126" s="1388"/>
      <c r="AG126" s="1388"/>
      <c r="AH126" s="1388"/>
      <c r="AI126" s="1388"/>
      <c r="AJ126" s="1388"/>
      <c r="BA126" s="62" t="s">
        <v>262</v>
      </c>
      <c r="BB126" s="75">
        <f>A35</f>
        <v>0</v>
      </c>
      <c r="BC126" s="75">
        <f>C35</f>
        <v>0</v>
      </c>
      <c r="BD126" s="75">
        <f>IF(AND(NOT($H$35="通常食"),NOT($H$35="キッズ")),$H$35,"")</f>
        <v>0</v>
      </c>
      <c r="BE126" s="75" t="e">
        <f>IF(NOT($BD126=""),VLOOKUP($BD126,$BD$159:$BF$231,2,0),"")</f>
        <v>#N/A</v>
      </c>
      <c r="BF126" s="75" t="e">
        <f>IF(NOT($BD126=""),VLOOKUP($BD126,$BD$159:$BF$225,3,0),"")</f>
        <v>#N/A</v>
      </c>
      <c r="BG126" s="77">
        <f>IF(AND(NOT($H$35="通常食"),NOT($H$35="キッズ")),$R$35,"")</f>
        <v>0</v>
      </c>
      <c r="BH126" s="35"/>
      <c r="BI126" s="35">
        <f>IF(OR(BG126="",BG126=0),0,28)</f>
        <v>0</v>
      </c>
      <c r="BJ126" s="62"/>
      <c r="BK126" s="62"/>
      <c r="BL126" s="62"/>
      <c r="BM126" s="62"/>
      <c r="BN126" s="62"/>
      <c r="BO126" s="62"/>
      <c r="BP126" s="62"/>
      <c r="BQ126" s="62"/>
      <c r="BR126" s="62"/>
      <c r="BS126" s="62"/>
      <c r="BT126" s="62"/>
      <c r="BU126" s="62"/>
      <c r="BV126" s="62"/>
      <c r="BW126" s="62"/>
      <c r="BX126" s="62"/>
      <c r="BY126" s="62"/>
      <c r="BZ126" s="62"/>
      <c r="CA126" s="62"/>
    </row>
    <row r="127" spans="32:79" ht="13.5" customHeight="1">
      <c r="AF127" s="1388"/>
      <c r="AG127" s="1388"/>
      <c r="AH127" s="1388"/>
      <c r="AI127" s="1388"/>
      <c r="AJ127" s="1388"/>
      <c r="BA127" s="62" t="s">
        <v>260</v>
      </c>
      <c r="BB127" s="78">
        <f>A35</f>
        <v>0</v>
      </c>
      <c r="BC127" s="78">
        <f>C35</f>
        <v>0</v>
      </c>
      <c r="BD127" s="79" t="str">
        <f>IF(AND(OR(($H$35="通常食"),($H$35="キッズ")),NOT(OR($M$35=0,$M$35=""))),$H$35,"")</f>
        <v/>
      </c>
      <c r="BE127" s="78" t="str">
        <f>IF($BG127="","",VLOOKUP($BH127,$BD$160:$BF$193,2,0))</f>
        <v/>
      </c>
      <c r="BF127" s="78" t="str">
        <f>IF($BG127="","",VLOOKUP($BH127,$BD$160:$BF$193,3,0))</f>
        <v/>
      </c>
      <c r="BG127" s="79" t="str">
        <f>IF(AND(OR(($H$35="通常食"),($H$35="キッズ")),NOT(OR($M$35=0,$M$35=""))),$M$35,"")</f>
        <v/>
      </c>
      <c r="BH127" s="35" t="str">
        <f t="shared" si="24"/>
        <v>0幼児</v>
      </c>
      <c r="BI127" s="35">
        <f>IF(OR(BG127="",BG127=0),0,27)</f>
        <v>0</v>
      </c>
      <c r="BJ127" s="62"/>
      <c r="BK127" s="62"/>
      <c r="BL127" s="62"/>
      <c r="BM127" s="62"/>
      <c r="BN127" s="62"/>
      <c r="BO127" s="62"/>
      <c r="BP127" s="62"/>
      <c r="BQ127" s="62"/>
      <c r="BR127" s="62"/>
      <c r="BS127" s="62"/>
      <c r="BT127" s="62"/>
      <c r="BU127" s="62"/>
      <c r="BV127" s="62"/>
      <c r="BW127" s="62"/>
      <c r="BX127" s="62"/>
      <c r="BY127" s="62"/>
      <c r="BZ127" s="62"/>
      <c r="CA127" s="62"/>
    </row>
    <row r="128" spans="32:79" ht="13.5" customHeight="1">
      <c r="AF128" s="1388"/>
      <c r="AG128" s="1388"/>
      <c r="AH128" s="1388"/>
      <c r="AI128" s="1388"/>
      <c r="AJ128" s="1388"/>
      <c r="BA128" s="62" t="s">
        <v>261</v>
      </c>
      <c r="BB128" s="78">
        <f>A35</f>
        <v>0</v>
      </c>
      <c r="BC128" s="78">
        <f>C35</f>
        <v>0</v>
      </c>
      <c r="BD128" s="79" t="str">
        <f>IF(AND(OR(($H$35="通常食"),($H$35="キッズ")),NOT(OR($N$35=0,$N$35=""))),$H$35,"")</f>
        <v/>
      </c>
      <c r="BE128" s="78" t="str">
        <f>IF($BG128="","",VLOOKUP($BH128,$BD$160:$BF$193,2,0))</f>
        <v/>
      </c>
      <c r="BF128" s="78" t="str">
        <f>IF($BG128="","",VLOOKUP($BH128,$BD$160:$BF$193,3,0))</f>
        <v/>
      </c>
      <c r="BG128" s="79" t="str">
        <f>IF(AND(OR(($H$35="通常食"),($H$35="キッズ")),NOT(OR($N$35=0,$N$35=""))),$N$35,"")</f>
        <v/>
      </c>
      <c r="BH128" s="35" t="str">
        <f t="shared" si="24"/>
        <v>0小学生</v>
      </c>
      <c r="BI128" s="35">
        <f>IF(OR(BG128="",BG128=0),0,26)</f>
        <v>0</v>
      </c>
      <c r="BJ128" s="62"/>
      <c r="BK128" s="62"/>
      <c r="BL128" s="62"/>
      <c r="BM128" s="62"/>
      <c r="BN128" s="62"/>
      <c r="BO128" s="62"/>
      <c r="BP128" s="62"/>
      <c r="BQ128" s="62"/>
      <c r="BR128" s="62"/>
      <c r="BS128" s="62"/>
      <c r="BT128" s="62"/>
      <c r="BU128" s="62"/>
      <c r="BV128" s="62"/>
      <c r="BW128" s="62"/>
      <c r="BX128" s="62"/>
      <c r="BY128" s="62"/>
      <c r="BZ128" s="62"/>
      <c r="CA128" s="62"/>
    </row>
    <row r="129" spans="32:79" ht="13.5" customHeight="1" thickBot="1">
      <c r="AF129" s="1388"/>
      <c r="AG129" s="1388"/>
      <c r="AH129" s="1388"/>
      <c r="AI129" s="1388"/>
      <c r="AJ129" s="1388"/>
      <c r="BA129" s="62" t="s">
        <v>263</v>
      </c>
      <c r="BB129" s="80">
        <f>A35</f>
        <v>0</v>
      </c>
      <c r="BC129" s="80">
        <f>C35</f>
        <v>0</v>
      </c>
      <c r="BD129" s="79" t="str">
        <f>IF(AND(OR(($H$35="通常食"),($H$35="キッズ")),NOT(OR($P$35=0,$P$35=""))),$H$35,"")</f>
        <v/>
      </c>
      <c r="BE129" s="78" t="str">
        <f>IF($BG129="","",VLOOKUP($BH129,$BD$160:$BF$193,2,0))</f>
        <v/>
      </c>
      <c r="BF129" s="78" t="str">
        <f>IF($BG129="","",VLOOKUP($BH129,$BD$160:$BF$193,3,0))</f>
        <v/>
      </c>
      <c r="BG129" s="79" t="str">
        <f>IF(AND(OR(($H$35="通常食"),($H$35="キッズ")),NOT(OR($P$35=0,$P$35=""))),$P$35,"")</f>
        <v/>
      </c>
      <c r="BH129" s="35" t="str">
        <f t="shared" si="24"/>
        <v>0中学生以上</v>
      </c>
      <c r="BI129" s="35">
        <f>IF(OR(BG129="",BG129=0),0,25)</f>
        <v>0</v>
      </c>
      <c r="BJ129" s="62"/>
      <c r="BK129" s="62"/>
      <c r="BL129" s="62"/>
      <c r="BM129" s="62"/>
      <c r="BN129" s="62"/>
      <c r="BO129" s="62"/>
      <c r="BP129" s="62"/>
      <c r="BQ129" s="62"/>
      <c r="BR129" s="62"/>
      <c r="BS129" s="62"/>
      <c r="BT129" s="62"/>
      <c r="BU129" s="62"/>
      <c r="BV129" s="62"/>
      <c r="BW129" s="62"/>
      <c r="BX129" s="62"/>
      <c r="BY129" s="62"/>
      <c r="BZ129" s="62"/>
      <c r="CA129" s="62"/>
    </row>
    <row r="130" spans="32:79" ht="13.5" customHeight="1">
      <c r="AF130" s="1388"/>
      <c r="AG130" s="1388"/>
      <c r="AH130" s="1388"/>
      <c r="AI130" s="1388"/>
      <c r="AJ130" s="1388"/>
      <c r="BA130" s="62" t="s">
        <v>262</v>
      </c>
      <c r="BB130" s="75">
        <f>A36</f>
        <v>0</v>
      </c>
      <c r="BC130" s="75">
        <f>C36</f>
        <v>0</v>
      </c>
      <c r="BD130" s="75">
        <f>IF(AND(NOT($H$36="通常食"),NOT($H$36="キッズ")),$H$36,"")</f>
        <v>0</v>
      </c>
      <c r="BE130" s="75" t="e">
        <f>IF(NOT($BD130=""),VLOOKUP($BD130,$BD$159:$BF$231,2,0),"")</f>
        <v>#N/A</v>
      </c>
      <c r="BF130" s="75" t="e">
        <f>IF(NOT($BD130=""),VLOOKUP($BD130,$BD$159:$BF$225,3,0),"")</f>
        <v>#N/A</v>
      </c>
      <c r="BG130" s="77">
        <f>IF(AND(NOT($H$36="通常食"),NOT($H$36="キッズ")),$R$36,"")</f>
        <v>0</v>
      </c>
      <c r="BH130" s="35"/>
      <c r="BI130" s="35">
        <f>IF(OR(BG130="",BG130=0),0,24)</f>
        <v>0</v>
      </c>
      <c r="BJ130" s="62"/>
      <c r="BK130" s="62"/>
      <c r="BL130" s="62"/>
      <c r="BM130" s="62"/>
      <c r="BN130" s="62"/>
      <c r="BO130" s="62"/>
      <c r="BP130" s="62"/>
      <c r="BQ130" s="62"/>
      <c r="BR130" s="62"/>
      <c r="BS130" s="62"/>
      <c r="BT130" s="62"/>
      <c r="BU130" s="62"/>
      <c r="BV130" s="62"/>
      <c r="BW130" s="62"/>
      <c r="BX130" s="62"/>
      <c r="BY130" s="62"/>
      <c r="BZ130" s="62"/>
      <c r="CA130" s="62"/>
    </row>
    <row r="131" spans="32:79" ht="13.5" customHeight="1">
      <c r="AF131" s="1388"/>
      <c r="AG131" s="1388"/>
      <c r="AH131" s="1388"/>
      <c r="AI131" s="1388"/>
      <c r="AJ131" s="1388"/>
      <c r="BA131" s="62" t="s">
        <v>260</v>
      </c>
      <c r="BB131" s="78">
        <f>A36</f>
        <v>0</v>
      </c>
      <c r="BC131" s="78">
        <f>C36</f>
        <v>0</v>
      </c>
      <c r="BD131" s="79" t="str">
        <f>IF(AND(OR(($H$36="通常食"),($H$36="キッズ")),NOT(OR($M$36=0,$M$36=""))),$H$36,"")</f>
        <v/>
      </c>
      <c r="BE131" s="78" t="str">
        <f>IF($BG131="","",VLOOKUP($BH131,$BD$160:$BF$193,2,0))</f>
        <v/>
      </c>
      <c r="BF131" s="78" t="str">
        <f>IF($BG131="","",VLOOKUP($BH131,$BD$160:$BF$193,3,0))</f>
        <v/>
      </c>
      <c r="BG131" s="79" t="str">
        <f>IF(AND(OR(($H$36="通常食"),($H$36="キッズ")),NOT(OR($M$36=0,$M$36=""))),$M$36,"")</f>
        <v/>
      </c>
      <c r="BH131" s="35" t="str">
        <f t="shared" si="24"/>
        <v>0幼児</v>
      </c>
      <c r="BI131" s="35">
        <f>IF(OR(BG131="",BG131=0),0,23)</f>
        <v>0</v>
      </c>
      <c r="BJ131" s="62"/>
      <c r="BK131" s="62"/>
      <c r="BL131" s="62"/>
      <c r="BM131" s="62"/>
      <c r="BN131" s="62"/>
      <c r="BO131" s="62"/>
      <c r="BP131" s="62"/>
      <c r="BQ131" s="62"/>
      <c r="BR131" s="62"/>
      <c r="BS131" s="62"/>
      <c r="BT131" s="62"/>
      <c r="BU131" s="62"/>
      <c r="BV131" s="62"/>
      <c r="BW131" s="62"/>
      <c r="BX131" s="62"/>
      <c r="BY131" s="62"/>
      <c r="BZ131" s="62"/>
      <c r="CA131" s="62"/>
    </row>
    <row r="132" spans="32:79" ht="13.5" customHeight="1">
      <c r="AF132" s="1388"/>
      <c r="AG132" s="1388"/>
      <c r="AH132" s="1388"/>
      <c r="AI132" s="1388"/>
      <c r="AJ132" s="1388"/>
      <c r="BA132" s="62" t="s">
        <v>261</v>
      </c>
      <c r="BB132" s="78">
        <f>A36</f>
        <v>0</v>
      </c>
      <c r="BC132" s="78">
        <f>C36</f>
        <v>0</v>
      </c>
      <c r="BD132" s="79" t="str">
        <f>IF(AND(OR(($H$36="通常食"),($H$36="キッズ")),NOT(OR($N$36=0,$N$36=""))),$H$36,"")</f>
        <v/>
      </c>
      <c r="BE132" s="78" t="str">
        <f>IF($BG132="","",VLOOKUP($BH132,$BD$160:$BF$193,2,0))</f>
        <v/>
      </c>
      <c r="BF132" s="78" t="str">
        <f>IF($BG132="","",VLOOKUP($BH132,$BD$160:$BF$193,3,0))</f>
        <v/>
      </c>
      <c r="BG132" s="79" t="str">
        <f>IF(AND(OR(($H$36="通常食"),($H$36="キッズ")),NOT(OR($N$36=0,$N$36=""))),$N$36,"")</f>
        <v/>
      </c>
      <c r="BH132" s="35" t="str">
        <f t="shared" si="24"/>
        <v>0小学生</v>
      </c>
      <c r="BI132" s="35">
        <f>IF(OR(BG132="",BG132=0),0,22)</f>
        <v>0</v>
      </c>
      <c r="BJ132" s="62"/>
      <c r="BK132" s="62"/>
      <c r="BL132" s="62"/>
      <c r="BM132" s="62"/>
      <c r="BN132" s="62"/>
      <c r="BO132" s="62"/>
      <c r="BP132" s="62"/>
      <c r="BQ132" s="62"/>
      <c r="BR132" s="62"/>
      <c r="BS132" s="62"/>
      <c r="BT132" s="62"/>
      <c r="BU132" s="62"/>
      <c r="BV132" s="62"/>
      <c r="BW132" s="62"/>
      <c r="BX132" s="62"/>
      <c r="BY132" s="62"/>
      <c r="BZ132" s="62"/>
      <c r="CA132" s="62"/>
    </row>
    <row r="133" spans="32:79" ht="13.5" customHeight="1" thickBot="1">
      <c r="AF133" s="1388"/>
      <c r="AG133" s="1388"/>
      <c r="AH133" s="1388"/>
      <c r="AI133" s="1388"/>
      <c r="AJ133" s="1388"/>
      <c r="BA133" s="62" t="s">
        <v>263</v>
      </c>
      <c r="BB133" s="80">
        <f>A36</f>
        <v>0</v>
      </c>
      <c r="BC133" s="80">
        <f>C36</f>
        <v>0</v>
      </c>
      <c r="BD133" s="79" t="str">
        <f>IF(AND(OR(($H$36="通常食"),($H$36="キッズ")),NOT(OR($P$36=0,$P$36=""))),$H$36,"")</f>
        <v/>
      </c>
      <c r="BE133" s="78" t="str">
        <f>IF($BG133="","",VLOOKUP($BH133,$BD$160:$BF$193,2,0))</f>
        <v/>
      </c>
      <c r="BF133" s="78" t="str">
        <f>IF($BG133="","",VLOOKUP($BH133,$BD$160:$BF$193,3,0))</f>
        <v/>
      </c>
      <c r="BG133" s="79" t="str">
        <f>IF(AND(OR(($H$36="通常食"),($H$36="キッズ")),NOT(OR($P$36=0,$P$36=""))),$P$36,"")</f>
        <v/>
      </c>
      <c r="BH133" s="35" t="str">
        <f t="shared" si="24"/>
        <v>0中学生以上</v>
      </c>
      <c r="BI133" s="35">
        <f>IF(OR(BG133="",BG133=0),0,21)</f>
        <v>0</v>
      </c>
      <c r="BJ133" s="62"/>
      <c r="BK133" s="62"/>
      <c r="BL133" s="62"/>
      <c r="BM133" s="62"/>
      <c r="BN133" s="62"/>
      <c r="BO133" s="62"/>
      <c r="BP133" s="62"/>
      <c r="BQ133" s="62"/>
      <c r="BR133" s="62"/>
      <c r="BS133" s="62"/>
      <c r="BT133" s="62"/>
      <c r="BU133" s="62"/>
      <c r="BV133" s="62"/>
      <c r="BW133" s="62"/>
      <c r="BX133" s="62"/>
      <c r="BY133" s="62"/>
      <c r="BZ133" s="62"/>
      <c r="CA133" s="62"/>
    </row>
    <row r="134" spans="32:79" ht="13.5" customHeight="1">
      <c r="AF134" s="1388"/>
      <c r="AG134" s="1388"/>
      <c r="AH134" s="1388"/>
      <c r="AI134" s="1388"/>
      <c r="AJ134" s="1388"/>
      <c r="BA134" s="62" t="s">
        <v>262</v>
      </c>
      <c r="BB134" s="75">
        <f>A37</f>
        <v>0</v>
      </c>
      <c r="BC134" s="75">
        <f>C37</f>
        <v>0</v>
      </c>
      <c r="BD134" s="75">
        <f>IF(AND(NOT($H$37="通常食"),NOT($H$37="キッズ")),$H$37,"")</f>
        <v>0</v>
      </c>
      <c r="BE134" s="75" t="e">
        <f>IF(NOT($BD134=""),VLOOKUP($BD134,$BD$160:$BF$225,2,0),"")</f>
        <v>#N/A</v>
      </c>
      <c r="BF134" s="75" t="e">
        <f>IF(NOT($BD134=""),VLOOKUP($BD134,$BD$160:$BF$225,3,0),"")</f>
        <v>#N/A</v>
      </c>
      <c r="BG134" s="77">
        <f>IF(AND(NOT($H$37="通常食"),NOT($H$37="キッズ")),$R$37,"")</f>
        <v>0</v>
      </c>
      <c r="BH134" s="35"/>
      <c r="BI134" s="35">
        <f>IF(OR(BG134="",BG134=0),0,20)</f>
        <v>0</v>
      </c>
      <c r="BJ134" s="62"/>
      <c r="BK134" s="62"/>
      <c r="BL134" s="62"/>
      <c r="BM134" s="62"/>
      <c r="BN134" s="62"/>
      <c r="BO134" s="62"/>
      <c r="BP134" s="62"/>
      <c r="BQ134" s="62"/>
      <c r="BR134" s="62"/>
      <c r="BS134" s="62"/>
      <c r="BT134" s="62"/>
      <c r="BU134" s="62"/>
      <c r="BV134" s="62"/>
      <c r="BW134" s="62"/>
      <c r="BX134" s="62"/>
      <c r="BY134" s="62"/>
      <c r="BZ134" s="62"/>
      <c r="CA134" s="62"/>
    </row>
    <row r="135" spans="32:79" ht="13.5" customHeight="1">
      <c r="AF135" s="1388"/>
      <c r="AG135" s="1388"/>
      <c r="AH135" s="1388"/>
      <c r="AI135" s="1388"/>
      <c r="AJ135" s="1388"/>
      <c r="BA135" s="62" t="s">
        <v>260</v>
      </c>
      <c r="BB135" s="78">
        <f>A37</f>
        <v>0</v>
      </c>
      <c r="BC135" s="78">
        <f>C37</f>
        <v>0</v>
      </c>
      <c r="BD135" s="79" t="str">
        <f>IF(AND(OR(($H$37="通常食"),($H$37="キッズ")),NOT(OR($M$37=0,$M$37=""))),$H$37,"")</f>
        <v/>
      </c>
      <c r="BE135" s="78" t="str">
        <f>IF($BG135="","",VLOOKUP($BH135,$BD$160:$BF$193,2,0))</f>
        <v/>
      </c>
      <c r="BF135" s="78" t="str">
        <f>IF($BG135="","",VLOOKUP($BH135,$BD$160:$BF$193,3,0))</f>
        <v/>
      </c>
      <c r="BG135" s="79" t="str">
        <f>IF(AND(OR(($H$37="通常食"),($H$37="キッズ")),NOT(OR($M$37=0,$M$37=""))),$M$37,"")</f>
        <v/>
      </c>
      <c r="BH135" s="35" t="str">
        <f t="shared" si="24"/>
        <v>0幼児</v>
      </c>
      <c r="BI135" s="35">
        <f>IF(OR(BG135="",BG135=0),0,19)</f>
        <v>0</v>
      </c>
      <c r="BJ135" s="62"/>
      <c r="BK135" s="62"/>
      <c r="BL135" s="62"/>
      <c r="BM135" s="62"/>
      <c r="BN135" s="62"/>
      <c r="BO135" s="62"/>
      <c r="BP135" s="62"/>
      <c r="BQ135" s="62"/>
      <c r="BR135" s="62"/>
      <c r="BS135" s="62"/>
      <c r="BT135" s="62"/>
      <c r="BU135" s="62"/>
      <c r="BV135" s="62"/>
      <c r="BW135" s="62"/>
      <c r="BX135" s="62"/>
      <c r="BY135" s="62"/>
      <c r="BZ135" s="62"/>
      <c r="CA135" s="62"/>
    </row>
    <row r="136" spans="32:79" ht="13.5" customHeight="1">
      <c r="AF136" s="1388"/>
      <c r="AG136" s="1388"/>
      <c r="AH136" s="1388"/>
      <c r="AI136" s="1388"/>
      <c r="AJ136" s="1388"/>
      <c r="BA136" s="62" t="s">
        <v>261</v>
      </c>
      <c r="BB136" s="78">
        <f>A37</f>
        <v>0</v>
      </c>
      <c r="BC136" s="78">
        <f>C37</f>
        <v>0</v>
      </c>
      <c r="BD136" s="79" t="str">
        <f>IF(AND(OR(($H$37="通常食"),($H$37="キッズ")),NOT(OR($N$37=0,$N$37=""))),$H$37,"")</f>
        <v/>
      </c>
      <c r="BE136" s="78" t="str">
        <f>IF($BG136="","",VLOOKUP($BH136,$BD$160:$BF$193,2,0))</f>
        <v/>
      </c>
      <c r="BF136" s="78" t="str">
        <f>IF($BG136="","",VLOOKUP($BH136,$BD$160:$BF$193,3,0))</f>
        <v/>
      </c>
      <c r="BG136" s="79" t="str">
        <f>IF(AND(OR(($H$37="通常食"),($H$37="キッズ")),NOT(OR($N$37=0,$N$37=""))),$N$37,"")</f>
        <v/>
      </c>
      <c r="BH136" s="35" t="str">
        <f t="shared" si="24"/>
        <v>0小学生</v>
      </c>
      <c r="BI136" s="35">
        <f>IF(OR(BG136="",BG136=0),0,18)</f>
        <v>0</v>
      </c>
      <c r="BJ136" s="62"/>
      <c r="BK136" s="62"/>
      <c r="BL136" s="62"/>
      <c r="BM136" s="62"/>
      <c r="BN136" s="62"/>
      <c r="BO136" s="62"/>
      <c r="BP136" s="62"/>
      <c r="BQ136" s="62"/>
      <c r="BR136" s="62"/>
      <c r="BS136" s="62"/>
      <c r="BT136" s="62"/>
      <c r="BU136" s="62"/>
      <c r="BV136" s="62"/>
      <c r="BW136" s="62"/>
      <c r="BX136" s="62"/>
      <c r="BY136" s="62"/>
      <c r="BZ136" s="62"/>
      <c r="CA136" s="62"/>
    </row>
    <row r="137" spans="32:79" ht="13.5" customHeight="1" thickBot="1">
      <c r="AF137" s="1388"/>
      <c r="AG137" s="1388"/>
      <c r="AH137" s="1388"/>
      <c r="AI137" s="1388"/>
      <c r="AJ137" s="1388"/>
      <c r="BA137" s="62" t="s">
        <v>263</v>
      </c>
      <c r="BB137" s="80">
        <f>A37</f>
        <v>0</v>
      </c>
      <c r="BC137" s="80">
        <f>C37</f>
        <v>0</v>
      </c>
      <c r="BD137" s="79" t="str">
        <f>IF(AND(OR(($H$37="通常食"),($H$37="キッズ")),NOT(OR($P$37=0,$P$37=""))),$H$37,"")</f>
        <v/>
      </c>
      <c r="BE137" s="78" t="str">
        <f>IF($BG137="","",VLOOKUP($BH137,$BD$160:$BF$193,2,0))</f>
        <v/>
      </c>
      <c r="BF137" s="78" t="str">
        <f>IF($BG137="","",VLOOKUP($BH137,$BD$160:$BF$193,3,0))</f>
        <v/>
      </c>
      <c r="BG137" s="79" t="str">
        <f>IF(AND(OR(($H$37="通常食"),($H$37="キッズ")),NOT(OR($P$37=0,$P$37=""))),$P$37,"")</f>
        <v/>
      </c>
      <c r="BH137" s="35" t="str">
        <f t="shared" si="24"/>
        <v>0中学生以上</v>
      </c>
      <c r="BI137" s="35">
        <f>IF(OR(BG137="",BG137=0),0,17)</f>
        <v>0</v>
      </c>
      <c r="BJ137" s="62"/>
      <c r="BK137" s="62"/>
      <c r="BL137" s="62"/>
      <c r="BM137" s="62"/>
      <c r="BN137" s="62"/>
      <c r="BO137" s="62"/>
      <c r="BP137" s="62"/>
      <c r="BQ137" s="62"/>
      <c r="BR137" s="62"/>
      <c r="BS137" s="62"/>
      <c r="BT137" s="62"/>
      <c r="BU137" s="62"/>
      <c r="BV137" s="62"/>
      <c r="BW137" s="62"/>
      <c r="BX137" s="62"/>
      <c r="BY137" s="62"/>
      <c r="BZ137" s="62"/>
      <c r="CA137" s="62"/>
    </row>
    <row r="138" spans="32:79" ht="13.5" customHeight="1">
      <c r="AF138" s="1388"/>
      <c r="AG138" s="1388"/>
      <c r="AH138" s="1388"/>
      <c r="AI138" s="1388"/>
      <c r="AJ138" s="1388"/>
      <c r="BA138" s="62" t="s">
        <v>262</v>
      </c>
      <c r="BB138" s="75">
        <f>A38</f>
        <v>0</v>
      </c>
      <c r="BC138" s="75">
        <f>C38</f>
        <v>0</v>
      </c>
      <c r="BD138" s="75">
        <f>IF(AND(NOT($H$38="通常食"),NOT($H$38="キッズ")),$H$38,"")</f>
        <v>0</v>
      </c>
      <c r="BE138" s="75" t="e">
        <f>IF(NOT($BD138=""),VLOOKUP($BD138,$BD$159:$BF$225,2,0),"")</f>
        <v>#N/A</v>
      </c>
      <c r="BF138" s="75" t="e">
        <f>IF(NOT($BD138=""),VLOOKUP($BD138,$BD$159:$BF$225,3,0),"")</f>
        <v>#N/A</v>
      </c>
      <c r="BG138" s="77">
        <f>IF(AND(NOT($H$38="通常食"),NOT($H$38="キッズ")),$R$38,"")</f>
        <v>0</v>
      </c>
      <c r="BH138" s="35"/>
      <c r="BI138" s="35">
        <f>IF(OR(BG138="",BG138=0),0,16)</f>
        <v>0</v>
      </c>
      <c r="BJ138" s="62"/>
      <c r="BK138" s="62"/>
      <c r="BL138" s="62"/>
      <c r="BM138" s="62"/>
      <c r="BN138" s="62"/>
      <c r="BO138" s="62"/>
      <c r="BP138" s="62"/>
      <c r="BQ138" s="62"/>
      <c r="BR138" s="62"/>
      <c r="BS138" s="62"/>
      <c r="BT138" s="62"/>
      <c r="BU138" s="62"/>
      <c r="BV138" s="62"/>
      <c r="BW138" s="62"/>
      <c r="BX138" s="62"/>
      <c r="BY138" s="62"/>
      <c r="BZ138" s="62"/>
      <c r="CA138" s="62"/>
    </row>
    <row r="139" spans="32:79" ht="13.5" customHeight="1">
      <c r="AF139" s="1388"/>
      <c r="AG139" s="1388"/>
      <c r="AH139" s="1388"/>
      <c r="AI139" s="1388"/>
      <c r="AJ139" s="1388"/>
      <c r="BA139" s="62" t="s">
        <v>260</v>
      </c>
      <c r="BB139" s="78">
        <f>A38</f>
        <v>0</v>
      </c>
      <c r="BC139" s="78">
        <f>C38</f>
        <v>0</v>
      </c>
      <c r="BD139" s="79" t="str">
        <f>IF(AND(OR(($H$38="通常食"),($H$38="キッズ")),NOT(OR($M$38=0,$M$38=""))),$H$38,"")</f>
        <v/>
      </c>
      <c r="BE139" s="78" t="str">
        <f>IF($BG139="","",VLOOKUP($BH139,$BD$160:$BF$193,2,0))</f>
        <v/>
      </c>
      <c r="BF139" s="78" t="str">
        <f>IF($BG139="","",VLOOKUP($BH139,$BD$160:$BF$193,3,0))</f>
        <v/>
      </c>
      <c r="BG139" s="79" t="str">
        <f>IF(AND(OR(($H$38="通常食"),($H$38="キッズ")),NOT(OR($M$38=0,$M$38=""))),$M$38,"")</f>
        <v/>
      </c>
      <c r="BH139" s="35" t="str">
        <f t="shared" si="24"/>
        <v>0幼児</v>
      </c>
      <c r="BI139" s="35">
        <f>IF(OR(BG139="",BG139=0),0,15)</f>
        <v>0</v>
      </c>
      <c r="BJ139" s="62"/>
      <c r="BK139" s="62"/>
      <c r="BL139" s="62"/>
      <c r="BM139" s="62"/>
      <c r="BN139" s="62"/>
      <c r="BO139" s="62"/>
      <c r="BP139" s="62"/>
      <c r="BQ139" s="62"/>
      <c r="BR139" s="62"/>
      <c r="BS139" s="62"/>
      <c r="BT139" s="62"/>
      <c r="BU139" s="62"/>
      <c r="BV139" s="62"/>
      <c r="BW139" s="62"/>
      <c r="BX139" s="62"/>
      <c r="BY139" s="62"/>
      <c r="BZ139" s="62"/>
      <c r="CA139" s="62"/>
    </row>
    <row r="140" spans="32:79" ht="13.5" customHeight="1">
      <c r="AF140" s="1388"/>
      <c r="AG140" s="1388"/>
      <c r="AH140" s="1388"/>
      <c r="AI140" s="1388"/>
      <c r="AJ140" s="1388"/>
      <c r="BA140" s="62" t="s">
        <v>261</v>
      </c>
      <c r="BB140" s="78">
        <f>A38</f>
        <v>0</v>
      </c>
      <c r="BC140" s="78">
        <f>C38</f>
        <v>0</v>
      </c>
      <c r="BD140" s="79" t="str">
        <f>IF(AND(OR(($H$38="通常食"),($H$38="キッズ")),NOT(OR($N$38=0,$N$38=""))),$H$38,"")</f>
        <v/>
      </c>
      <c r="BE140" s="78" t="str">
        <f>IF($BG140="","",VLOOKUP($BH140,$BD$160:$BF$193,2,0))</f>
        <v/>
      </c>
      <c r="BF140" s="78" t="str">
        <f>IF($BG140="","",VLOOKUP($BH140,$BD$160:$BF$193,3,0))</f>
        <v/>
      </c>
      <c r="BG140" s="79" t="str">
        <f>IF(AND(OR(($H$38="通常食"),($H$38="キッズ")),NOT(OR($N$38=0,$N$38=""))),$N$38,"")</f>
        <v/>
      </c>
      <c r="BH140" s="35" t="str">
        <f t="shared" si="24"/>
        <v>0小学生</v>
      </c>
      <c r="BI140" s="35">
        <f>IF(OR(BG140="",BG140=0),0,14)</f>
        <v>0</v>
      </c>
      <c r="BJ140" s="62"/>
      <c r="BK140" s="62"/>
      <c r="BL140" s="62"/>
      <c r="BM140" s="62"/>
      <c r="BN140" s="62"/>
      <c r="BO140" s="62"/>
      <c r="BP140" s="62"/>
      <c r="BQ140" s="62"/>
      <c r="BR140" s="62"/>
      <c r="BS140" s="62"/>
      <c r="BT140" s="62"/>
      <c r="BU140" s="62"/>
      <c r="BV140" s="62"/>
      <c r="BW140" s="62"/>
      <c r="BX140" s="62"/>
      <c r="BY140" s="62"/>
      <c r="BZ140" s="62"/>
      <c r="CA140" s="62"/>
    </row>
    <row r="141" spans="32:79" ht="13.5" customHeight="1" thickBot="1">
      <c r="AF141" s="1388"/>
      <c r="AG141" s="1388"/>
      <c r="AH141" s="1388"/>
      <c r="AI141" s="1388"/>
      <c r="AJ141" s="1388"/>
      <c r="BA141" s="62" t="s">
        <v>263</v>
      </c>
      <c r="BB141" s="80">
        <f>A38</f>
        <v>0</v>
      </c>
      <c r="BC141" s="80">
        <f>C38</f>
        <v>0</v>
      </c>
      <c r="BD141" s="79" t="str">
        <f>IF(AND(OR(($H$38="通常食"),($H$38="キッズ")),NOT(OR($P$38=0,$P$38=""))),$H$38,"")</f>
        <v/>
      </c>
      <c r="BE141" s="78" t="str">
        <f>IF($BG141="","",VLOOKUP($BH141,$BD$160:$BF$193,2,0))</f>
        <v/>
      </c>
      <c r="BF141" s="78" t="str">
        <f>IF($BG141="","",VLOOKUP($BH141,$BD$160:$BF$193,3,0))</f>
        <v/>
      </c>
      <c r="BG141" s="79" t="str">
        <f>IF(AND(OR(($H$38="通常食"),($H$38="キッズ")),NOT(OR($P$38=0,$P$38=""))),$P$38,"")</f>
        <v/>
      </c>
      <c r="BH141" s="35" t="str">
        <f t="shared" si="24"/>
        <v>0中学生以上</v>
      </c>
      <c r="BI141" s="35">
        <f>IF(OR(BG141="",BG141=0),0,13)</f>
        <v>0</v>
      </c>
      <c r="BJ141" s="62"/>
      <c r="BK141" s="62"/>
      <c r="BL141" s="62"/>
      <c r="BM141" s="62"/>
      <c r="BN141" s="62"/>
      <c r="BO141" s="62"/>
      <c r="BP141" s="62"/>
      <c r="BQ141" s="62"/>
      <c r="BR141" s="62"/>
      <c r="BS141" s="62"/>
      <c r="BT141" s="62"/>
      <c r="BU141" s="62"/>
      <c r="BV141" s="62"/>
      <c r="BW141" s="62"/>
      <c r="BX141" s="62"/>
      <c r="BY141" s="62"/>
      <c r="BZ141" s="62"/>
      <c r="CA141" s="62"/>
    </row>
    <row r="142" spans="32:79" ht="13.5" customHeight="1">
      <c r="AF142" s="1388"/>
      <c r="AG142" s="1388"/>
      <c r="AH142" s="1388"/>
      <c r="AI142" s="1388"/>
      <c r="AJ142" s="1388"/>
      <c r="BA142" s="62" t="s">
        <v>262</v>
      </c>
      <c r="BB142" s="75">
        <f>A39</f>
        <v>0</v>
      </c>
      <c r="BC142" s="75">
        <f>C39</f>
        <v>0</v>
      </c>
      <c r="BD142" s="75">
        <f>IF(AND(NOT($H$39="通常食"),NOT($H$39="キッズ")),$H$39,"")</f>
        <v>0</v>
      </c>
      <c r="BE142" s="75" t="e">
        <f>IF(NOT($BD142=""),VLOOKUP($BD142,$BD$159:$BF$225,2,0),"")</f>
        <v>#N/A</v>
      </c>
      <c r="BF142" s="75" t="e">
        <f>IF(NOT($BD142=""),VLOOKUP($BD142,$BD$159:$BF$225,3,0),"")</f>
        <v>#N/A</v>
      </c>
      <c r="BG142" s="77">
        <f>IF(AND(NOT($H$39="通常食"),NOT($H$39="キッズ")),$R$39,"")</f>
        <v>0</v>
      </c>
      <c r="BH142" s="35"/>
      <c r="BI142" s="35">
        <f>IF(OR(BG142="",BG142=0),0,12)</f>
        <v>0</v>
      </c>
      <c r="BJ142" s="62"/>
      <c r="BK142" s="62"/>
      <c r="BL142" s="62"/>
      <c r="BM142" s="62"/>
      <c r="BN142" s="62"/>
      <c r="BO142" s="62"/>
      <c r="BP142" s="62"/>
      <c r="BQ142" s="62"/>
      <c r="BR142" s="62"/>
      <c r="BS142" s="62"/>
      <c r="BT142" s="62"/>
      <c r="BU142" s="62"/>
      <c r="BV142" s="62"/>
      <c r="BW142" s="62"/>
      <c r="BX142" s="62"/>
      <c r="BY142" s="62"/>
      <c r="BZ142" s="62"/>
      <c r="CA142" s="62"/>
    </row>
    <row r="143" spans="32:79" ht="13.5" customHeight="1">
      <c r="AF143" s="1388"/>
      <c r="AG143" s="1388"/>
      <c r="AH143" s="1388"/>
      <c r="AI143" s="1388"/>
      <c r="AJ143" s="1388"/>
      <c r="BA143" s="62" t="s">
        <v>260</v>
      </c>
      <c r="BB143" s="78">
        <f>A39</f>
        <v>0</v>
      </c>
      <c r="BC143" s="78">
        <f>C39</f>
        <v>0</v>
      </c>
      <c r="BD143" s="79" t="str">
        <f>IF(AND(OR(($H$39="通常食"),($H$39="キッズ")),NOT(OR($M$39=0,$M$39=""))),$H$39,"")</f>
        <v/>
      </c>
      <c r="BE143" s="78" t="str">
        <f>IF($BG143="","",VLOOKUP($BH143,$BD$160:$BF$193,2,0))</f>
        <v/>
      </c>
      <c r="BF143" s="78" t="str">
        <f>IF($BG143="","",VLOOKUP($BH143,$BD$160:$BF$193,3,0))</f>
        <v/>
      </c>
      <c r="BG143" s="79" t="str">
        <f>IF(AND(OR(($H$39="通常食"),($H$39="キッズ")),NOT(OR($M$39=0,$M$39=""))),$M$39,"")</f>
        <v/>
      </c>
      <c r="BH143" s="35" t="str">
        <f t="shared" si="24"/>
        <v>0幼児</v>
      </c>
      <c r="BI143" s="35">
        <f>IF(OR(BG143="",BG143=0),0,11)</f>
        <v>0</v>
      </c>
      <c r="BJ143" s="62"/>
      <c r="BK143" s="62"/>
      <c r="BL143" s="62"/>
      <c r="BM143" s="62"/>
      <c r="BN143" s="62"/>
      <c r="BO143" s="62"/>
      <c r="BP143" s="62"/>
      <c r="BQ143" s="62"/>
      <c r="BR143" s="62"/>
      <c r="BS143" s="62"/>
      <c r="BT143" s="62"/>
      <c r="BU143" s="62"/>
      <c r="BV143" s="62"/>
      <c r="BW143" s="62"/>
      <c r="BX143" s="62"/>
      <c r="BY143" s="62"/>
      <c r="BZ143" s="62"/>
      <c r="CA143" s="62"/>
    </row>
    <row r="144" spans="32:79" ht="13.5" customHeight="1">
      <c r="AF144" s="1388"/>
      <c r="AG144" s="1388"/>
      <c r="AH144" s="1388"/>
      <c r="AI144" s="1388"/>
      <c r="AJ144" s="1388"/>
      <c r="BA144" s="62" t="s">
        <v>261</v>
      </c>
      <c r="BB144" s="78">
        <f>A39</f>
        <v>0</v>
      </c>
      <c r="BC144" s="78">
        <f>C39</f>
        <v>0</v>
      </c>
      <c r="BD144" s="79" t="str">
        <f>IF(AND(OR(($H$39="通常食"),($H$39="キッズ")),NOT(OR($N$39=0,$N$39=""))),$H$39,"")</f>
        <v/>
      </c>
      <c r="BE144" s="78" t="str">
        <f>IF($BG144="","",VLOOKUP($BH144,$BD$160:$BF$193,2,0))</f>
        <v/>
      </c>
      <c r="BF144" s="78" t="str">
        <f>IF($BG144="","",VLOOKUP($BH144,$BD$160:$BF$193,3,0))</f>
        <v/>
      </c>
      <c r="BG144" s="79" t="str">
        <f>IF(AND(OR(($H$39="通常食"),($H$39="キッズ")),NOT(OR($N$39=0,$N$39=""))),$N$39,"")</f>
        <v/>
      </c>
      <c r="BH144" s="35" t="str">
        <f t="shared" si="24"/>
        <v>0小学生</v>
      </c>
      <c r="BI144" s="35">
        <f>IF(OR(BG144="",BG144=0),0,10)</f>
        <v>0</v>
      </c>
      <c r="BJ144" s="62"/>
      <c r="BK144" s="62"/>
      <c r="BL144" s="62"/>
      <c r="BM144" s="62"/>
      <c r="BN144" s="62"/>
      <c r="BO144" s="62"/>
      <c r="BP144" s="62"/>
      <c r="BQ144" s="62"/>
      <c r="BR144" s="62"/>
      <c r="BS144" s="62"/>
      <c r="BT144" s="62"/>
      <c r="BU144" s="62"/>
      <c r="BV144" s="62"/>
      <c r="BW144" s="62"/>
      <c r="BX144" s="62"/>
      <c r="BY144" s="62"/>
      <c r="BZ144" s="62"/>
      <c r="CA144" s="62"/>
    </row>
    <row r="145" spans="32:79" ht="13.5" customHeight="1" thickBot="1">
      <c r="AF145" s="1388"/>
      <c r="AG145" s="1388"/>
      <c r="AH145" s="1388"/>
      <c r="AI145" s="1388"/>
      <c r="AJ145" s="1388"/>
      <c r="BA145" s="62" t="s">
        <v>263</v>
      </c>
      <c r="BB145" s="80">
        <f>A39</f>
        <v>0</v>
      </c>
      <c r="BC145" s="80">
        <f>C39</f>
        <v>0</v>
      </c>
      <c r="BD145" s="79" t="str">
        <f>IF(AND(OR(($H$39="通常食"),($H$39="キッズ")),NOT(OR($P$39=0,$P$39=""))),$H$39,"")</f>
        <v/>
      </c>
      <c r="BE145" s="78" t="str">
        <f>IF($BG145="","",VLOOKUP($BH145,$BD$160:$BF$193,2,0))</f>
        <v/>
      </c>
      <c r="BF145" s="78" t="str">
        <f>IF($BG145="","",VLOOKUP($BH145,$BD$160:$BF$193,3,0))</f>
        <v/>
      </c>
      <c r="BG145" s="79" t="str">
        <f>IF(AND(OR(($H$39="通常食"),($H$39="キッズ")),NOT(OR($P$39=0,$P$39=""))),$P$39,"")</f>
        <v/>
      </c>
      <c r="BH145" s="35" t="str">
        <f t="shared" si="24"/>
        <v>0中学生以上</v>
      </c>
      <c r="BI145" s="35">
        <f>IF(OR(BG145="",BG145=0),0,9)</f>
        <v>0</v>
      </c>
      <c r="BJ145" s="62"/>
      <c r="BK145" s="62"/>
      <c r="BL145" s="62"/>
      <c r="BM145" s="62"/>
      <c r="BN145" s="62"/>
      <c r="BO145" s="62"/>
      <c r="BP145" s="62"/>
      <c r="BQ145" s="62"/>
      <c r="BR145" s="62"/>
      <c r="BS145" s="62"/>
      <c r="BT145" s="62"/>
      <c r="BU145" s="62"/>
      <c r="BV145" s="62"/>
      <c r="BW145" s="62"/>
      <c r="BX145" s="62"/>
      <c r="BY145" s="62"/>
      <c r="BZ145" s="62"/>
      <c r="CA145" s="62"/>
    </row>
    <row r="146" spans="32:79" ht="13.5" customHeight="1">
      <c r="AF146" s="1388"/>
      <c r="AG146" s="1388"/>
      <c r="AH146" s="1388"/>
      <c r="AI146" s="1388"/>
      <c r="AJ146" s="1388"/>
      <c r="BA146" s="62" t="s">
        <v>262</v>
      </c>
      <c r="BB146" s="75">
        <f>A40</f>
        <v>0</v>
      </c>
      <c r="BC146" s="75">
        <f>C40</f>
        <v>0</v>
      </c>
      <c r="BD146" s="75">
        <f>IF(AND(NOT($H$40="通常食"),NOT($H$40="キッズ")),$H$40,"")</f>
        <v>0</v>
      </c>
      <c r="BE146" s="75" t="e">
        <f>IF(NOT($BD146=""),VLOOKUP($BD146,$BD$160:$BF$225,2,0),"")</f>
        <v>#N/A</v>
      </c>
      <c r="BF146" s="75" t="e">
        <f>IF(NOT($BD146=""),VLOOKUP($BD146,$BD$160:$BF$225,3,0),"")</f>
        <v>#N/A</v>
      </c>
      <c r="BG146" s="77">
        <f>IF(AND(NOT($H$40="通常食"),NOT($H$40="キッズ")),$R$40,"")</f>
        <v>0</v>
      </c>
      <c r="BH146" s="35"/>
      <c r="BI146" s="35">
        <f>IF(OR(BG146="",BG146=0),0,8)</f>
        <v>0</v>
      </c>
      <c r="BJ146" s="62"/>
      <c r="BK146" s="62"/>
      <c r="BL146" s="62"/>
      <c r="BM146" s="62"/>
      <c r="BN146" s="62"/>
      <c r="BO146" s="62"/>
      <c r="BP146" s="62"/>
      <c r="BQ146" s="62"/>
      <c r="BR146" s="62"/>
      <c r="BS146" s="62"/>
      <c r="BT146" s="62"/>
      <c r="BU146" s="62"/>
      <c r="BV146" s="62"/>
      <c r="BW146" s="62"/>
      <c r="BX146" s="62"/>
      <c r="BY146" s="62"/>
      <c r="BZ146" s="62"/>
      <c r="CA146" s="62"/>
    </row>
    <row r="147" spans="32:79" ht="13.5" customHeight="1">
      <c r="AF147" s="1388"/>
      <c r="AG147" s="1388"/>
      <c r="AH147" s="1388"/>
      <c r="AI147" s="1388"/>
      <c r="AJ147" s="1388"/>
      <c r="BA147" s="62" t="s">
        <v>260</v>
      </c>
      <c r="BB147" s="78">
        <f>A40</f>
        <v>0</v>
      </c>
      <c r="BC147" s="78">
        <f>C40</f>
        <v>0</v>
      </c>
      <c r="BD147" s="79" t="str">
        <f>IF(AND(OR(($H$40="通常食"),($H$40="キッズ")),NOT(OR($M$40=0,$M$40=""))),$H$40,"")</f>
        <v/>
      </c>
      <c r="BE147" s="78" t="str">
        <f>IF($BG147="","",VLOOKUP($BH147,$BD$160:$BF$193,2,0))</f>
        <v/>
      </c>
      <c r="BF147" s="78" t="str">
        <f>IF($BG147="","",VLOOKUP($BH147,$BD$160:$BF$193,3,0))</f>
        <v/>
      </c>
      <c r="BG147" s="79" t="str">
        <f>IF(AND(OR(($H$40="通常食"),($H$40="キッズ")),NOT(OR($M$40=0,$M$40=""))),$M$40,"")</f>
        <v/>
      </c>
      <c r="BH147" s="35" t="str">
        <f t="shared" si="24"/>
        <v>0幼児</v>
      </c>
      <c r="BI147" s="35">
        <f>IF(OR(BG147="",BG147=0),0,7)</f>
        <v>0</v>
      </c>
      <c r="BJ147" s="62"/>
      <c r="BK147" s="62"/>
      <c r="BL147" s="62"/>
      <c r="BM147" s="62"/>
      <c r="BN147" s="62"/>
      <c r="BO147" s="62"/>
      <c r="BP147" s="62"/>
      <c r="BQ147" s="62"/>
      <c r="BR147" s="62"/>
      <c r="BS147" s="62"/>
      <c r="BT147" s="62"/>
      <c r="BU147" s="62"/>
      <c r="BV147" s="62"/>
      <c r="BW147" s="62"/>
      <c r="BX147" s="62"/>
      <c r="BY147" s="62"/>
      <c r="BZ147" s="62"/>
      <c r="CA147" s="62"/>
    </row>
    <row r="148" spans="32:79" ht="13.5" customHeight="1">
      <c r="AF148" s="1388"/>
      <c r="AG148" s="1388"/>
      <c r="AH148" s="1388"/>
      <c r="AI148" s="1388"/>
      <c r="AJ148" s="1388"/>
      <c r="BA148" s="62" t="s">
        <v>261</v>
      </c>
      <c r="BB148" s="78">
        <f>A40</f>
        <v>0</v>
      </c>
      <c r="BC148" s="78">
        <f>C40</f>
        <v>0</v>
      </c>
      <c r="BD148" s="79" t="str">
        <f>IF(AND(OR(($H$40="通常食"),($H$40="キッズ")),NOT(OR($N$40=0,$N$40=""))),$H$40,"")</f>
        <v/>
      </c>
      <c r="BE148" s="78" t="str">
        <f>IF($BG148="","",VLOOKUP($BH148,$BD$160:$BF$193,2,0))</f>
        <v/>
      </c>
      <c r="BF148" s="78" t="str">
        <f>IF($BG148="","",VLOOKUP($BH148,$BD$160:$BF$193,3,0))</f>
        <v/>
      </c>
      <c r="BG148" s="79" t="str">
        <f>IF(AND(OR(($H$40="通常食"),($H$40="キッズ")),NOT(OR($N$40=0,$N$40=""))),$N$40,"")</f>
        <v/>
      </c>
      <c r="BH148" s="35" t="str">
        <f t="shared" si="24"/>
        <v>0小学生</v>
      </c>
      <c r="BI148" s="35">
        <f>IF(OR(BG148="",BG148=0),0,6)</f>
        <v>0</v>
      </c>
      <c r="BJ148" s="62"/>
      <c r="BK148" s="62"/>
      <c r="BL148" s="62"/>
      <c r="BM148" s="62"/>
      <c r="BN148" s="62"/>
      <c r="BO148" s="62"/>
      <c r="BP148" s="62"/>
      <c r="BQ148" s="62"/>
      <c r="BR148" s="62"/>
      <c r="BS148" s="62"/>
      <c r="BT148" s="62"/>
      <c r="BU148" s="62"/>
      <c r="BV148" s="62"/>
      <c r="BW148" s="62"/>
      <c r="BX148" s="62"/>
      <c r="BY148" s="62"/>
      <c r="BZ148" s="62"/>
      <c r="CA148" s="62"/>
    </row>
    <row r="149" spans="32:79" ht="13.5" customHeight="1" thickBot="1">
      <c r="AF149" s="1388"/>
      <c r="AG149" s="1388"/>
      <c r="AH149" s="1388"/>
      <c r="AI149" s="1388"/>
      <c r="AJ149" s="1388"/>
      <c r="BA149" s="62" t="s">
        <v>263</v>
      </c>
      <c r="BB149" s="80">
        <f>A40</f>
        <v>0</v>
      </c>
      <c r="BC149" s="80">
        <f>C40</f>
        <v>0</v>
      </c>
      <c r="BD149" s="79" t="str">
        <f>IF(AND(OR(($H$40="通常食"),($H$40="キッズ")),NOT(OR($P$40=0,$P$40=""))),$H$40,"")</f>
        <v/>
      </c>
      <c r="BE149" s="78" t="str">
        <f>IF($BG149="","",VLOOKUP($BH149,$BD$160:$BF$193,2,0))</f>
        <v/>
      </c>
      <c r="BF149" s="78" t="str">
        <f>IF($BG149="","",VLOOKUP($BH149,$BD$160:$BF$193,3,0))</f>
        <v/>
      </c>
      <c r="BG149" s="79" t="str">
        <f>IF(AND(OR(($H$40="通常食"),($H$40="キッズ")),NOT(OR($P$40=0,$P$40=""))),$P$40,"")</f>
        <v/>
      </c>
      <c r="BH149" s="35" t="str">
        <f t="shared" si="24"/>
        <v>0中学生以上</v>
      </c>
      <c r="BI149" s="35">
        <f>IF(OR(BG149="",BG149=0),0,5)</f>
        <v>0</v>
      </c>
      <c r="BJ149" s="62"/>
      <c r="BK149" s="62"/>
      <c r="BL149" s="62"/>
      <c r="BM149" s="62"/>
      <c r="BN149" s="62"/>
      <c r="BO149" s="62"/>
      <c r="BP149" s="62"/>
      <c r="BQ149" s="62"/>
      <c r="BR149" s="62"/>
      <c r="BS149" s="62"/>
      <c r="BT149" s="62"/>
      <c r="BU149" s="62"/>
      <c r="BV149" s="62"/>
      <c r="BW149" s="62"/>
      <c r="BX149" s="62"/>
      <c r="BY149" s="62"/>
      <c r="BZ149" s="62"/>
      <c r="CA149" s="62"/>
    </row>
    <row r="150" spans="32:79" ht="13.5" customHeight="1">
      <c r="AF150" s="1388"/>
      <c r="AG150" s="1388"/>
      <c r="AH150" s="1388"/>
      <c r="AI150" s="1388"/>
      <c r="AJ150" s="1388"/>
      <c r="BA150" s="62" t="s">
        <v>262</v>
      </c>
      <c r="BB150" s="75">
        <f>A41</f>
        <v>0</v>
      </c>
      <c r="BC150" s="75">
        <f>C41</f>
        <v>0</v>
      </c>
      <c r="BD150" s="75">
        <f>IF(AND(NOT($H$41="通常食"),NOT($H$41="キッズ")),$H$41,"")</f>
        <v>0</v>
      </c>
      <c r="BE150" s="75" t="e">
        <f>IF(NOT($BD150=""),VLOOKUP($BD150,$BD$159:$BF$225,2,0),"")</f>
        <v>#N/A</v>
      </c>
      <c r="BF150" s="75" t="e">
        <f>IF(NOT($BD150=""),VLOOKUP($BD150,$BD$160:$BF$225,3,0),"")</f>
        <v>#N/A</v>
      </c>
      <c r="BG150" s="77">
        <f>IF(AND(NOT($H$41="通常食"),NOT($H$41="キッズ")),$R$41,"")</f>
        <v>0</v>
      </c>
      <c r="BH150" s="35"/>
      <c r="BI150" s="35">
        <f>IF(OR(BG150="",BG150=0),0,4)</f>
        <v>0</v>
      </c>
      <c r="BJ150" s="62"/>
      <c r="BK150" s="62"/>
      <c r="BL150" s="62"/>
      <c r="BM150" s="62"/>
      <c r="BN150" s="62"/>
      <c r="BO150" s="62"/>
      <c r="BP150" s="62"/>
      <c r="BQ150" s="62"/>
      <c r="BR150" s="62"/>
      <c r="BS150" s="62"/>
      <c r="BT150" s="62"/>
      <c r="BU150" s="62"/>
      <c r="BV150" s="62"/>
      <c r="BW150" s="62"/>
      <c r="BX150" s="62"/>
      <c r="BY150" s="62"/>
      <c r="BZ150" s="62"/>
      <c r="CA150" s="62"/>
    </row>
    <row r="151" spans="32:79" ht="13.5" customHeight="1">
      <c r="AF151" s="1388"/>
      <c r="AG151" s="1388"/>
      <c r="AH151" s="1388"/>
      <c r="AI151" s="1388"/>
      <c r="AJ151" s="1388"/>
      <c r="BA151" s="62" t="s">
        <v>260</v>
      </c>
      <c r="BB151" s="78">
        <f>A41</f>
        <v>0</v>
      </c>
      <c r="BC151" s="78">
        <f>C41</f>
        <v>0</v>
      </c>
      <c r="BD151" s="79" t="str">
        <f>IF(AND(OR(($H$41="通常食"),($H$41="キッズ")),NOT(OR($M$41=0,$M$41=""))),$H$41,"")</f>
        <v/>
      </c>
      <c r="BE151" s="78" t="str">
        <f>IF($BG151="","",VLOOKUP($BH151,$BD$160:$BF$225,2,0))</f>
        <v/>
      </c>
      <c r="BF151" s="78" t="str">
        <f>IF($BG151="","",VLOOKUP($BH151,$BD$160:$BF$225,3,0))</f>
        <v/>
      </c>
      <c r="BG151" s="79" t="str">
        <f>IF(AND(OR(($H$41="通常食"),($H$41="キッズ")),NOT(OR($M$41=0,$M$41=""))),$M$41,"")</f>
        <v/>
      </c>
      <c r="BH151" s="35" t="str">
        <f t="shared" si="24"/>
        <v>0幼児</v>
      </c>
      <c r="BI151" s="35">
        <f>IF(OR(BG151="",BG151=0),0,3)</f>
        <v>0</v>
      </c>
      <c r="BJ151" s="62"/>
      <c r="BK151" s="62"/>
      <c r="BL151" s="62"/>
      <c r="BM151" s="62"/>
      <c r="BN151" s="62"/>
      <c r="BO151" s="62"/>
      <c r="BP151" s="62"/>
      <c r="BQ151" s="62"/>
      <c r="BR151" s="62"/>
      <c r="BS151" s="62"/>
      <c r="BT151" s="62"/>
      <c r="BU151" s="62"/>
      <c r="BV151" s="62"/>
      <c r="BW151" s="62"/>
      <c r="BX151" s="62"/>
      <c r="BY151" s="62"/>
      <c r="BZ151" s="62"/>
      <c r="CA151" s="62"/>
    </row>
    <row r="152" spans="32:79" ht="13.5" customHeight="1">
      <c r="AF152" s="1388"/>
      <c r="AG152" s="1388"/>
      <c r="AH152" s="1388"/>
      <c r="AI152" s="1388"/>
      <c r="AJ152" s="1388"/>
      <c r="BA152" s="62" t="s">
        <v>261</v>
      </c>
      <c r="BB152" s="78">
        <f>A41</f>
        <v>0</v>
      </c>
      <c r="BC152" s="78">
        <f>C41</f>
        <v>0</v>
      </c>
      <c r="BD152" s="79" t="str">
        <f>IF(AND(OR(($H$41="通常食"),($H$41="キッズ")),NOT(OR($N$41=0,$N$41=""))),$H$41,"")</f>
        <v/>
      </c>
      <c r="BE152" s="78" t="str">
        <f>IF($BG152="","",VLOOKUP($BH152,$BD$160:$BF$193,2,0))</f>
        <v/>
      </c>
      <c r="BF152" s="78" t="str">
        <f>IF($BG152="","",VLOOKUP($BH152,$BD$160:$BF$193,3,0))</f>
        <v/>
      </c>
      <c r="BG152" s="79" t="str">
        <f>IF(AND(OR(($H$41="通常食"),($H$41="キッズ")),NOT(OR($N$41=0,$N$41=""))),$N$41,"")</f>
        <v/>
      </c>
      <c r="BH152" s="35" t="str">
        <f t="shared" si="24"/>
        <v>0小学生</v>
      </c>
      <c r="BI152" s="35">
        <f>IF(OR(BG152="",BG152=0),0,2)</f>
        <v>0</v>
      </c>
      <c r="BJ152" s="62"/>
      <c r="BK152" s="62"/>
      <c r="BL152" s="62"/>
      <c r="BM152" s="62"/>
      <c r="BN152" s="62"/>
      <c r="BO152" s="62"/>
      <c r="BP152" s="62"/>
      <c r="BQ152" s="62"/>
      <c r="BR152" s="62"/>
      <c r="BS152" s="62"/>
      <c r="BT152" s="62"/>
      <c r="BU152" s="62"/>
      <c r="BV152" s="62"/>
      <c r="BW152" s="62"/>
      <c r="BX152" s="62"/>
      <c r="BY152" s="62"/>
      <c r="BZ152" s="62"/>
      <c r="CA152" s="62"/>
    </row>
    <row r="153" spans="32:79" ht="13.5" customHeight="1" thickBot="1">
      <c r="AF153" s="1388"/>
      <c r="AG153" s="1388"/>
      <c r="AH153" s="1388"/>
      <c r="AI153" s="1388"/>
      <c r="AJ153" s="1388"/>
      <c r="BA153" s="62" t="s">
        <v>263</v>
      </c>
      <c r="BB153" s="80">
        <f>A41</f>
        <v>0</v>
      </c>
      <c r="BC153" s="80">
        <f>C41</f>
        <v>0</v>
      </c>
      <c r="BD153" s="79" t="str">
        <f>IF(AND(OR(($H$41="通常食"),($H$41="キッズ")),NOT(OR($P$41=0,$P$41=""))),$H$41,"")</f>
        <v/>
      </c>
      <c r="BE153" s="78" t="str">
        <f>IF($BG153="","",VLOOKUP($BH153,$BD$160:$BF$193,2,0))</f>
        <v/>
      </c>
      <c r="BF153" s="78" t="str">
        <f>IF($BG153="","",VLOOKUP($BH153,$BD$160:$BF$193,3,0))</f>
        <v/>
      </c>
      <c r="BG153" s="81" t="str">
        <f>IF(AND(OR(($H$41="通常食"),($H$41="キッズ")),NOT(OR($P$41=0,$P$41=""))),$P$41,"")</f>
        <v/>
      </c>
      <c r="BH153" s="35" t="str">
        <f t="shared" si="24"/>
        <v>0中学生以上</v>
      </c>
      <c r="BI153" s="35">
        <f>IF(OR(BG153="",BG153=0),0,1)</f>
        <v>0</v>
      </c>
      <c r="BJ153" s="62"/>
      <c r="BK153" s="62"/>
      <c r="BL153" s="62"/>
      <c r="BM153" s="62"/>
      <c r="BN153" s="62"/>
      <c r="BO153" s="62"/>
      <c r="BP153" s="62"/>
      <c r="BQ153" s="62"/>
      <c r="BR153" s="62"/>
      <c r="BS153" s="62"/>
      <c r="BT153" s="62"/>
      <c r="BU153" s="62"/>
      <c r="BV153" s="62"/>
      <c r="BW153" s="62"/>
      <c r="BX153" s="62"/>
      <c r="BY153" s="62"/>
      <c r="BZ153" s="62"/>
      <c r="CA153" s="62"/>
    </row>
    <row r="154" spans="32:79" ht="13.5" customHeight="1">
      <c r="AF154" s="1388"/>
      <c r="AG154" s="1388"/>
      <c r="AH154" s="1388"/>
      <c r="AI154" s="1388"/>
      <c r="AJ154" s="1388"/>
      <c r="BA154" s="62"/>
      <c r="BB154" s="62"/>
      <c r="BC154" s="62"/>
      <c r="BD154" s="62"/>
      <c r="BE154" s="62"/>
      <c r="BF154" s="62"/>
      <c r="BG154" s="62"/>
      <c r="BH154" s="62"/>
      <c r="BI154" s="62"/>
      <c r="BJ154" s="62"/>
      <c r="BK154" s="62"/>
      <c r="BL154" s="62"/>
      <c r="BM154" s="62"/>
      <c r="BN154" s="62"/>
      <c r="BO154" s="62"/>
      <c r="BP154" s="62"/>
      <c r="BQ154" s="62"/>
      <c r="BR154" s="62"/>
      <c r="BS154" s="62"/>
      <c r="BT154" s="62"/>
      <c r="BU154" s="62"/>
      <c r="BV154" s="62"/>
      <c r="BW154" s="62"/>
      <c r="BX154" s="62"/>
      <c r="BY154" s="62"/>
      <c r="BZ154" s="62"/>
      <c r="CA154" s="62"/>
    </row>
    <row r="155" spans="32:79" ht="13.5" customHeight="1">
      <c r="AF155" s="1388"/>
      <c r="AG155" s="1388"/>
      <c r="AH155" s="1388"/>
      <c r="AI155" s="1388"/>
      <c r="AJ155" s="1388"/>
      <c r="BA155" s="62"/>
      <c r="BB155" s="62"/>
      <c r="BC155" s="62"/>
      <c r="BD155" s="62"/>
      <c r="BE155" s="62"/>
      <c r="BF155" s="62"/>
      <c r="BG155" s="62"/>
      <c r="BH155" s="62"/>
      <c r="BI155" s="62"/>
      <c r="BJ155" s="62"/>
      <c r="BK155" s="62"/>
      <c r="BL155" s="62"/>
      <c r="BM155" s="62"/>
      <c r="BN155" s="62"/>
      <c r="BO155" s="62"/>
      <c r="BP155" s="62"/>
      <c r="BQ155" s="62"/>
      <c r="BR155" s="62"/>
      <c r="BS155" s="62"/>
      <c r="BT155" s="62"/>
      <c r="BU155" s="62"/>
      <c r="BV155" s="62"/>
      <c r="BW155" s="62"/>
      <c r="BX155" s="62"/>
      <c r="BY155" s="62"/>
      <c r="BZ155" s="62"/>
      <c r="CA155" s="62"/>
    </row>
    <row r="156" spans="32:79" ht="13.5" customHeight="1">
      <c r="AF156" s="1388"/>
      <c r="AG156" s="1388"/>
      <c r="AH156" s="1388"/>
      <c r="AI156" s="1388"/>
      <c r="AJ156" s="1388"/>
      <c r="BA156" s="62"/>
      <c r="BB156" s="62"/>
      <c r="BC156" s="62"/>
      <c r="BD156" s="62"/>
      <c r="BE156" s="62"/>
      <c r="BF156" s="62"/>
      <c r="BG156" s="62"/>
      <c r="BH156" s="62"/>
      <c r="BI156" s="62"/>
      <c r="BJ156" s="62"/>
      <c r="BK156" s="62"/>
      <c r="BL156" s="62"/>
      <c r="BM156" s="62"/>
      <c r="BN156" s="62"/>
      <c r="BO156" s="62"/>
      <c r="BP156" s="62"/>
      <c r="BQ156" s="62"/>
      <c r="BR156" s="62"/>
      <c r="BS156" s="62"/>
      <c r="BT156" s="62"/>
      <c r="BU156" s="62"/>
      <c r="BV156" s="62"/>
      <c r="BW156" s="62"/>
      <c r="BX156" s="62"/>
      <c r="BY156" s="62"/>
      <c r="BZ156" s="62"/>
      <c r="CA156" s="62"/>
    </row>
    <row r="157" spans="32:79" ht="13.5" customHeight="1">
      <c r="AF157" s="1388"/>
      <c r="AG157" s="1388"/>
      <c r="AH157" s="1388"/>
      <c r="AI157" s="1388"/>
      <c r="AJ157" s="1388"/>
      <c r="BA157" s="62"/>
      <c r="BB157" s="62"/>
      <c r="BC157" s="62"/>
      <c r="BD157" s="62"/>
      <c r="BE157" s="82" t="s">
        <v>118</v>
      </c>
      <c r="BF157" s="83"/>
      <c r="BG157" s="62"/>
      <c r="BH157" s="62"/>
      <c r="BI157" s="62"/>
      <c r="BJ157" s="62"/>
      <c r="BK157" s="62"/>
      <c r="BL157" s="62"/>
      <c r="BM157" s="62"/>
      <c r="BN157" s="62"/>
      <c r="BO157" s="62"/>
      <c r="BP157" s="62"/>
      <c r="BQ157" s="62"/>
      <c r="BR157" s="62"/>
      <c r="BS157" s="62"/>
      <c r="BT157" s="62"/>
      <c r="BU157" s="62"/>
      <c r="BV157" s="62"/>
      <c r="BW157" s="62"/>
      <c r="BX157" s="62"/>
      <c r="BY157" s="62"/>
      <c r="BZ157" s="62"/>
      <c r="CA157" s="62"/>
    </row>
    <row r="158" spans="32:79" ht="13.5" customHeight="1">
      <c r="AF158" s="1388"/>
      <c r="AG158" s="1388"/>
      <c r="AH158" s="1388"/>
      <c r="AI158" s="1388"/>
      <c r="AJ158" s="1388"/>
      <c r="BA158" s="62"/>
      <c r="BB158" s="62"/>
      <c r="BC158" s="62"/>
      <c r="BD158" s="62"/>
      <c r="BE158" s="84"/>
      <c r="BF158" s="85"/>
      <c r="BG158" s="62"/>
      <c r="BH158" s="62"/>
      <c r="BI158" s="62"/>
      <c r="BJ158" s="62"/>
      <c r="BK158" s="62"/>
      <c r="BL158" s="62"/>
      <c r="BM158" s="62"/>
      <c r="BN158" s="62"/>
      <c r="BO158" s="62"/>
      <c r="BP158" s="62"/>
      <c r="BQ158" s="62"/>
      <c r="BR158" s="62"/>
      <c r="BS158" s="62"/>
      <c r="BT158" s="62"/>
      <c r="BU158" s="62"/>
      <c r="BV158" s="62"/>
      <c r="BW158" s="62"/>
      <c r="BX158" s="62"/>
      <c r="BY158" s="62"/>
      <c r="BZ158" s="62"/>
      <c r="CA158" s="62"/>
    </row>
    <row r="159" spans="32:79" ht="13.5" customHeight="1">
      <c r="AF159" s="1388"/>
      <c r="AG159" s="1388"/>
      <c r="AH159" s="1388"/>
      <c r="AI159" s="1388"/>
      <c r="AJ159" s="1388"/>
      <c r="BA159" s="62"/>
      <c r="BB159" s="62"/>
      <c r="BC159" s="86"/>
      <c r="BD159" s="88" t="s">
        <v>136</v>
      </c>
      <c r="BE159" s="88" t="s">
        <v>136</v>
      </c>
      <c r="BF159" s="89"/>
      <c r="BG159" s="62"/>
      <c r="BH159" s="62"/>
      <c r="BI159" s="62"/>
      <c r="BJ159" s="62"/>
      <c r="BK159" s="62"/>
      <c r="BL159" s="62"/>
      <c r="BM159" s="62"/>
      <c r="BN159" s="62"/>
      <c r="BO159" s="62"/>
      <c r="BP159" s="62"/>
      <c r="BQ159" s="62"/>
      <c r="BR159" s="62"/>
      <c r="BS159" s="62"/>
      <c r="BT159" s="62"/>
      <c r="BU159" s="62"/>
      <c r="BV159" s="62"/>
      <c r="BW159" s="62"/>
      <c r="BX159" s="62"/>
      <c r="BY159" s="62"/>
      <c r="BZ159" s="62"/>
      <c r="CA159" s="62"/>
    </row>
    <row r="160" spans="32:79" ht="13.5" customHeight="1">
      <c r="AF160" s="1388"/>
      <c r="AG160" s="1388"/>
      <c r="AH160" s="1388"/>
      <c r="AI160" s="1388"/>
      <c r="AJ160" s="1388"/>
      <c r="BA160" s="62"/>
      <c r="BB160" s="62"/>
      <c r="BC160" s="90"/>
      <c r="BD160" s="87" t="s">
        <v>268</v>
      </c>
      <c r="BE160" s="91" t="s">
        <v>139</v>
      </c>
      <c r="BF160" s="83">
        <v>720</v>
      </c>
      <c r="BG160" s="62"/>
      <c r="BH160" s="62"/>
      <c r="BI160" s="62"/>
      <c r="BJ160" s="62"/>
      <c r="BK160" s="62"/>
      <c r="BL160" s="62"/>
      <c r="BM160" s="62"/>
      <c r="BN160" s="62"/>
      <c r="BO160" s="62"/>
      <c r="BP160" s="62"/>
      <c r="BQ160" s="62"/>
      <c r="BR160" s="62"/>
      <c r="BS160" s="62"/>
      <c r="BT160" s="62"/>
      <c r="BU160" s="62"/>
      <c r="BV160" s="62"/>
      <c r="BW160" s="62"/>
      <c r="BX160" s="62"/>
      <c r="BY160" s="62"/>
      <c r="BZ160" s="62"/>
      <c r="CA160" s="62"/>
    </row>
    <row r="161" spans="32:79" ht="13.5" customHeight="1">
      <c r="AF161" s="1388"/>
      <c r="AG161" s="1388"/>
      <c r="AH161" s="1388"/>
      <c r="AI161" s="1388"/>
      <c r="AJ161" s="1388"/>
      <c r="BA161" s="62"/>
      <c r="BB161" s="62"/>
      <c r="BC161" s="90"/>
      <c r="BD161" s="87" t="s">
        <v>269</v>
      </c>
      <c r="BE161" s="91" t="s">
        <v>141</v>
      </c>
      <c r="BF161" s="83">
        <v>840</v>
      </c>
      <c r="BG161" s="62"/>
      <c r="BH161" s="62"/>
      <c r="BI161" s="62"/>
      <c r="BJ161" s="62"/>
      <c r="BK161" s="62"/>
      <c r="BL161" s="62"/>
      <c r="BM161" s="62"/>
      <c r="BN161" s="62"/>
      <c r="BO161" s="62"/>
      <c r="BP161" s="62"/>
      <c r="BQ161" s="62"/>
      <c r="BR161" s="62"/>
      <c r="BS161" s="62"/>
      <c r="BT161" s="62"/>
      <c r="BU161" s="62"/>
      <c r="BV161" s="62"/>
      <c r="BW161" s="62"/>
      <c r="BX161" s="62"/>
      <c r="BY161" s="62"/>
      <c r="BZ161" s="62"/>
      <c r="CA161" s="62"/>
    </row>
    <row r="162" spans="32:79" ht="13.5" customHeight="1">
      <c r="AF162" s="1388"/>
      <c r="AG162" s="1388"/>
      <c r="AH162" s="1388"/>
      <c r="AI162" s="1388"/>
      <c r="AJ162" s="1388"/>
      <c r="BA162" s="62"/>
      <c r="BB162" s="62"/>
      <c r="BC162" s="90"/>
      <c r="BD162" s="87" t="s">
        <v>270</v>
      </c>
      <c r="BE162" s="91" t="s">
        <v>142</v>
      </c>
      <c r="BF162" s="83">
        <v>900</v>
      </c>
      <c r="BG162" s="62"/>
      <c r="BH162" s="62"/>
      <c r="BI162" s="62"/>
      <c r="BJ162" s="62"/>
      <c r="BK162" s="62"/>
      <c r="BL162" s="62"/>
      <c r="BM162" s="62"/>
      <c r="BN162" s="62"/>
      <c r="BO162" s="62"/>
      <c r="BP162" s="62"/>
      <c r="BQ162" s="62"/>
      <c r="BR162" s="62"/>
      <c r="BS162" s="62"/>
      <c r="BT162" s="62"/>
      <c r="BU162" s="62"/>
      <c r="BV162" s="62"/>
      <c r="BW162" s="62"/>
      <c r="BX162" s="62"/>
      <c r="BY162" s="62"/>
      <c r="BZ162" s="62"/>
      <c r="CA162" s="62"/>
    </row>
    <row r="163" spans="32:79" ht="13.5" customHeight="1">
      <c r="AF163" s="1388"/>
      <c r="AG163" s="1388"/>
      <c r="AH163" s="1388"/>
      <c r="AI163" s="1388"/>
      <c r="AJ163" s="1388"/>
      <c r="BA163" s="62"/>
      <c r="BB163" s="62"/>
      <c r="BC163" s="90"/>
      <c r="BD163" s="87" t="s">
        <v>271</v>
      </c>
      <c r="BE163" s="91" t="s">
        <v>143</v>
      </c>
      <c r="BF163" s="83">
        <v>840</v>
      </c>
      <c r="BG163" s="62"/>
      <c r="BH163" s="62"/>
      <c r="BI163" s="62"/>
      <c r="BJ163" s="62"/>
      <c r="BK163" s="62"/>
      <c r="BL163" s="62"/>
      <c r="BM163" s="62"/>
      <c r="BN163" s="62"/>
      <c r="BO163" s="62"/>
      <c r="BP163" s="62"/>
      <c r="BQ163" s="62"/>
      <c r="BR163" s="62"/>
      <c r="BS163" s="62"/>
      <c r="BT163" s="62"/>
      <c r="BU163" s="62"/>
      <c r="BV163" s="62"/>
      <c r="BW163" s="62"/>
      <c r="BX163" s="62"/>
      <c r="BY163" s="62"/>
      <c r="BZ163" s="62"/>
      <c r="CA163" s="62"/>
    </row>
    <row r="164" spans="32:79" ht="13.5" customHeight="1">
      <c r="AF164" s="1388"/>
      <c r="AG164" s="1388"/>
      <c r="AH164" s="1388"/>
      <c r="AI164" s="1388"/>
      <c r="AJ164" s="1388"/>
      <c r="BA164" s="62"/>
      <c r="BB164" s="62"/>
      <c r="BC164" s="90"/>
      <c r="BD164" s="87" t="s">
        <v>272</v>
      </c>
      <c r="BE164" s="91" t="s">
        <v>144</v>
      </c>
      <c r="BF164" s="83">
        <v>990</v>
      </c>
      <c r="BG164" s="62"/>
      <c r="BH164" s="62"/>
      <c r="BI164" s="62"/>
      <c r="BJ164" s="62"/>
      <c r="BK164" s="62"/>
      <c r="BL164" s="62"/>
      <c r="BM164" s="62"/>
      <c r="BN164" s="62"/>
      <c r="BO164" s="62"/>
      <c r="BP164" s="62"/>
      <c r="BQ164" s="62"/>
      <c r="BR164" s="62"/>
      <c r="BS164" s="62"/>
      <c r="BT164" s="62"/>
      <c r="BU164" s="62"/>
      <c r="BV164" s="62"/>
      <c r="BW164" s="62"/>
      <c r="BX164" s="62"/>
      <c r="BY164" s="62"/>
      <c r="BZ164" s="62"/>
      <c r="CA164" s="62"/>
    </row>
    <row r="165" spans="32:79" ht="13.5" customHeight="1">
      <c r="AF165" s="1388"/>
      <c r="AG165" s="1388"/>
      <c r="AH165" s="1388"/>
      <c r="AI165" s="1388"/>
      <c r="AJ165" s="1388"/>
      <c r="BA165" s="62"/>
      <c r="BB165" s="62"/>
      <c r="BC165" s="90"/>
      <c r="BD165" s="87" t="s">
        <v>273</v>
      </c>
      <c r="BE165" s="91" t="s">
        <v>146</v>
      </c>
      <c r="BF165" s="83">
        <v>1030</v>
      </c>
      <c r="BG165" s="62"/>
      <c r="BH165" s="62"/>
      <c r="BI165" s="62"/>
      <c r="BJ165" s="62"/>
      <c r="BK165" s="62"/>
      <c r="BL165" s="62"/>
      <c r="BM165" s="62"/>
      <c r="BN165" s="62"/>
      <c r="BO165" s="62"/>
      <c r="BP165" s="62"/>
      <c r="BQ165" s="62"/>
      <c r="BR165" s="62"/>
      <c r="BS165" s="62"/>
      <c r="BT165" s="62"/>
      <c r="BU165" s="62"/>
      <c r="BV165" s="62"/>
      <c r="BW165" s="62"/>
      <c r="BX165" s="62"/>
      <c r="BY165" s="62"/>
      <c r="BZ165" s="62"/>
      <c r="CA165" s="62"/>
    </row>
    <row r="166" spans="32:79" ht="13.5" customHeight="1">
      <c r="AF166" s="1388"/>
      <c r="AG166" s="1388"/>
      <c r="AH166" s="1388"/>
      <c r="AI166" s="1388"/>
      <c r="AJ166" s="1388"/>
      <c r="BA166" s="62"/>
      <c r="BB166" s="62"/>
      <c r="BC166" s="90"/>
      <c r="BD166" s="87" t="s">
        <v>274</v>
      </c>
      <c r="BE166" s="91" t="s">
        <v>148</v>
      </c>
      <c r="BF166" s="83">
        <v>710</v>
      </c>
      <c r="BG166" s="62"/>
      <c r="BH166" s="62"/>
      <c r="BI166" s="62"/>
      <c r="BJ166" s="62"/>
      <c r="BK166" s="62"/>
      <c r="BL166" s="62"/>
      <c r="BM166" s="62"/>
      <c r="BN166" s="62"/>
      <c r="BO166" s="62"/>
      <c r="BP166" s="62"/>
      <c r="BQ166" s="62"/>
      <c r="BR166" s="62"/>
      <c r="BS166" s="62"/>
      <c r="BT166" s="62"/>
      <c r="BU166" s="62"/>
      <c r="BV166" s="62"/>
      <c r="BW166" s="62"/>
      <c r="BX166" s="62"/>
      <c r="BY166" s="62"/>
      <c r="BZ166" s="62"/>
      <c r="CA166" s="62"/>
    </row>
    <row r="167" spans="32:79" ht="13.5" customHeight="1">
      <c r="AF167" s="1388"/>
      <c r="AG167" s="1388"/>
      <c r="AH167" s="1388"/>
      <c r="AI167" s="1388"/>
      <c r="AJ167" s="1388"/>
      <c r="BA167" s="62"/>
      <c r="BB167" s="62"/>
      <c r="BC167" s="90"/>
      <c r="BD167" s="87" t="s">
        <v>275</v>
      </c>
      <c r="BE167" s="91" t="s">
        <v>151</v>
      </c>
      <c r="BF167" s="83">
        <v>820</v>
      </c>
      <c r="BG167" s="62"/>
      <c r="BH167" s="62"/>
      <c r="BI167" s="62"/>
      <c r="BJ167" s="62"/>
      <c r="BK167" s="62"/>
      <c r="BL167" s="62"/>
      <c r="BM167" s="62"/>
      <c r="BN167" s="62"/>
      <c r="BO167" s="62"/>
      <c r="BP167" s="62"/>
      <c r="BQ167" s="62"/>
      <c r="BR167" s="62"/>
      <c r="BS167" s="62"/>
      <c r="BT167" s="62"/>
      <c r="BU167" s="62"/>
      <c r="BV167" s="62"/>
      <c r="BW167" s="62"/>
      <c r="BX167" s="62"/>
      <c r="BY167" s="62"/>
      <c r="BZ167" s="62"/>
      <c r="CA167" s="62"/>
    </row>
    <row r="168" spans="32:79" ht="13.5" customHeight="1">
      <c r="AF168" s="1388"/>
      <c r="AG168" s="1388"/>
      <c r="AH168" s="1388"/>
      <c r="AI168" s="1388"/>
      <c r="AJ168" s="1388"/>
      <c r="BA168" s="62"/>
      <c r="BB168" s="62"/>
      <c r="BC168" s="90"/>
      <c r="BD168" s="87" t="s">
        <v>276</v>
      </c>
      <c r="BE168" s="91" t="s">
        <v>154</v>
      </c>
      <c r="BF168" s="83">
        <v>870</v>
      </c>
      <c r="BG168" s="62"/>
      <c r="BH168" s="62"/>
      <c r="BI168" s="62"/>
      <c r="BJ168" s="62"/>
      <c r="BK168" s="62"/>
      <c r="BL168" s="62"/>
      <c r="BM168" s="62"/>
      <c r="BN168" s="62"/>
      <c r="BO168" s="62"/>
      <c r="BP168" s="62"/>
      <c r="BQ168" s="62"/>
      <c r="BR168" s="62"/>
      <c r="BS168" s="62"/>
      <c r="BT168" s="62"/>
      <c r="BU168" s="62"/>
      <c r="BV168" s="62"/>
      <c r="BW168" s="62"/>
      <c r="BX168" s="62"/>
      <c r="BY168" s="62"/>
      <c r="BZ168" s="62"/>
      <c r="CA168" s="62"/>
    </row>
    <row r="169" spans="32:79" ht="30.75" customHeight="1">
      <c r="AF169" s="721"/>
      <c r="AG169" s="721"/>
      <c r="AH169" s="721"/>
      <c r="AI169" s="721"/>
      <c r="AJ169" s="721"/>
      <c r="BA169" s="62"/>
      <c r="BB169" s="62"/>
      <c r="BC169" s="90"/>
      <c r="BD169" s="730" t="s">
        <v>874</v>
      </c>
      <c r="BE169" s="730" t="s">
        <v>874</v>
      </c>
      <c r="BF169" s="83">
        <v>220</v>
      </c>
      <c r="BG169" s="62"/>
      <c r="BH169" s="62"/>
      <c r="BI169" s="62"/>
      <c r="BJ169" s="62"/>
      <c r="BK169" s="62"/>
      <c r="BL169" s="62"/>
      <c r="BM169" s="62"/>
      <c r="BN169" s="62"/>
      <c r="BO169" s="62"/>
      <c r="BP169" s="62"/>
      <c r="BQ169" s="62"/>
      <c r="BR169" s="62"/>
      <c r="BS169" s="62"/>
      <c r="BT169" s="62"/>
      <c r="BU169" s="62"/>
      <c r="BV169" s="62"/>
      <c r="BW169" s="62"/>
      <c r="BX169" s="62"/>
      <c r="BY169" s="62"/>
      <c r="BZ169" s="62"/>
      <c r="CA169" s="62"/>
    </row>
    <row r="170" spans="32:79" ht="32.25" customHeight="1">
      <c r="AF170" s="721"/>
      <c r="AG170" s="721"/>
      <c r="AH170" s="721"/>
      <c r="AI170" s="721"/>
      <c r="AJ170" s="721"/>
      <c r="BA170" s="62"/>
      <c r="BB170" s="62"/>
      <c r="BC170" s="90"/>
      <c r="BD170" s="730" t="s">
        <v>875</v>
      </c>
      <c r="BE170" s="730" t="s">
        <v>875</v>
      </c>
      <c r="BF170" s="83">
        <v>220</v>
      </c>
      <c r="BG170" s="62"/>
      <c r="BH170" s="62"/>
      <c r="BI170" s="62"/>
      <c r="BJ170" s="62"/>
      <c r="BK170" s="62"/>
      <c r="BL170" s="62"/>
      <c r="BM170" s="62"/>
      <c r="BN170" s="62"/>
      <c r="BO170" s="62"/>
      <c r="BP170" s="62"/>
      <c r="BQ170" s="62"/>
      <c r="BR170" s="62"/>
      <c r="BS170" s="62"/>
      <c r="BT170" s="62"/>
      <c r="BU170" s="62"/>
      <c r="BV170" s="62"/>
      <c r="BW170" s="62"/>
      <c r="BX170" s="62"/>
      <c r="BY170" s="62"/>
      <c r="BZ170" s="62"/>
      <c r="CA170" s="62"/>
    </row>
    <row r="171" spans="32:79" ht="32.25" customHeight="1" thickBot="1">
      <c r="AF171" s="721"/>
      <c r="AG171" s="721"/>
      <c r="AH171" s="721"/>
      <c r="AI171" s="721"/>
      <c r="AJ171" s="721"/>
      <c r="BA171" s="62"/>
      <c r="BB171" s="62"/>
      <c r="BC171" s="90"/>
      <c r="BD171" s="731" t="s">
        <v>876</v>
      </c>
      <c r="BE171" s="731" t="s">
        <v>876</v>
      </c>
      <c r="BF171" s="83">
        <v>220</v>
      </c>
      <c r="BG171" s="62"/>
      <c r="BH171" s="62"/>
      <c r="BI171" s="62"/>
      <c r="BJ171" s="62"/>
      <c r="BK171" s="62"/>
      <c r="BL171" s="62"/>
      <c r="BM171" s="62"/>
      <c r="BN171" s="62"/>
      <c r="BO171" s="62"/>
      <c r="BP171" s="62"/>
      <c r="BQ171" s="62"/>
      <c r="BR171" s="62"/>
      <c r="BS171" s="62"/>
      <c r="BT171" s="62"/>
      <c r="BU171" s="62"/>
      <c r="BV171" s="62"/>
      <c r="BW171" s="62"/>
      <c r="BX171" s="62"/>
      <c r="BY171" s="62"/>
      <c r="BZ171" s="62"/>
      <c r="CA171" s="62"/>
    </row>
    <row r="172" spans="32:79" ht="13.5" customHeight="1">
      <c r="AF172" s="721"/>
      <c r="AG172" s="721"/>
      <c r="AH172" s="721"/>
      <c r="AI172" s="721"/>
      <c r="AJ172" s="721"/>
      <c r="BA172" s="62"/>
      <c r="BB172" s="62"/>
      <c r="BC172" s="90"/>
      <c r="BD172" s="727" t="s">
        <v>789</v>
      </c>
      <c r="BE172" s="728" t="s">
        <v>789</v>
      </c>
      <c r="BF172" s="83">
        <v>110</v>
      </c>
      <c r="BG172" s="62"/>
      <c r="BH172" s="62"/>
      <c r="BI172" s="62"/>
      <c r="BJ172" s="62"/>
      <c r="BK172" s="62"/>
      <c r="BL172" s="62"/>
      <c r="BM172" s="62"/>
      <c r="BN172" s="62"/>
      <c r="BO172" s="62"/>
      <c r="BP172" s="62"/>
      <c r="BQ172" s="62"/>
      <c r="BR172" s="62"/>
      <c r="BS172" s="62"/>
      <c r="BT172" s="62"/>
      <c r="BU172" s="62"/>
      <c r="BV172" s="62"/>
      <c r="BW172" s="62"/>
      <c r="BX172" s="62"/>
      <c r="BY172" s="62"/>
      <c r="BZ172" s="62"/>
      <c r="CA172" s="62"/>
    </row>
    <row r="173" spans="32:79" ht="30" customHeight="1" thickBot="1">
      <c r="AF173" s="1388"/>
      <c r="AG173" s="1388"/>
      <c r="AH173" s="1388"/>
      <c r="AI173" s="1388"/>
      <c r="AJ173" s="1388"/>
      <c r="BA173" s="62"/>
      <c r="BB173" s="62"/>
      <c r="BC173" s="86"/>
      <c r="BD173" s="731" t="s">
        <v>877</v>
      </c>
      <c r="BE173" s="731" t="s">
        <v>877</v>
      </c>
      <c r="BF173" s="83">
        <v>220</v>
      </c>
      <c r="BG173" s="62"/>
      <c r="BH173" s="62"/>
      <c r="BI173" s="62"/>
      <c r="BJ173" s="62"/>
      <c r="BK173" s="62"/>
      <c r="BL173" s="62"/>
      <c r="BM173" s="62"/>
      <c r="BN173" s="62"/>
      <c r="BO173" s="62"/>
      <c r="BP173" s="62"/>
      <c r="BQ173" s="62"/>
      <c r="BR173" s="62"/>
      <c r="BS173" s="62"/>
      <c r="BT173" s="62"/>
      <c r="BU173" s="62"/>
      <c r="BV173" s="62"/>
      <c r="BW173" s="62"/>
      <c r="BX173" s="62"/>
      <c r="BY173" s="62"/>
      <c r="BZ173" s="62"/>
      <c r="CA173" s="62"/>
    </row>
    <row r="174" spans="32:79" ht="18.75" customHeight="1">
      <c r="AF174" s="1388"/>
      <c r="AG174" s="1388"/>
      <c r="AH174" s="1388"/>
      <c r="AI174" s="1388"/>
      <c r="AJ174" s="1388"/>
      <c r="BA174" s="62"/>
      <c r="BB174" s="62"/>
      <c r="BC174" s="90"/>
      <c r="BD174" s="759"/>
      <c r="BE174" s="760" t="s">
        <v>156</v>
      </c>
      <c r="BF174" s="761"/>
      <c r="BG174" s="62"/>
      <c r="BH174" s="62"/>
      <c r="BI174" s="62"/>
      <c r="BJ174" s="62"/>
      <c r="BK174" s="62"/>
      <c r="BL174" s="62"/>
      <c r="BM174" s="62"/>
      <c r="BN174" s="62"/>
      <c r="BO174" s="62"/>
      <c r="BP174" s="62"/>
      <c r="BQ174" s="62"/>
      <c r="BR174" s="62"/>
      <c r="BS174" s="62"/>
      <c r="BT174" s="62"/>
      <c r="BU174" s="62"/>
      <c r="BV174" s="62"/>
      <c r="BW174" s="62"/>
      <c r="BX174" s="62"/>
      <c r="BY174" s="62"/>
      <c r="BZ174" s="62"/>
      <c r="CA174" s="62"/>
    </row>
    <row r="175" spans="32:79" ht="13.5" customHeight="1">
      <c r="AF175" s="1388"/>
      <c r="AG175" s="1388"/>
      <c r="AH175" s="1388"/>
      <c r="AI175" s="1388"/>
      <c r="AJ175" s="1388"/>
      <c r="BA175" s="62"/>
      <c r="BB175" s="62"/>
      <c r="BC175" s="90"/>
      <c r="BD175" s="759" t="s">
        <v>501</v>
      </c>
      <c r="BE175" s="762" t="s">
        <v>510</v>
      </c>
      <c r="BF175" s="763">
        <v>640</v>
      </c>
      <c r="BG175" s="62"/>
      <c r="BH175" s="62"/>
      <c r="BI175" s="62"/>
      <c r="BJ175" s="62"/>
      <c r="BK175" s="62"/>
      <c r="BL175" s="62"/>
      <c r="BM175" s="62"/>
      <c r="BN175" s="62"/>
      <c r="BO175" s="62"/>
      <c r="BP175" s="62"/>
      <c r="BQ175" s="62"/>
      <c r="BR175" s="62"/>
      <c r="BS175" s="62"/>
      <c r="BT175" s="62"/>
      <c r="BU175" s="62"/>
      <c r="BV175" s="62"/>
      <c r="BW175" s="62"/>
      <c r="BX175" s="62"/>
      <c r="BY175" s="62"/>
      <c r="BZ175" s="62"/>
      <c r="CA175" s="62"/>
    </row>
    <row r="176" spans="32:79" ht="13.5" customHeight="1">
      <c r="AF176" s="1388"/>
      <c r="AG176" s="1388"/>
      <c r="AH176" s="1388"/>
      <c r="AI176" s="1388"/>
      <c r="AJ176" s="1388"/>
      <c r="BA176" s="62"/>
      <c r="BB176" s="62"/>
      <c r="BC176" s="90"/>
      <c r="BD176" s="759" t="s">
        <v>502</v>
      </c>
      <c r="BE176" s="762" t="s">
        <v>511</v>
      </c>
      <c r="BF176" s="763">
        <v>750</v>
      </c>
      <c r="BG176" s="62"/>
      <c r="BH176" s="62"/>
      <c r="BI176" s="62"/>
      <c r="BJ176" s="62"/>
      <c r="BK176" s="62"/>
      <c r="BL176" s="62"/>
      <c r="BM176" s="62"/>
      <c r="BN176" s="62"/>
      <c r="BO176" s="62"/>
      <c r="BP176" s="62"/>
      <c r="BQ176" s="62"/>
      <c r="BR176" s="62"/>
      <c r="BS176" s="62"/>
      <c r="BT176" s="62"/>
      <c r="BU176" s="62"/>
      <c r="BV176" s="62"/>
      <c r="BW176" s="62"/>
      <c r="BX176" s="62"/>
      <c r="BY176" s="62"/>
      <c r="BZ176" s="62"/>
      <c r="CA176" s="62"/>
    </row>
    <row r="177" spans="32:79" ht="13.5" customHeight="1">
      <c r="AF177" s="1388"/>
      <c r="AG177" s="1388"/>
      <c r="AH177" s="1388"/>
      <c r="AI177" s="1388"/>
      <c r="AJ177" s="1388"/>
      <c r="BA177" s="62"/>
      <c r="BB177" s="62"/>
      <c r="BC177" s="90"/>
      <c r="BD177" s="759" t="s">
        <v>504</v>
      </c>
      <c r="BE177" s="762" t="s">
        <v>512</v>
      </c>
      <c r="BF177" s="763">
        <v>800</v>
      </c>
      <c r="BG177" s="62"/>
      <c r="BH177" s="62"/>
      <c r="BI177" s="62"/>
      <c r="BJ177" s="62"/>
      <c r="BK177" s="62"/>
      <c r="BL177" s="62"/>
      <c r="BM177" s="62"/>
      <c r="BN177" s="62"/>
      <c r="BO177" s="62"/>
      <c r="BP177" s="62"/>
      <c r="BQ177" s="62"/>
      <c r="BR177" s="62"/>
      <c r="BS177" s="62"/>
      <c r="BT177" s="62"/>
      <c r="BU177" s="62"/>
      <c r="BV177" s="62"/>
      <c r="BW177" s="62"/>
      <c r="BX177" s="62"/>
      <c r="BY177" s="62"/>
      <c r="BZ177" s="62"/>
      <c r="CA177" s="62"/>
    </row>
    <row r="178" spans="32:79" ht="13.5" customHeight="1">
      <c r="AF178" s="1388"/>
      <c r="AG178" s="1388"/>
      <c r="AH178" s="1388"/>
      <c r="AI178" s="1388"/>
      <c r="AJ178" s="1388"/>
      <c r="BA178" s="62"/>
      <c r="BB178" s="62"/>
      <c r="BC178" s="90"/>
      <c r="BD178" s="759" t="s">
        <v>503</v>
      </c>
      <c r="BE178" s="762" t="s">
        <v>513</v>
      </c>
      <c r="BF178" s="763">
        <v>750</v>
      </c>
      <c r="BG178" s="62"/>
      <c r="BH178" s="62"/>
      <c r="BI178" s="62"/>
      <c r="BJ178" s="62"/>
      <c r="BK178" s="62"/>
      <c r="BL178" s="62"/>
      <c r="BM178" s="62"/>
      <c r="BN178" s="62"/>
      <c r="BO178" s="62"/>
      <c r="BP178" s="62"/>
      <c r="BQ178" s="62"/>
      <c r="BR178" s="62"/>
      <c r="BS178" s="62"/>
      <c r="BT178" s="62"/>
      <c r="BU178" s="62"/>
      <c r="BV178" s="62"/>
      <c r="BW178" s="62"/>
      <c r="BX178" s="62"/>
      <c r="BY178" s="62"/>
      <c r="BZ178" s="62"/>
      <c r="CA178" s="62"/>
    </row>
    <row r="179" spans="32:79" ht="13.5" customHeight="1">
      <c r="AF179" s="1388"/>
      <c r="AG179" s="1388"/>
      <c r="AH179" s="1388"/>
      <c r="AI179" s="1388"/>
      <c r="AJ179" s="1388"/>
      <c r="BA179" s="62"/>
      <c r="BB179" s="62"/>
      <c r="BC179" s="90"/>
      <c r="BD179" s="759" t="s">
        <v>505</v>
      </c>
      <c r="BE179" s="762" t="s">
        <v>514</v>
      </c>
      <c r="BF179" s="763">
        <v>880</v>
      </c>
      <c r="BG179" s="62"/>
      <c r="BH179" s="62"/>
      <c r="BI179" s="62"/>
      <c r="BJ179" s="62"/>
      <c r="BK179" s="62"/>
      <c r="BL179" s="62"/>
      <c r="BM179" s="62"/>
      <c r="BN179" s="62"/>
      <c r="BO179" s="62"/>
      <c r="BP179" s="62"/>
      <c r="BQ179" s="62"/>
      <c r="BR179" s="62"/>
      <c r="BS179" s="62"/>
      <c r="BT179" s="62"/>
      <c r="BU179" s="62"/>
      <c r="BV179" s="62"/>
      <c r="BW179" s="62"/>
      <c r="BX179" s="62"/>
      <c r="BY179" s="62"/>
      <c r="BZ179" s="62"/>
      <c r="CA179" s="62"/>
    </row>
    <row r="180" spans="32:79" ht="13.5" customHeight="1">
      <c r="AF180" s="1388"/>
      <c r="AG180" s="1388"/>
      <c r="AH180" s="1388"/>
      <c r="AI180" s="1388"/>
      <c r="AJ180" s="1388"/>
      <c r="BA180" s="62"/>
      <c r="BB180" s="62"/>
      <c r="BC180" s="90"/>
      <c r="BD180" s="759" t="s">
        <v>506</v>
      </c>
      <c r="BE180" s="762" t="s">
        <v>515</v>
      </c>
      <c r="BF180" s="763">
        <v>920</v>
      </c>
      <c r="BG180" s="62"/>
      <c r="BH180" s="62"/>
      <c r="BI180" s="62"/>
      <c r="BJ180" s="62"/>
      <c r="BK180" s="62"/>
      <c r="BL180" s="62"/>
      <c r="BM180" s="62"/>
      <c r="BN180" s="62"/>
      <c r="BO180" s="62"/>
      <c r="BP180" s="62"/>
      <c r="BQ180" s="62"/>
      <c r="BR180" s="62"/>
      <c r="BS180" s="62"/>
      <c r="BT180" s="62"/>
      <c r="BU180" s="62"/>
      <c r="BV180" s="62"/>
      <c r="BW180" s="62"/>
      <c r="BX180" s="62"/>
      <c r="BY180" s="62"/>
      <c r="BZ180" s="62"/>
      <c r="CA180" s="62"/>
    </row>
    <row r="181" spans="32:79" ht="13.5" customHeight="1">
      <c r="AF181" s="1388"/>
      <c r="AG181" s="1388"/>
      <c r="AH181" s="1388"/>
      <c r="AI181" s="1388"/>
      <c r="AJ181" s="1388"/>
      <c r="BA181" s="62"/>
      <c r="BB181" s="62"/>
      <c r="BC181" s="90"/>
      <c r="BD181" s="759" t="s">
        <v>507</v>
      </c>
      <c r="BE181" s="762" t="s">
        <v>516</v>
      </c>
      <c r="BF181" s="763">
        <v>630</v>
      </c>
      <c r="BG181" s="62"/>
      <c r="BH181" s="62"/>
      <c r="BI181" s="62"/>
      <c r="BJ181" s="62"/>
      <c r="BK181" s="62"/>
      <c r="BL181" s="62"/>
      <c r="BM181" s="62"/>
      <c r="BN181" s="62"/>
      <c r="BO181" s="62"/>
      <c r="BP181" s="62"/>
      <c r="BQ181" s="62"/>
      <c r="BR181" s="62"/>
      <c r="BS181" s="62"/>
      <c r="BT181" s="62"/>
      <c r="BU181" s="62"/>
      <c r="BV181" s="62"/>
      <c r="BW181" s="62"/>
      <c r="BX181" s="62"/>
      <c r="BY181" s="62"/>
      <c r="BZ181" s="62"/>
      <c r="CA181" s="62"/>
    </row>
    <row r="182" spans="32:79" ht="13.5" customHeight="1">
      <c r="AF182" s="1388"/>
      <c r="AG182" s="1388"/>
      <c r="AH182" s="1388"/>
      <c r="AI182" s="1388"/>
      <c r="AJ182" s="1388"/>
      <c r="BA182" s="62"/>
      <c r="BB182" s="62"/>
      <c r="BC182" s="90"/>
      <c r="BD182" s="759" t="s">
        <v>508</v>
      </c>
      <c r="BE182" s="762" t="s">
        <v>517</v>
      </c>
      <c r="BF182" s="763">
        <v>730</v>
      </c>
      <c r="BG182" s="62"/>
      <c r="BH182" s="62"/>
      <c r="BI182" s="62"/>
      <c r="BJ182" s="62"/>
      <c r="BK182" s="62"/>
      <c r="BL182" s="62"/>
      <c r="BM182" s="62"/>
      <c r="BN182" s="62"/>
      <c r="BO182" s="62"/>
      <c r="BP182" s="62"/>
      <c r="BQ182" s="62"/>
      <c r="BR182" s="62"/>
      <c r="BS182" s="62"/>
      <c r="BT182" s="62"/>
      <c r="BU182" s="62"/>
      <c r="BV182" s="62"/>
      <c r="BW182" s="62"/>
      <c r="BX182" s="62"/>
      <c r="BY182" s="62"/>
      <c r="BZ182" s="62"/>
      <c r="CA182" s="62"/>
    </row>
    <row r="183" spans="32:79" ht="13.5" customHeight="1">
      <c r="AF183" s="1388"/>
      <c r="AG183" s="1388"/>
      <c r="AH183" s="1388"/>
      <c r="AI183" s="1388"/>
      <c r="AJ183" s="1388"/>
      <c r="BA183" s="62"/>
      <c r="BB183" s="62"/>
      <c r="BC183" s="93"/>
      <c r="BD183" s="759" t="s">
        <v>509</v>
      </c>
      <c r="BE183" s="762" t="s">
        <v>518</v>
      </c>
      <c r="BF183" s="763">
        <v>780</v>
      </c>
      <c r="BG183" s="62"/>
      <c r="BH183" s="62"/>
      <c r="BI183" s="62"/>
      <c r="BJ183" s="62"/>
      <c r="BK183" s="62"/>
      <c r="BL183" s="62"/>
      <c r="BM183" s="62"/>
      <c r="BN183" s="62"/>
      <c r="BO183" s="62"/>
      <c r="BP183" s="62"/>
      <c r="BQ183" s="62"/>
      <c r="BR183" s="62"/>
      <c r="BS183" s="62"/>
      <c r="BT183" s="62"/>
      <c r="BU183" s="62"/>
      <c r="BV183" s="62"/>
      <c r="BW183" s="62"/>
      <c r="BX183" s="62"/>
      <c r="BY183" s="62"/>
      <c r="BZ183" s="62"/>
      <c r="CA183" s="62"/>
    </row>
    <row r="184" spans="32:79" ht="13.5" customHeight="1">
      <c r="AF184" s="1388"/>
      <c r="AG184" s="1388"/>
      <c r="AH184" s="1388"/>
      <c r="AI184" s="1388"/>
      <c r="AJ184" s="1388"/>
      <c r="BA184" s="62"/>
      <c r="BB184" s="62"/>
      <c r="BC184" s="90"/>
      <c r="BD184" s="92"/>
      <c r="BE184" s="88"/>
      <c r="BF184" s="89"/>
      <c r="BG184" s="62"/>
      <c r="BH184" s="62"/>
      <c r="BI184" s="62"/>
      <c r="BJ184" s="62"/>
      <c r="BK184" s="62"/>
      <c r="BL184" s="62"/>
      <c r="BM184" s="62"/>
      <c r="BN184" s="62"/>
      <c r="BO184" s="62"/>
      <c r="BP184" s="62"/>
      <c r="BQ184" s="62"/>
      <c r="BR184" s="62"/>
      <c r="BS184" s="62"/>
      <c r="BT184" s="62"/>
      <c r="BU184" s="62"/>
      <c r="BV184" s="62"/>
      <c r="BW184" s="62"/>
      <c r="BX184" s="62"/>
      <c r="BY184" s="62"/>
      <c r="BZ184" s="62"/>
      <c r="CA184" s="62"/>
    </row>
    <row r="185" spans="32:79" ht="13.5" customHeight="1">
      <c r="AF185" s="1388"/>
      <c r="AG185" s="1388"/>
      <c r="AH185" s="1388"/>
      <c r="AI185" s="1388"/>
      <c r="AJ185" s="1388"/>
      <c r="BA185" s="62"/>
      <c r="BB185" s="62"/>
      <c r="BC185" s="90"/>
      <c r="BD185" s="92"/>
      <c r="BE185" s="91"/>
      <c r="BF185" s="89"/>
      <c r="BG185" s="62"/>
      <c r="BH185" s="62"/>
      <c r="BI185" s="62"/>
      <c r="BJ185" s="62"/>
      <c r="BK185" s="62"/>
      <c r="BL185" s="62"/>
      <c r="BM185" s="62"/>
      <c r="BN185" s="62"/>
      <c r="BO185" s="62"/>
      <c r="BP185" s="62"/>
      <c r="BQ185" s="62"/>
      <c r="BR185" s="62"/>
      <c r="BS185" s="62"/>
      <c r="BT185" s="62"/>
      <c r="BU185" s="62"/>
      <c r="BV185" s="62"/>
      <c r="BW185" s="62"/>
      <c r="BX185" s="62"/>
      <c r="BY185" s="62"/>
      <c r="BZ185" s="62"/>
      <c r="CA185" s="62"/>
    </row>
    <row r="186" spans="32:79" ht="13.5" customHeight="1">
      <c r="AF186" s="1388"/>
      <c r="AG186" s="1388"/>
      <c r="AH186" s="1388"/>
      <c r="AI186" s="1388"/>
      <c r="AJ186" s="1388"/>
      <c r="BA186" s="62"/>
      <c r="BB186" s="62"/>
      <c r="BC186" s="90"/>
      <c r="BD186" s="92"/>
      <c r="BE186" s="91"/>
      <c r="BF186" s="89"/>
      <c r="BG186" s="62"/>
      <c r="BH186" s="62"/>
      <c r="BI186" s="62"/>
      <c r="BJ186" s="62"/>
      <c r="BK186" s="62"/>
      <c r="BL186" s="62"/>
      <c r="BM186" s="62"/>
      <c r="BN186" s="62"/>
      <c r="BO186" s="62"/>
      <c r="BP186" s="62"/>
      <c r="BQ186" s="62"/>
      <c r="BR186" s="62"/>
      <c r="BS186" s="62"/>
      <c r="BT186" s="62"/>
      <c r="BU186" s="62"/>
      <c r="BV186" s="62"/>
      <c r="BW186" s="62"/>
      <c r="BX186" s="62"/>
      <c r="BY186" s="62"/>
      <c r="BZ186" s="62"/>
      <c r="CA186" s="62"/>
    </row>
    <row r="187" spans="32:79" ht="13.5" customHeight="1">
      <c r="AF187" s="1388"/>
      <c r="AG187" s="1388"/>
      <c r="AH187" s="1388"/>
      <c r="AI187" s="1388"/>
      <c r="AJ187" s="1388"/>
      <c r="BA187" s="62"/>
      <c r="BB187" s="62"/>
      <c r="BC187" s="90"/>
      <c r="BD187" s="92"/>
      <c r="BE187" s="91"/>
      <c r="BF187" s="89"/>
      <c r="BG187" s="62"/>
      <c r="BH187" s="62"/>
      <c r="BI187" s="62"/>
      <c r="BJ187" s="62"/>
      <c r="BK187" s="62"/>
      <c r="BL187" s="62"/>
      <c r="BM187" s="62"/>
      <c r="BN187" s="62"/>
      <c r="BO187" s="62"/>
      <c r="BP187" s="62"/>
      <c r="BQ187" s="62"/>
      <c r="BR187" s="62"/>
      <c r="BS187" s="62"/>
      <c r="BT187" s="62"/>
      <c r="BU187" s="62"/>
      <c r="BV187" s="62"/>
      <c r="BW187" s="62"/>
      <c r="BX187" s="62"/>
      <c r="BY187" s="62"/>
      <c r="BZ187" s="62"/>
      <c r="CA187" s="62"/>
    </row>
    <row r="188" spans="32:79" ht="13.5" customHeight="1">
      <c r="AF188" s="1388"/>
      <c r="AG188" s="1388"/>
      <c r="AH188" s="1388"/>
      <c r="AI188" s="1388"/>
      <c r="AJ188" s="1388"/>
      <c r="BA188" s="62"/>
      <c r="BB188" s="62"/>
      <c r="BC188" s="90"/>
      <c r="BD188" s="92"/>
      <c r="BE188" s="91"/>
      <c r="BF188" s="89"/>
      <c r="BG188" s="62"/>
      <c r="BH188" s="62"/>
      <c r="BI188" s="62"/>
      <c r="BJ188" s="62"/>
      <c r="BK188" s="62"/>
      <c r="BL188" s="62"/>
      <c r="BM188" s="62"/>
      <c r="BN188" s="62"/>
      <c r="BO188" s="62"/>
      <c r="BP188" s="62"/>
      <c r="BQ188" s="62"/>
      <c r="BR188" s="62"/>
      <c r="BS188" s="62"/>
      <c r="BT188" s="62"/>
      <c r="BU188" s="62"/>
      <c r="BV188" s="62"/>
      <c r="BW188" s="62"/>
      <c r="BX188" s="62"/>
      <c r="BY188" s="62"/>
      <c r="BZ188" s="62"/>
      <c r="CA188" s="62"/>
    </row>
    <row r="189" spans="32:79" ht="13.5" customHeight="1">
      <c r="AF189" s="1388"/>
      <c r="AG189" s="1388"/>
      <c r="AH189" s="1388"/>
      <c r="AI189" s="1388"/>
      <c r="AJ189" s="1388"/>
      <c r="BA189" s="62"/>
      <c r="BB189" s="62"/>
      <c r="BC189" s="90"/>
      <c r="BD189" s="92"/>
      <c r="BE189" s="91"/>
      <c r="BF189" s="89"/>
      <c r="BG189" s="62"/>
      <c r="BH189" s="62"/>
      <c r="BI189" s="62"/>
      <c r="BJ189" s="62"/>
      <c r="BK189" s="62"/>
      <c r="BL189" s="62"/>
      <c r="BM189" s="62"/>
      <c r="BN189" s="62"/>
      <c r="BO189" s="62"/>
      <c r="BP189" s="62"/>
      <c r="BQ189" s="62"/>
      <c r="BR189" s="62"/>
      <c r="BS189" s="62"/>
      <c r="BT189" s="62"/>
      <c r="BU189" s="62"/>
      <c r="BV189" s="62"/>
      <c r="BW189" s="62"/>
      <c r="BX189" s="62"/>
      <c r="BY189" s="62"/>
      <c r="BZ189" s="62"/>
      <c r="CA189" s="62"/>
    </row>
    <row r="190" spans="32:79" ht="13.5" customHeight="1">
      <c r="AF190" s="1388"/>
      <c r="AG190" s="1388"/>
      <c r="AH190" s="1388"/>
      <c r="AI190" s="1388"/>
      <c r="AJ190" s="1388"/>
      <c r="BA190" s="62"/>
      <c r="BB190" s="62"/>
      <c r="BC190" s="90"/>
      <c r="BD190" s="92"/>
      <c r="BE190" s="91"/>
      <c r="BF190" s="89"/>
      <c r="BG190" s="62"/>
      <c r="BH190" s="62"/>
      <c r="BI190" s="62"/>
      <c r="BJ190" s="62"/>
      <c r="BK190" s="62"/>
      <c r="BL190" s="62"/>
      <c r="BM190" s="62"/>
      <c r="BN190" s="62"/>
      <c r="BO190" s="62"/>
      <c r="BP190" s="62"/>
      <c r="BQ190" s="62"/>
      <c r="BR190" s="62"/>
      <c r="BS190" s="62"/>
      <c r="BT190" s="62"/>
      <c r="BU190" s="62"/>
      <c r="BV190" s="62"/>
      <c r="BW190" s="62"/>
      <c r="BX190" s="62"/>
      <c r="BY190" s="62"/>
      <c r="BZ190" s="62"/>
      <c r="CA190" s="62"/>
    </row>
    <row r="191" spans="32:79" ht="13.5" customHeight="1">
      <c r="AF191" s="1388"/>
      <c r="AG191" s="1388"/>
      <c r="AH191" s="1388"/>
      <c r="AI191" s="1388"/>
      <c r="AJ191" s="1388"/>
      <c r="BA191" s="62"/>
      <c r="BB191" s="62"/>
      <c r="BC191" s="90"/>
      <c r="BD191" s="92"/>
      <c r="BE191" s="91"/>
      <c r="BF191" s="89"/>
      <c r="BG191" s="62"/>
      <c r="BH191" s="62"/>
      <c r="BI191" s="62"/>
      <c r="BJ191" s="62"/>
      <c r="BK191" s="62"/>
      <c r="BL191" s="62"/>
      <c r="BM191" s="62"/>
      <c r="BN191" s="62"/>
      <c r="BO191" s="62"/>
      <c r="BP191" s="62"/>
      <c r="BQ191" s="62"/>
      <c r="BR191" s="62"/>
      <c r="BS191" s="62"/>
      <c r="BT191" s="62"/>
      <c r="BU191" s="62"/>
      <c r="BV191" s="62"/>
      <c r="BW191" s="62"/>
      <c r="BX191" s="62"/>
      <c r="BY191" s="62"/>
      <c r="BZ191" s="62"/>
      <c r="CA191" s="62"/>
    </row>
    <row r="192" spans="32:79" ht="13.5" customHeight="1">
      <c r="AF192" s="1388"/>
      <c r="AG192" s="1388"/>
      <c r="AH192" s="1388"/>
      <c r="AI192" s="1388"/>
      <c r="AJ192" s="1388"/>
      <c r="BA192" s="62"/>
      <c r="BB192" s="62"/>
      <c r="BC192" s="90"/>
      <c r="BD192" s="88" t="s">
        <v>79</v>
      </c>
      <c r="BE192" s="88" t="s">
        <v>79</v>
      </c>
      <c r="BF192" s="89"/>
      <c r="BG192" s="62"/>
      <c r="BH192" s="62"/>
      <c r="BI192" s="62"/>
      <c r="BJ192" s="62"/>
      <c r="BK192" s="62"/>
      <c r="BL192" s="62"/>
      <c r="BM192" s="62"/>
      <c r="BN192" s="62"/>
      <c r="BO192" s="62"/>
      <c r="BP192" s="62"/>
      <c r="BQ192" s="62"/>
      <c r="BR192" s="62"/>
      <c r="BS192" s="62"/>
      <c r="BT192" s="62"/>
      <c r="BU192" s="62"/>
      <c r="BV192" s="62"/>
      <c r="BW192" s="62"/>
      <c r="BX192" s="62"/>
      <c r="BY192" s="62"/>
      <c r="BZ192" s="62"/>
      <c r="CA192" s="62"/>
    </row>
    <row r="193" spans="32:79" ht="13.5" customHeight="1">
      <c r="AF193" s="1388"/>
      <c r="AG193" s="1388"/>
      <c r="AH193" s="1388"/>
      <c r="AI193" s="1388"/>
      <c r="AJ193" s="1388"/>
      <c r="BA193" s="62"/>
      <c r="BB193" s="62"/>
      <c r="BC193" s="93"/>
      <c r="BD193" s="764" t="s">
        <v>642</v>
      </c>
      <c r="BE193" s="762" t="s">
        <v>643</v>
      </c>
      <c r="BF193" s="763">
        <v>300</v>
      </c>
      <c r="BG193" s="62"/>
      <c r="BH193" s="62"/>
      <c r="BI193" s="62"/>
      <c r="BJ193" s="62"/>
      <c r="BK193" s="62"/>
      <c r="BL193" s="62"/>
      <c r="BM193" s="62"/>
      <c r="BN193" s="62"/>
      <c r="BO193" s="62"/>
      <c r="BP193" s="62"/>
      <c r="BQ193" s="62"/>
      <c r="BR193" s="62"/>
      <c r="BS193" s="62"/>
      <c r="BT193" s="62"/>
      <c r="BU193" s="62"/>
      <c r="BV193" s="62"/>
      <c r="BW193" s="62"/>
      <c r="BX193" s="62"/>
      <c r="BY193" s="62"/>
      <c r="BZ193" s="62"/>
      <c r="CA193" s="62"/>
    </row>
    <row r="194" spans="32:79" ht="13.5" customHeight="1">
      <c r="AF194" s="1388"/>
      <c r="AG194" s="1388"/>
      <c r="AH194" s="1388"/>
      <c r="AI194" s="1388"/>
      <c r="AJ194" s="1388"/>
      <c r="BA194" s="62"/>
      <c r="BB194" s="62"/>
      <c r="BC194" s="93"/>
      <c r="BD194" s="765" t="s">
        <v>537</v>
      </c>
      <c r="BE194" s="766" t="s">
        <v>536</v>
      </c>
      <c r="BF194" s="763">
        <v>300</v>
      </c>
      <c r="BG194" s="62"/>
      <c r="BH194" s="62"/>
      <c r="BI194" s="62"/>
      <c r="BJ194" s="62"/>
      <c r="BK194" s="62"/>
      <c r="BL194" s="62"/>
      <c r="BM194" s="62"/>
      <c r="BN194" s="62"/>
      <c r="BO194" s="62"/>
      <c r="BP194" s="62"/>
      <c r="BQ194" s="62"/>
      <c r="BR194" s="62"/>
      <c r="BS194" s="62"/>
      <c r="BT194" s="62"/>
      <c r="BU194" s="62"/>
      <c r="BV194" s="62"/>
      <c r="BW194" s="62"/>
      <c r="BX194" s="62"/>
      <c r="BY194" s="62"/>
      <c r="BZ194" s="62"/>
      <c r="CA194" s="62"/>
    </row>
    <row r="195" spans="32:79" ht="13.5" customHeight="1">
      <c r="AF195" s="1388"/>
      <c r="AG195" s="1388"/>
      <c r="AH195" s="1388"/>
      <c r="AI195" s="1388"/>
      <c r="AJ195" s="1388"/>
      <c r="BA195" s="62"/>
      <c r="BB195" s="62"/>
      <c r="BC195" s="93"/>
      <c r="BD195" s="722" t="s">
        <v>816</v>
      </c>
      <c r="BE195" s="91" t="s">
        <v>816</v>
      </c>
      <c r="BF195" s="89">
        <v>370</v>
      </c>
      <c r="BG195" s="62"/>
      <c r="BH195" s="62"/>
      <c r="BI195" s="62"/>
      <c r="BJ195" s="62"/>
      <c r="BK195" s="62"/>
      <c r="BL195" s="62"/>
      <c r="BM195" s="62"/>
      <c r="BN195" s="62"/>
      <c r="BO195" s="62"/>
      <c r="BP195" s="62"/>
      <c r="BQ195" s="62"/>
      <c r="BR195" s="62"/>
      <c r="BS195" s="62"/>
      <c r="BT195" s="62"/>
      <c r="BU195" s="62"/>
      <c r="BV195" s="62"/>
      <c r="BW195" s="62"/>
      <c r="BX195" s="62"/>
      <c r="BY195" s="62"/>
      <c r="BZ195" s="62"/>
      <c r="CA195" s="62"/>
    </row>
    <row r="196" spans="32:79" ht="13.5" customHeight="1">
      <c r="AF196" s="1388"/>
      <c r="AG196" s="1388"/>
      <c r="AH196" s="1388"/>
      <c r="AI196" s="1388"/>
      <c r="AJ196" s="1388"/>
      <c r="BA196" s="62"/>
      <c r="BB196" s="62"/>
      <c r="BC196" s="93"/>
      <c r="BD196" s="768" t="s">
        <v>645</v>
      </c>
      <c r="BE196" s="769" t="s">
        <v>644</v>
      </c>
      <c r="BF196" s="763">
        <v>500</v>
      </c>
      <c r="BG196" s="62"/>
      <c r="BH196" s="62"/>
      <c r="BI196" s="62"/>
      <c r="BJ196" s="62"/>
      <c r="BK196" s="62"/>
      <c r="BL196" s="62"/>
      <c r="BM196" s="62"/>
      <c r="BN196" s="62"/>
      <c r="BO196" s="62"/>
      <c r="BP196" s="62"/>
      <c r="BQ196" s="62"/>
      <c r="BR196" s="62"/>
      <c r="BS196" s="62"/>
      <c r="BT196" s="62"/>
      <c r="BU196" s="62"/>
      <c r="BV196" s="62"/>
      <c r="BW196" s="62"/>
      <c r="BX196" s="62"/>
      <c r="BY196" s="62"/>
      <c r="BZ196" s="62"/>
      <c r="CA196" s="62"/>
    </row>
    <row r="197" spans="32:79" ht="13.5" customHeight="1">
      <c r="AF197" s="1388"/>
      <c r="AG197" s="1388"/>
      <c r="AH197" s="1388"/>
      <c r="AI197" s="1388"/>
      <c r="AJ197" s="1388"/>
      <c r="BA197" s="62"/>
      <c r="BB197" s="62"/>
      <c r="BC197" s="767"/>
      <c r="BD197" s="722" t="s">
        <v>821</v>
      </c>
      <c r="BE197" s="91" t="s">
        <v>821</v>
      </c>
      <c r="BF197" s="89">
        <v>610</v>
      </c>
      <c r="BG197" s="62"/>
      <c r="BH197" s="62"/>
      <c r="BI197" s="62"/>
      <c r="BJ197" s="62"/>
      <c r="BK197" s="62"/>
      <c r="BL197" s="62"/>
      <c r="BM197" s="62"/>
      <c r="BN197" s="62"/>
      <c r="BO197" s="62"/>
      <c r="BP197" s="62"/>
      <c r="BQ197" s="62"/>
      <c r="BR197" s="62"/>
      <c r="BS197" s="62"/>
      <c r="BT197" s="62"/>
      <c r="BU197" s="62"/>
      <c r="BV197" s="62"/>
      <c r="BW197" s="62"/>
      <c r="BX197" s="62"/>
      <c r="BY197" s="62"/>
      <c r="BZ197" s="62"/>
      <c r="CA197" s="62"/>
    </row>
    <row r="198" spans="32:79" ht="13.5" customHeight="1">
      <c r="AF198" s="1388"/>
      <c r="AG198" s="1388"/>
      <c r="AH198" s="1388"/>
      <c r="AI198" s="1388"/>
      <c r="AJ198" s="1388"/>
      <c r="BA198" s="62"/>
      <c r="BB198" s="62"/>
      <c r="BC198" s="767"/>
      <c r="BD198" s="722" t="s">
        <v>817</v>
      </c>
      <c r="BE198" s="91" t="s">
        <v>817</v>
      </c>
      <c r="BF198" s="89">
        <v>610</v>
      </c>
      <c r="BG198" s="62"/>
      <c r="BH198" s="62"/>
      <c r="BI198" s="62"/>
      <c r="BJ198" s="62"/>
      <c r="BK198" s="62"/>
      <c r="BL198" s="62"/>
      <c r="BM198" s="62"/>
      <c r="BN198" s="62"/>
      <c r="BO198" s="62"/>
      <c r="BP198" s="62"/>
      <c r="BQ198" s="62"/>
      <c r="BR198" s="62"/>
      <c r="BS198" s="62"/>
      <c r="BT198" s="62"/>
      <c r="BU198" s="62"/>
      <c r="BV198" s="62"/>
      <c r="BW198" s="62"/>
      <c r="BX198" s="62"/>
      <c r="BY198" s="62"/>
      <c r="BZ198" s="62"/>
      <c r="CA198" s="62"/>
    </row>
    <row r="199" spans="32:79" ht="13.5" customHeight="1">
      <c r="AF199" s="1388"/>
      <c r="AG199" s="1388"/>
      <c r="AH199" s="1388"/>
      <c r="AI199" s="1388"/>
      <c r="AJ199" s="1388"/>
      <c r="BA199" s="62"/>
      <c r="BB199" s="62"/>
      <c r="BC199" s="94"/>
      <c r="BD199" s="88" t="s">
        <v>98</v>
      </c>
      <c r="BE199" s="88" t="s">
        <v>98</v>
      </c>
      <c r="BF199" s="89"/>
      <c r="BG199" s="62"/>
      <c r="BH199" s="62"/>
      <c r="BI199" s="62"/>
      <c r="BJ199" s="62"/>
      <c r="BK199" s="62"/>
      <c r="BL199" s="62"/>
      <c r="BM199" s="62"/>
      <c r="BN199" s="62"/>
      <c r="BO199" s="62"/>
      <c r="BP199" s="62"/>
      <c r="BQ199" s="62"/>
      <c r="BR199" s="62"/>
      <c r="BS199" s="62"/>
      <c r="BT199" s="62"/>
      <c r="BU199" s="62"/>
      <c r="BV199" s="62"/>
      <c r="BW199" s="62"/>
      <c r="BX199" s="62"/>
      <c r="BY199" s="62"/>
      <c r="BZ199" s="62"/>
      <c r="CA199" s="62"/>
    </row>
    <row r="200" spans="32:79" ht="13.5" customHeight="1">
      <c r="AF200" s="1388"/>
      <c r="AG200" s="1388"/>
      <c r="AH200" s="1388"/>
      <c r="AI200" s="1388"/>
      <c r="AJ200" s="1388"/>
      <c r="BA200" s="62"/>
      <c r="BB200" s="62"/>
      <c r="BC200" s="93"/>
      <c r="BD200" s="770" t="s">
        <v>772</v>
      </c>
      <c r="BE200" s="770" t="s">
        <v>772</v>
      </c>
      <c r="BF200" s="89">
        <v>120</v>
      </c>
      <c r="BG200" s="62"/>
      <c r="BH200" s="62"/>
      <c r="BI200" s="62"/>
      <c r="BJ200" s="62"/>
      <c r="BK200" s="62"/>
      <c r="BL200" s="62"/>
      <c r="BM200" s="62"/>
      <c r="BN200" s="62"/>
      <c r="BO200" s="62"/>
      <c r="BP200" s="62"/>
      <c r="BQ200" s="62"/>
      <c r="BR200" s="62"/>
      <c r="BS200" s="62"/>
      <c r="BT200" s="62"/>
      <c r="BU200" s="62"/>
      <c r="BV200" s="62"/>
      <c r="BW200" s="62"/>
      <c r="BX200" s="62"/>
      <c r="BY200" s="62"/>
      <c r="BZ200" s="62"/>
      <c r="CA200" s="62"/>
    </row>
    <row r="201" spans="32:79" ht="13.5" customHeight="1">
      <c r="AF201" s="1388"/>
      <c r="AG201" s="1388"/>
      <c r="AH201" s="1388"/>
      <c r="AI201" s="1388"/>
      <c r="AJ201" s="1388"/>
      <c r="BA201" s="62"/>
      <c r="BB201" s="62"/>
      <c r="BC201" s="93"/>
      <c r="BD201" s="770" t="s">
        <v>773</v>
      </c>
      <c r="BE201" s="770" t="s">
        <v>773</v>
      </c>
      <c r="BF201" s="89">
        <v>120</v>
      </c>
      <c r="BG201" s="62"/>
      <c r="BH201" s="62"/>
      <c r="BI201" s="62"/>
      <c r="BJ201" s="62"/>
      <c r="BK201" s="62"/>
      <c r="BL201" s="62"/>
      <c r="BM201" s="62"/>
      <c r="BN201" s="62"/>
      <c r="BO201" s="62"/>
      <c r="BP201" s="62"/>
      <c r="BQ201" s="62"/>
      <c r="BR201" s="62"/>
      <c r="BS201" s="62"/>
      <c r="BT201" s="62"/>
      <c r="BU201" s="62"/>
      <c r="BV201" s="62"/>
      <c r="BW201" s="62"/>
      <c r="BX201" s="62"/>
      <c r="BY201" s="62"/>
      <c r="BZ201" s="62"/>
      <c r="CA201" s="62"/>
    </row>
    <row r="202" spans="32:79" ht="13.5" customHeight="1">
      <c r="AF202" s="1388"/>
      <c r="AG202" s="1388"/>
      <c r="AH202" s="1388"/>
      <c r="AI202" s="1388"/>
      <c r="AJ202" s="1388"/>
      <c r="BA202" s="62"/>
      <c r="BB202" s="62"/>
      <c r="BC202" s="93"/>
      <c r="BD202" s="770" t="s">
        <v>774</v>
      </c>
      <c r="BE202" s="770" t="s">
        <v>774</v>
      </c>
      <c r="BF202" s="89">
        <v>120</v>
      </c>
      <c r="BG202" s="62"/>
      <c r="BH202" s="62"/>
      <c r="BI202" s="62"/>
      <c r="BJ202" s="62"/>
      <c r="BK202" s="62"/>
      <c r="BL202" s="62"/>
      <c r="BM202" s="62"/>
      <c r="BN202" s="62"/>
      <c r="BO202" s="62"/>
      <c r="BP202" s="62"/>
      <c r="BQ202" s="62"/>
      <c r="BR202" s="62"/>
      <c r="BS202" s="62"/>
      <c r="BT202" s="62"/>
      <c r="BU202" s="62"/>
      <c r="BV202" s="62"/>
      <c r="BW202" s="62"/>
      <c r="BX202" s="62"/>
      <c r="BY202" s="62"/>
      <c r="BZ202" s="62"/>
      <c r="CA202" s="62"/>
    </row>
    <row r="203" spans="32:79" ht="14.25">
      <c r="AF203" s="1388"/>
      <c r="AG203" s="1388"/>
      <c r="AH203" s="1388"/>
      <c r="AI203" s="1388"/>
      <c r="AJ203" s="1388"/>
      <c r="BA203" s="62"/>
      <c r="BB203" s="62"/>
      <c r="BC203" s="93"/>
      <c r="BD203" s="770" t="s">
        <v>775</v>
      </c>
      <c r="BE203" s="770" t="s">
        <v>775</v>
      </c>
      <c r="BF203" s="89">
        <v>180</v>
      </c>
      <c r="BG203" s="62"/>
      <c r="BH203" s="62"/>
      <c r="BI203" s="62"/>
      <c r="BJ203" s="62"/>
      <c r="BK203" s="62"/>
      <c r="BL203" s="62"/>
      <c r="BM203" s="62"/>
      <c r="BN203" s="62"/>
      <c r="BO203" s="62"/>
      <c r="BP203" s="62"/>
      <c r="BQ203" s="62"/>
      <c r="BR203" s="62"/>
      <c r="BS203" s="62"/>
      <c r="BT203" s="62"/>
      <c r="BU203" s="62"/>
      <c r="BV203" s="62"/>
      <c r="BW203" s="62"/>
      <c r="BX203" s="62"/>
      <c r="BY203" s="62"/>
      <c r="BZ203" s="62"/>
      <c r="CA203" s="62"/>
    </row>
    <row r="204" spans="32:79" ht="14.25">
      <c r="AF204" s="1388"/>
      <c r="AG204" s="1388"/>
      <c r="AH204" s="1388"/>
      <c r="AI204" s="1388"/>
      <c r="AJ204" s="1388"/>
      <c r="BA204" s="62"/>
      <c r="BB204" s="62"/>
      <c r="BC204" s="94"/>
      <c r="BD204" s="770" t="s">
        <v>795</v>
      </c>
      <c r="BE204" s="770" t="s">
        <v>795</v>
      </c>
      <c r="BF204" s="89">
        <v>180</v>
      </c>
      <c r="BG204" s="62"/>
      <c r="BH204" s="62"/>
      <c r="BI204" s="62"/>
      <c r="BJ204" s="62"/>
      <c r="BK204" s="62"/>
      <c r="BL204" s="62"/>
      <c r="BM204" s="62"/>
      <c r="BN204" s="62"/>
      <c r="BO204" s="62"/>
      <c r="BP204" s="62"/>
      <c r="BQ204" s="62"/>
      <c r="BR204" s="62"/>
      <c r="BS204" s="62"/>
      <c r="BT204" s="62"/>
      <c r="BU204" s="62"/>
      <c r="BV204" s="62"/>
      <c r="BW204" s="62"/>
      <c r="BX204" s="62"/>
      <c r="BY204" s="62"/>
      <c r="BZ204" s="62"/>
      <c r="CA204" s="62"/>
    </row>
    <row r="205" spans="32:79" ht="14.25">
      <c r="AF205" s="1388"/>
      <c r="AG205" s="1388"/>
      <c r="AH205" s="1388"/>
      <c r="AI205" s="1388"/>
      <c r="AJ205" s="1388"/>
      <c r="BA205" s="62"/>
      <c r="BB205" s="62"/>
      <c r="BC205" s="93"/>
      <c r="BD205" s="770" t="s">
        <v>776</v>
      </c>
      <c r="BE205" s="770" t="s">
        <v>776</v>
      </c>
      <c r="BF205" s="89">
        <v>180</v>
      </c>
      <c r="BG205" s="62"/>
      <c r="BH205" s="62"/>
      <c r="BI205" s="62"/>
      <c r="BJ205" s="62"/>
      <c r="BK205" s="62"/>
      <c r="BL205" s="62"/>
      <c r="BM205" s="62"/>
      <c r="BN205" s="62"/>
      <c r="BO205" s="62"/>
      <c r="BP205" s="62"/>
      <c r="BQ205" s="62"/>
      <c r="BR205" s="62"/>
      <c r="BS205" s="62"/>
      <c r="BT205" s="62"/>
      <c r="BU205" s="62"/>
      <c r="BV205" s="62"/>
      <c r="BW205" s="62"/>
      <c r="BX205" s="62"/>
      <c r="BY205" s="62"/>
      <c r="BZ205" s="62"/>
      <c r="CA205" s="62"/>
    </row>
    <row r="206" spans="32:79" ht="14.25">
      <c r="AF206" s="1388"/>
      <c r="AG206" s="1388"/>
      <c r="AH206" s="1388"/>
      <c r="AI206" s="1388"/>
      <c r="AJ206" s="1388"/>
      <c r="BA206" s="62"/>
      <c r="BB206" s="62"/>
      <c r="BC206" s="93"/>
      <c r="BD206" s="89"/>
      <c r="BE206" s="91"/>
      <c r="BF206" s="89"/>
      <c r="BG206" s="62"/>
      <c r="BH206" s="62"/>
      <c r="BI206" s="62"/>
      <c r="BJ206" s="62"/>
      <c r="BK206" s="62"/>
      <c r="BL206" s="62"/>
      <c r="BM206" s="62"/>
      <c r="BN206" s="62"/>
      <c r="BO206" s="62"/>
      <c r="BP206" s="62"/>
      <c r="BQ206" s="62"/>
      <c r="BR206" s="62"/>
      <c r="BS206" s="62"/>
      <c r="BT206" s="62"/>
      <c r="BU206" s="62"/>
      <c r="BV206" s="62"/>
      <c r="BW206" s="62"/>
      <c r="BX206" s="62"/>
      <c r="BY206" s="62"/>
      <c r="BZ206" s="62"/>
      <c r="CA206" s="62"/>
    </row>
    <row r="207" spans="32:79" ht="14.25">
      <c r="BA207" s="62"/>
      <c r="BB207" s="62"/>
      <c r="BC207" s="93"/>
      <c r="BD207" s="89"/>
      <c r="BE207" s="91"/>
      <c r="BF207" s="89"/>
      <c r="BG207" s="62"/>
      <c r="BH207" s="62"/>
      <c r="BI207" s="62"/>
      <c r="BJ207" s="62"/>
      <c r="BK207" s="62"/>
      <c r="BL207" s="62"/>
      <c r="BM207" s="62"/>
      <c r="BN207" s="62"/>
      <c r="BO207" s="62"/>
      <c r="BP207" s="62"/>
      <c r="BQ207" s="62"/>
      <c r="BR207" s="62"/>
      <c r="BS207" s="62"/>
      <c r="BT207" s="62"/>
      <c r="BU207" s="62"/>
      <c r="BV207" s="62"/>
      <c r="BW207" s="62"/>
      <c r="BX207" s="62"/>
      <c r="BY207" s="62"/>
      <c r="BZ207" s="62"/>
      <c r="CA207" s="62"/>
    </row>
    <row r="208" spans="32:79" ht="14.25">
      <c r="BA208" s="62"/>
      <c r="BB208" s="62"/>
      <c r="BC208" s="93"/>
      <c r="BD208" s="88" t="s">
        <v>80</v>
      </c>
      <c r="BE208" s="88" t="s">
        <v>80</v>
      </c>
      <c r="BF208" s="89"/>
      <c r="BG208" s="62"/>
      <c r="BH208" s="62"/>
      <c r="BI208" s="62"/>
      <c r="BJ208" s="62"/>
      <c r="BK208" s="62"/>
      <c r="BL208" s="62"/>
      <c r="BM208" s="62"/>
      <c r="BN208" s="62"/>
      <c r="BO208" s="62"/>
      <c r="BP208" s="62"/>
      <c r="BQ208" s="62"/>
      <c r="BR208" s="62"/>
      <c r="BS208" s="62"/>
      <c r="BT208" s="62"/>
      <c r="BU208" s="62"/>
      <c r="BV208" s="62"/>
      <c r="BW208" s="62"/>
      <c r="BX208" s="62"/>
      <c r="BY208" s="62"/>
      <c r="BZ208" s="62"/>
      <c r="CA208" s="62"/>
    </row>
    <row r="209" spans="53:79" ht="14.25">
      <c r="BA209" s="62"/>
      <c r="BB209" s="62"/>
      <c r="BC209" s="93"/>
      <c r="BD209" s="764"/>
      <c r="BE209" s="762"/>
      <c r="BF209" s="761"/>
      <c r="BG209" s="62"/>
      <c r="BH209" s="62"/>
      <c r="BI209" s="62"/>
      <c r="BJ209" s="62"/>
      <c r="BK209" s="62"/>
      <c r="BL209" s="62"/>
      <c r="BM209" s="62"/>
      <c r="BN209" s="62"/>
      <c r="BO209" s="62"/>
      <c r="BP209" s="62"/>
      <c r="BQ209" s="62"/>
      <c r="BR209" s="62"/>
      <c r="BS209" s="62"/>
      <c r="BT209" s="62"/>
      <c r="BU209" s="62"/>
      <c r="BV209" s="62"/>
      <c r="BW209" s="62"/>
      <c r="BX209" s="62"/>
      <c r="BY209" s="62"/>
      <c r="BZ209" s="62"/>
      <c r="CA209" s="62"/>
    </row>
    <row r="210" spans="53:79" ht="28.5">
      <c r="BA210" s="62"/>
      <c r="BB210" s="62"/>
      <c r="BC210" s="93"/>
      <c r="BD210" s="722" t="s">
        <v>781</v>
      </c>
      <c r="BE210" s="91" t="s">
        <v>782</v>
      </c>
      <c r="BF210" s="89">
        <v>780</v>
      </c>
      <c r="BG210" s="62"/>
      <c r="BH210" s="62"/>
      <c r="BI210" s="62"/>
      <c r="BJ210" s="62"/>
      <c r="BK210" s="62"/>
      <c r="BL210" s="62"/>
      <c r="BM210" s="62"/>
      <c r="BN210" s="62"/>
      <c r="BO210" s="62"/>
      <c r="BP210" s="62"/>
      <c r="BQ210" s="62"/>
      <c r="BR210" s="62"/>
      <c r="BS210" s="62"/>
      <c r="BT210" s="62"/>
      <c r="BU210" s="62"/>
      <c r="BV210" s="62"/>
      <c r="BW210" s="62"/>
      <c r="BX210" s="62"/>
      <c r="BY210" s="62"/>
      <c r="BZ210" s="62"/>
      <c r="CA210" s="62"/>
    </row>
    <row r="211" spans="53:79" ht="14.25">
      <c r="BA211" s="62"/>
      <c r="BB211" s="62"/>
      <c r="BC211" s="93"/>
      <c r="BD211" s="764"/>
      <c r="BE211" s="762"/>
      <c r="BF211" s="761"/>
      <c r="BG211" s="62"/>
      <c r="BH211" s="62"/>
      <c r="BI211" s="62"/>
      <c r="BJ211" s="62"/>
      <c r="BK211" s="62"/>
      <c r="BL211" s="62"/>
      <c r="BM211" s="62"/>
      <c r="BN211" s="62"/>
      <c r="BO211" s="62"/>
      <c r="BP211" s="62"/>
      <c r="BQ211" s="62"/>
      <c r="BR211" s="62"/>
      <c r="BS211" s="62"/>
      <c r="BT211" s="62"/>
      <c r="BU211" s="62"/>
      <c r="BV211" s="62"/>
      <c r="BW211" s="62"/>
      <c r="BX211" s="62"/>
      <c r="BY211" s="62"/>
      <c r="BZ211" s="62"/>
      <c r="CA211" s="62"/>
    </row>
    <row r="212" spans="53:79" ht="14.25">
      <c r="BA212" s="62"/>
      <c r="BB212" s="62"/>
      <c r="BC212" s="93"/>
      <c r="BD212" s="109" t="s">
        <v>780</v>
      </c>
      <c r="BE212" s="109" t="s">
        <v>787</v>
      </c>
      <c r="BF212" s="89">
        <v>560</v>
      </c>
      <c r="BG212" s="62"/>
      <c r="BH212" s="62"/>
      <c r="BI212" s="62"/>
      <c r="BJ212" s="62"/>
      <c r="BK212" s="62"/>
      <c r="BL212" s="62"/>
      <c r="BM212" s="62"/>
      <c r="BN212" s="62"/>
      <c r="BO212" s="62"/>
      <c r="BP212" s="62"/>
      <c r="BQ212" s="62"/>
      <c r="BR212" s="62"/>
      <c r="BS212" s="62"/>
      <c r="BT212" s="62"/>
      <c r="BU212" s="62"/>
      <c r="BV212" s="62"/>
      <c r="BW212" s="62"/>
      <c r="BX212" s="62"/>
      <c r="BY212" s="62"/>
      <c r="BZ212" s="62"/>
      <c r="CA212" s="62"/>
    </row>
    <row r="213" spans="53:79" ht="14.25">
      <c r="BA213" s="62"/>
      <c r="BB213" s="62"/>
      <c r="BC213" s="93"/>
      <c r="BD213" s="109" t="s">
        <v>931</v>
      </c>
      <c r="BE213" s="109" t="s">
        <v>931</v>
      </c>
      <c r="BF213" s="89">
        <v>670</v>
      </c>
      <c r="BG213" s="62"/>
      <c r="BH213" s="62"/>
      <c r="BI213" s="62"/>
      <c r="BJ213" s="62"/>
      <c r="BK213" s="62"/>
      <c r="BL213" s="62"/>
      <c r="BM213" s="62"/>
      <c r="BN213" s="62"/>
      <c r="BO213" s="62"/>
      <c r="BP213" s="62"/>
      <c r="BQ213" s="62"/>
      <c r="BR213" s="62"/>
      <c r="BS213" s="62"/>
      <c r="BT213" s="62"/>
      <c r="BU213" s="62"/>
      <c r="BV213" s="62"/>
      <c r="BW213" s="62"/>
      <c r="BX213" s="62"/>
      <c r="BY213" s="62"/>
      <c r="BZ213" s="62"/>
      <c r="CA213" s="62"/>
    </row>
    <row r="214" spans="53:79" ht="14.25">
      <c r="BA214" s="62"/>
      <c r="BB214" s="62"/>
      <c r="BC214" s="94"/>
      <c r="BD214" s="764"/>
      <c r="BE214" s="762"/>
      <c r="BF214" s="761"/>
      <c r="BG214" s="62"/>
      <c r="BH214" s="62"/>
      <c r="BI214" s="62"/>
      <c r="BJ214" s="62"/>
      <c r="BK214" s="62"/>
      <c r="BL214" s="62"/>
      <c r="BM214" s="62"/>
      <c r="BN214" s="62"/>
      <c r="BO214" s="62"/>
      <c r="BP214" s="62"/>
      <c r="BQ214" s="62"/>
      <c r="BR214" s="62"/>
      <c r="BS214" s="62"/>
      <c r="BT214" s="62"/>
      <c r="BU214" s="62"/>
      <c r="BV214" s="62"/>
      <c r="BW214" s="62"/>
      <c r="BX214" s="62"/>
      <c r="BY214" s="62"/>
      <c r="BZ214" s="62"/>
      <c r="CA214" s="62"/>
    </row>
    <row r="215" spans="53:79" ht="42.75">
      <c r="BA215" s="62"/>
      <c r="BB215" s="62"/>
      <c r="BC215" s="93"/>
      <c r="BD215" s="724" t="s">
        <v>887</v>
      </c>
      <c r="BE215" s="724" t="s">
        <v>887</v>
      </c>
      <c r="BF215" s="89">
        <v>670</v>
      </c>
      <c r="BG215" s="62"/>
      <c r="BH215" s="822"/>
      <c r="BI215" s="62"/>
      <c r="BJ215" s="62"/>
      <c r="BK215" s="62"/>
      <c r="BL215" s="62"/>
      <c r="BM215" s="62"/>
      <c r="BN215" s="62"/>
      <c r="BO215" s="62"/>
      <c r="BP215" s="62"/>
      <c r="BQ215" s="62"/>
      <c r="BR215" s="62"/>
      <c r="BS215" s="62"/>
      <c r="BT215" s="62"/>
      <c r="BU215" s="62"/>
      <c r="BV215" s="62"/>
      <c r="BW215" s="62"/>
      <c r="BX215" s="62"/>
      <c r="BY215" s="62"/>
      <c r="BZ215" s="62"/>
      <c r="CA215" s="62"/>
    </row>
    <row r="216" spans="53:79" ht="28.5">
      <c r="BA216" s="62"/>
      <c r="BB216" s="62"/>
      <c r="BC216" s="93"/>
      <c r="BD216" s="722" t="s">
        <v>783</v>
      </c>
      <c r="BE216" s="91" t="s">
        <v>784</v>
      </c>
      <c r="BF216" s="89">
        <v>670</v>
      </c>
      <c r="BG216" s="62"/>
      <c r="BH216" s="823"/>
      <c r="BI216" s="62"/>
      <c r="BJ216" s="62"/>
      <c r="BK216" s="62"/>
      <c r="BL216" s="62"/>
      <c r="BM216" s="62"/>
      <c r="BN216" s="62"/>
      <c r="BO216" s="62"/>
      <c r="BP216" s="62"/>
      <c r="BQ216" s="62"/>
      <c r="BR216" s="62"/>
      <c r="BS216" s="62"/>
      <c r="BT216" s="62"/>
      <c r="BU216" s="62"/>
      <c r="BV216" s="62"/>
      <c r="BW216" s="62"/>
      <c r="BX216" s="62"/>
      <c r="BY216" s="62"/>
      <c r="BZ216" s="62"/>
      <c r="CA216" s="62"/>
    </row>
    <row r="217" spans="53:79" ht="14.25">
      <c r="BA217" s="62"/>
      <c r="BB217" s="62"/>
      <c r="BC217" s="93"/>
      <c r="BD217" s="764"/>
      <c r="BE217" s="762"/>
      <c r="BF217" s="761"/>
      <c r="BG217" s="62"/>
      <c r="BH217" s="823"/>
      <c r="BI217" s="62"/>
      <c r="BJ217" s="62"/>
      <c r="BK217" s="62"/>
      <c r="BL217" s="62"/>
      <c r="BM217" s="62"/>
      <c r="BN217" s="62"/>
      <c r="BO217" s="62"/>
      <c r="BP217" s="62"/>
      <c r="BQ217" s="62"/>
      <c r="BR217" s="62"/>
      <c r="BS217" s="62"/>
      <c r="BT217" s="62"/>
      <c r="BU217" s="62"/>
      <c r="BV217" s="62"/>
      <c r="BW217" s="62"/>
      <c r="BX217" s="62"/>
      <c r="BY217" s="62"/>
      <c r="BZ217" s="62"/>
      <c r="CA217" s="62"/>
    </row>
    <row r="218" spans="53:79" ht="14.25">
      <c r="BA218" s="62"/>
      <c r="BB218" s="62"/>
      <c r="BC218" s="93"/>
      <c r="BD218" s="69"/>
      <c r="BE218" s="91"/>
      <c r="BF218" s="89"/>
      <c r="BG218" s="62"/>
      <c r="BH218" s="823"/>
      <c r="BI218" s="62"/>
      <c r="BJ218" s="62"/>
      <c r="BK218" s="62"/>
      <c r="BL218" s="62"/>
      <c r="BM218" s="62"/>
      <c r="BN218" s="62"/>
      <c r="BO218" s="62"/>
      <c r="BP218" s="62"/>
      <c r="BQ218" s="62"/>
      <c r="BR218" s="62"/>
      <c r="BS218" s="62"/>
      <c r="BT218" s="62"/>
      <c r="BU218" s="62"/>
      <c r="BV218" s="62"/>
      <c r="BW218" s="62"/>
      <c r="BX218" s="62"/>
      <c r="BY218" s="62"/>
      <c r="BZ218" s="62"/>
      <c r="CA218" s="62"/>
    </row>
    <row r="219" spans="53:79" ht="28.5">
      <c r="BA219" s="62"/>
      <c r="BB219" s="62"/>
      <c r="BC219" s="93"/>
      <c r="BD219" s="725" t="s">
        <v>777</v>
      </c>
      <c r="BE219" s="725" t="s">
        <v>785</v>
      </c>
      <c r="BF219" s="89">
        <v>60</v>
      </c>
      <c r="BG219" s="62"/>
      <c r="BH219" s="824"/>
      <c r="BI219" s="62"/>
      <c r="BJ219" s="62"/>
      <c r="BK219" s="62"/>
      <c r="BL219" s="62"/>
      <c r="BM219" s="62"/>
      <c r="BN219" s="62"/>
      <c r="BO219" s="62"/>
      <c r="BP219" s="62"/>
      <c r="BQ219" s="62"/>
      <c r="BR219" s="62"/>
      <c r="BS219" s="62"/>
      <c r="BT219" s="62"/>
      <c r="BU219" s="62"/>
      <c r="BV219" s="62"/>
      <c r="BW219" s="62"/>
      <c r="BX219" s="62"/>
      <c r="BY219" s="62"/>
      <c r="BZ219" s="62"/>
      <c r="CA219" s="62"/>
    </row>
    <row r="220" spans="53:79" ht="27">
      <c r="BA220" s="62"/>
      <c r="BB220" s="62"/>
      <c r="BC220" s="93"/>
      <c r="BD220" s="816" t="s">
        <v>932</v>
      </c>
      <c r="BE220" s="816" t="s">
        <v>932</v>
      </c>
      <c r="BF220" s="825">
        <v>670</v>
      </c>
      <c r="BG220" s="62"/>
      <c r="BH220" s="824"/>
      <c r="BI220" s="62"/>
      <c r="BJ220" s="62"/>
      <c r="BK220" s="62"/>
      <c r="BL220" s="62"/>
      <c r="BM220" s="62"/>
      <c r="BN220" s="62"/>
      <c r="BO220" s="62"/>
      <c r="BP220" s="62"/>
      <c r="BQ220" s="62"/>
      <c r="BR220" s="62"/>
      <c r="BS220" s="62"/>
      <c r="BT220" s="62"/>
      <c r="BU220" s="62"/>
      <c r="BV220" s="62"/>
      <c r="BW220" s="62"/>
      <c r="BX220" s="62"/>
      <c r="BY220" s="62"/>
      <c r="BZ220" s="62"/>
      <c r="CA220" s="62"/>
    </row>
    <row r="221" spans="53:79" ht="27">
      <c r="BA221" s="62"/>
      <c r="BB221" s="62"/>
      <c r="BC221" s="726"/>
      <c r="BD221" s="816" t="s">
        <v>933</v>
      </c>
      <c r="BE221" s="816" t="s">
        <v>933</v>
      </c>
      <c r="BF221" s="763">
        <v>930</v>
      </c>
      <c r="BG221" s="62"/>
      <c r="BH221" s="824"/>
      <c r="BI221" s="62"/>
      <c r="BJ221" s="62"/>
      <c r="BK221" s="62"/>
      <c r="BL221" s="62"/>
      <c r="BM221" s="62"/>
      <c r="BN221" s="62"/>
      <c r="BO221" s="62"/>
      <c r="BP221" s="62"/>
      <c r="BQ221" s="62"/>
      <c r="BR221" s="62"/>
      <c r="BS221" s="62"/>
      <c r="BT221" s="62"/>
      <c r="BU221" s="62"/>
      <c r="BV221" s="62"/>
      <c r="BW221" s="62"/>
      <c r="BX221" s="62"/>
      <c r="BY221" s="62"/>
      <c r="BZ221" s="62"/>
      <c r="CA221" s="62"/>
    </row>
    <row r="222" spans="53:79" ht="27">
      <c r="BA222" s="62"/>
      <c r="BB222" s="62"/>
      <c r="BC222" s="93"/>
      <c r="BD222" s="817" t="s">
        <v>889</v>
      </c>
      <c r="BE222" s="817" t="s">
        <v>889</v>
      </c>
      <c r="BF222" s="763">
        <v>820</v>
      </c>
      <c r="BG222" s="62"/>
      <c r="BH222" s="824"/>
      <c r="BI222" s="62"/>
      <c r="BJ222" s="62"/>
      <c r="BK222" s="62"/>
      <c r="BL222" s="62"/>
      <c r="BM222" s="62"/>
      <c r="BN222" s="62"/>
      <c r="BO222" s="62"/>
      <c r="BP222" s="62"/>
      <c r="BQ222" s="62"/>
      <c r="BR222" s="62"/>
      <c r="BS222" s="62"/>
      <c r="BT222" s="62"/>
      <c r="BU222" s="62"/>
      <c r="BV222" s="62"/>
      <c r="BW222" s="62"/>
      <c r="BX222" s="62"/>
      <c r="BY222" s="62"/>
      <c r="BZ222" s="62"/>
      <c r="CA222" s="62"/>
    </row>
    <row r="223" spans="53:79" ht="27">
      <c r="BA223" s="62"/>
      <c r="BB223" s="62"/>
      <c r="BC223" s="93"/>
      <c r="BD223" s="817" t="s">
        <v>890</v>
      </c>
      <c r="BE223" s="817" t="s">
        <v>890</v>
      </c>
      <c r="BF223" s="763">
        <v>710</v>
      </c>
      <c r="BG223" s="62"/>
      <c r="BH223" s="824"/>
      <c r="BI223" s="62"/>
      <c r="BJ223" s="62"/>
      <c r="BK223" s="62"/>
      <c r="BL223" s="62"/>
      <c r="BM223" s="62"/>
      <c r="BN223" s="62"/>
      <c r="BO223" s="62"/>
      <c r="BP223" s="62"/>
      <c r="BQ223" s="62"/>
      <c r="BR223" s="62"/>
      <c r="BS223" s="62"/>
      <c r="BT223" s="62"/>
      <c r="BU223" s="62"/>
      <c r="BV223" s="62"/>
      <c r="BW223" s="62"/>
      <c r="BX223" s="62"/>
      <c r="BY223" s="62"/>
      <c r="BZ223" s="62"/>
      <c r="CA223" s="62"/>
    </row>
    <row r="224" spans="53:79" ht="14.25">
      <c r="BA224" s="62"/>
      <c r="BB224" s="62"/>
      <c r="BC224" s="93"/>
      <c r="BD224" s="817" t="s">
        <v>878</v>
      </c>
      <c r="BE224" s="817" t="s">
        <v>878</v>
      </c>
      <c r="BF224" s="763">
        <v>440</v>
      </c>
      <c r="BG224" s="62"/>
      <c r="BH224" s="62"/>
      <c r="BI224" s="62"/>
      <c r="BJ224" s="62"/>
      <c r="BK224" s="62"/>
      <c r="BL224" s="62"/>
      <c r="BM224" s="62"/>
      <c r="BN224" s="62"/>
      <c r="BO224" s="62"/>
      <c r="BP224" s="62"/>
      <c r="BQ224" s="62"/>
      <c r="BR224" s="62"/>
      <c r="BS224" s="62"/>
      <c r="BT224" s="62"/>
      <c r="BU224" s="62"/>
      <c r="BV224" s="62"/>
      <c r="BW224" s="62"/>
      <c r="BX224" s="62"/>
      <c r="BY224" s="62"/>
      <c r="BZ224" s="62"/>
      <c r="CA224" s="62"/>
    </row>
    <row r="225" spans="55:58" ht="14.25">
      <c r="BC225" s="26"/>
      <c r="BD225" s="764"/>
      <c r="BE225" s="762"/>
      <c r="BF225" s="761"/>
    </row>
    <row r="226" spans="55:58" ht="14.25">
      <c r="BC226" s="26"/>
      <c r="BD226" s="816"/>
      <c r="BE226" s="816"/>
      <c r="BF226" s="825"/>
    </row>
    <row r="227" spans="55:58" ht="14.25">
      <c r="BC227" s="26"/>
      <c r="BD227" s="816"/>
      <c r="BE227" s="816"/>
      <c r="BF227" s="763"/>
    </row>
    <row r="228" spans="55:58" ht="14.25">
      <c r="BC228" s="10"/>
      <c r="BD228" s="817"/>
      <c r="BE228" s="817"/>
      <c r="BF228" s="763"/>
    </row>
    <row r="229" spans="55:58" ht="14.25">
      <c r="BC229" s="26"/>
      <c r="BD229" s="817"/>
      <c r="BE229" s="817"/>
      <c r="BF229" s="763"/>
    </row>
    <row r="230" spans="55:58" ht="14.25">
      <c r="BC230" s="26"/>
      <c r="BD230" s="817"/>
      <c r="BE230" s="817"/>
      <c r="BF230" s="763"/>
    </row>
    <row r="231" spans="55:58" ht="14.25">
      <c r="BC231" s="26"/>
    </row>
    <row r="232" spans="55:58" ht="14.25">
      <c r="BC232" s="26"/>
    </row>
    <row r="233" spans="55:58" ht="14.25">
      <c r="BC233" s="26"/>
    </row>
  </sheetData>
  <sheetProtection selectLockedCells="1"/>
  <dataConsolidate/>
  <mergeCells count="508">
    <mergeCell ref="U23:Y24"/>
    <mergeCell ref="AL23:AP24"/>
    <mergeCell ref="AU23:AY24"/>
    <mergeCell ref="C34:E34"/>
    <mergeCell ref="F34:G34"/>
    <mergeCell ref="C30:E30"/>
    <mergeCell ref="C27:E29"/>
    <mergeCell ref="F30:G30"/>
    <mergeCell ref="R28:S29"/>
    <mergeCell ref="F27:G29"/>
    <mergeCell ref="N28:O29"/>
    <mergeCell ref="AN34:AO34"/>
    <mergeCell ref="AA18:AZ18"/>
    <mergeCell ref="AH27:AL29"/>
    <mergeCell ref="AM27:AS27"/>
    <mergeCell ref="C33:E33"/>
    <mergeCell ref="M27:S27"/>
    <mergeCell ref="T27:T29"/>
    <mergeCell ref="U27:Z29"/>
    <mergeCell ref="AA22:AZ22"/>
    <mergeCell ref="A19:Z19"/>
    <mergeCell ref="AA19:AZ19"/>
    <mergeCell ref="A18:Z18"/>
    <mergeCell ref="P28:Q29"/>
    <mergeCell ref="AA27:AB29"/>
    <mergeCell ref="H23:K24"/>
    <mergeCell ref="AR23:AT24"/>
    <mergeCell ref="AA25:AZ25"/>
    <mergeCell ref="A26:Z26"/>
    <mergeCell ref="AA26:AZ26"/>
    <mergeCell ref="A20:Z20"/>
    <mergeCell ref="AA20:AZ20"/>
    <mergeCell ref="A22:Z22"/>
    <mergeCell ref="R23:T24"/>
    <mergeCell ref="AH23:AK24"/>
    <mergeCell ref="L23:P24"/>
    <mergeCell ref="H41:L41"/>
    <mergeCell ref="A15:M16"/>
    <mergeCell ref="N15:N16"/>
    <mergeCell ref="Q15:Q16"/>
    <mergeCell ref="R15:Z16"/>
    <mergeCell ref="H32:L32"/>
    <mergeCell ref="H33:L33"/>
    <mergeCell ref="H34:L34"/>
    <mergeCell ref="H35:L35"/>
    <mergeCell ref="H36:L36"/>
    <mergeCell ref="F40:G40"/>
    <mergeCell ref="F41:G41"/>
    <mergeCell ref="C41:E41"/>
    <mergeCell ref="C40:E40"/>
    <mergeCell ref="A21:Z21"/>
    <mergeCell ref="A25:Z25"/>
    <mergeCell ref="P37:Q37"/>
    <mergeCell ref="R37:S37"/>
    <mergeCell ref="A27:B29"/>
    <mergeCell ref="U32:Z32"/>
    <mergeCell ref="C36:E36"/>
    <mergeCell ref="N37:O37"/>
    <mergeCell ref="F39:G39"/>
    <mergeCell ref="F35:G35"/>
    <mergeCell ref="F36:G36"/>
    <mergeCell ref="H37:L37"/>
    <mergeCell ref="H38:L38"/>
    <mergeCell ref="H39:L39"/>
    <mergeCell ref="H40:L40"/>
    <mergeCell ref="AA21:AZ21"/>
    <mergeCell ref="AT27:AT29"/>
    <mergeCell ref="AU27:AZ29"/>
    <mergeCell ref="AM28:AM29"/>
    <mergeCell ref="AN28:AO29"/>
    <mergeCell ref="AP28:AQ29"/>
    <mergeCell ref="AR28:AS29"/>
    <mergeCell ref="AH30:AL30"/>
    <mergeCell ref="AN30:AO30"/>
    <mergeCell ref="AP30:AQ30"/>
    <mergeCell ref="AR30:AS30"/>
    <mergeCell ref="AU30:AZ30"/>
    <mergeCell ref="AC27:AE29"/>
    <mergeCell ref="F31:G31"/>
    <mergeCell ref="N36:O36"/>
    <mergeCell ref="H30:L30"/>
    <mergeCell ref="H27:L29"/>
    <mergeCell ref="H31:L31"/>
    <mergeCell ref="M28:M29"/>
    <mergeCell ref="AN56:AO56"/>
    <mergeCell ref="AF39:AG39"/>
    <mergeCell ref="U36:Z36"/>
    <mergeCell ref="AC39:AE39"/>
    <mergeCell ref="C31:E31"/>
    <mergeCell ref="C38:E38"/>
    <mergeCell ref="C39:E39"/>
    <mergeCell ref="C32:E32"/>
    <mergeCell ref="P36:Q36"/>
    <mergeCell ref="R36:S36"/>
    <mergeCell ref="F33:G33"/>
    <mergeCell ref="F32:G32"/>
    <mergeCell ref="C37:E37"/>
    <mergeCell ref="C35:E35"/>
    <mergeCell ref="F38:G38"/>
    <mergeCell ref="F37:G37"/>
    <mergeCell ref="AC32:AE32"/>
    <mergeCell ref="AC31:AE31"/>
    <mergeCell ref="AL53:AM53"/>
    <mergeCell ref="AN53:AO53"/>
    <mergeCell ref="AC33:AE33"/>
    <mergeCell ref="AF53:AI53"/>
    <mergeCell ref="AJ52:AK52"/>
    <mergeCell ref="AL52:AM52"/>
    <mergeCell ref="A6:C6"/>
    <mergeCell ref="D6:T6"/>
    <mergeCell ref="AA6:AC6"/>
    <mergeCell ref="A7:C8"/>
    <mergeCell ref="AM7:AM8"/>
    <mergeCell ref="M7:M8"/>
    <mergeCell ref="W8:X8"/>
    <mergeCell ref="AR15:AZ16"/>
    <mergeCell ref="O15:P15"/>
    <mergeCell ref="A14:Z14"/>
    <mergeCell ref="AA14:AZ14"/>
    <mergeCell ref="A9:Z9"/>
    <mergeCell ref="AA9:AZ9"/>
    <mergeCell ref="AO15:AP15"/>
    <mergeCell ref="AQ15:AQ16"/>
    <mergeCell ref="AO16:AP16"/>
    <mergeCell ref="AW8:AX8"/>
    <mergeCell ref="D7:L8"/>
    <mergeCell ref="N7:T8"/>
    <mergeCell ref="AD6:AT6"/>
    <mergeCell ref="AD7:AD8"/>
    <mergeCell ref="AR7:AR8"/>
    <mergeCell ref="AF7:AF8"/>
    <mergeCell ref="AN15:AN16"/>
    <mergeCell ref="A1:Z1"/>
    <mergeCell ref="AA1:AZ1"/>
    <mergeCell ref="A3:V3"/>
    <mergeCell ref="AA3:AV3"/>
    <mergeCell ref="V4:V5"/>
    <mergeCell ref="AY4:AY5"/>
    <mergeCell ref="AZ4:AZ5"/>
    <mergeCell ref="AV4:AV5"/>
    <mergeCell ref="AW4:AX5"/>
    <mergeCell ref="Y4:Y5"/>
    <mergeCell ref="Z4:Z5"/>
    <mergeCell ref="AE7:AE8"/>
    <mergeCell ref="AH7:AH8"/>
    <mergeCell ref="AA10:AZ10"/>
    <mergeCell ref="AO7:AO8"/>
    <mergeCell ref="AP7:AP8"/>
    <mergeCell ref="AQ7:AQ8"/>
    <mergeCell ref="AG7:AG8"/>
    <mergeCell ref="AA7:AC8"/>
    <mergeCell ref="AS7:AS8"/>
    <mergeCell ref="AT7:AT8"/>
    <mergeCell ref="AK7:AK8"/>
    <mergeCell ref="AL7:AL8"/>
    <mergeCell ref="A10:Z10"/>
    <mergeCell ref="AN7:AN8"/>
    <mergeCell ref="AI7:AI8"/>
    <mergeCell ref="AJ7:AJ8"/>
    <mergeCell ref="O16:P16"/>
    <mergeCell ref="AA15:AM16"/>
    <mergeCell ref="BP30:BQ30"/>
    <mergeCell ref="N31:O31"/>
    <mergeCell ref="P31:Q31"/>
    <mergeCell ref="R31:S31"/>
    <mergeCell ref="N30:O30"/>
    <mergeCell ref="P30:Q30"/>
    <mergeCell ref="R30:S30"/>
    <mergeCell ref="U30:Z30"/>
    <mergeCell ref="AC30:AE30"/>
    <mergeCell ref="AF30:AG30"/>
    <mergeCell ref="BM31:BN31"/>
    <mergeCell ref="BP31:BQ31"/>
    <mergeCell ref="U31:Z31"/>
    <mergeCell ref="AH31:AL31"/>
    <mergeCell ref="AN31:AO31"/>
    <mergeCell ref="AP31:AQ31"/>
    <mergeCell ref="AR31:AS31"/>
    <mergeCell ref="AF31:AG31"/>
    <mergeCell ref="BM30:BN30"/>
    <mergeCell ref="AU31:AZ31"/>
    <mergeCell ref="AH32:AL32"/>
    <mergeCell ref="AN32:AO32"/>
    <mergeCell ref="AP32:AQ32"/>
    <mergeCell ref="AR32:AS32"/>
    <mergeCell ref="AU32:AZ32"/>
    <mergeCell ref="AH33:AL33"/>
    <mergeCell ref="AN33:AO33"/>
    <mergeCell ref="AP33:AQ33"/>
    <mergeCell ref="AR33:AS33"/>
    <mergeCell ref="AU33:AZ33"/>
    <mergeCell ref="AN45:AN46"/>
    <mergeCell ref="AO45:AO46"/>
    <mergeCell ref="BM32:BN32"/>
    <mergeCell ref="BP32:BQ32"/>
    <mergeCell ref="N33:O33"/>
    <mergeCell ref="P33:Q33"/>
    <mergeCell ref="R33:S33"/>
    <mergeCell ref="BM33:BN33"/>
    <mergeCell ref="BP33:BQ33"/>
    <mergeCell ref="N32:O32"/>
    <mergeCell ref="R32:S32"/>
    <mergeCell ref="AF32:AG32"/>
    <mergeCell ref="AF33:AG33"/>
    <mergeCell ref="U33:Z33"/>
    <mergeCell ref="P32:Q32"/>
    <mergeCell ref="AH41:AL41"/>
    <mergeCell ref="AH37:AL37"/>
    <mergeCell ref="AH38:AL38"/>
    <mergeCell ref="AH39:AL39"/>
    <mergeCell ref="AK45:AK46"/>
    <mergeCell ref="AC35:AE35"/>
    <mergeCell ref="AF35:AG35"/>
    <mergeCell ref="AL45:AL46"/>
    <mergeCell ref="AM45:AM46"/>
    <mergeCell ref="BM34:BN34"/>
    <mergeCell ref="AF52:AI52"/>
    <mergeCell ref="BP34:BQ34"/>
    <mergeCell ref="AR34:AS34"/>
    <mergeCell ref="AP34:AQ34"/>
    <mergeCell ref="AU34:AZ34"/>
    <mergeCell ref="AP41:AQ41"/>
    <mergeCell ref="AC41:AE41"/>
    <mergeCell ref="AF41:AG41"/>
    <mergeCell ref="BP37:BQ37"/>
    <mergeCell ref="AC44:AG44"/>
    <mergeCell ref="AH44:AJ44"/>
    <mergeCell ref="AK44:AM44"/>
    <mergeCell ref="AN44:AP44"/>
    <mergeCell ref="AQ44:AS44"/>
    <mergeCell ref="AT44:AV44"/>
    <mergeCell ref="AW44:AZ44"/>
    <mergeCell ref="AJ45:AJ46"/>
    <mergeCell ref="AN52:AO52"/>
    <mergeCell ref="AJ51:AK51"/>
    <mergeCell ref="AL51:AM51"/>
    <mergeCell ref="AN51:AO51"/>
    <mergeCell ref="AF51:AI51"/>
    <mergeCell ref="AH34:AL34"/>
    <mergeCell ref="N35:O35"/>
    <mergeCell ref="P35:Q35"/>
    <mergeCell ref="R35:S35"/>
    <mergeCell ref="BP35:BQ35"/>
    <mergeCell ref="P41:Q41"/>
    <mergeCell ref="R41:S41"/>
    <mergeCell ref="N40:O40"/>
    <mergeCell ref="P40:Q40"/>
    <mergeCell ref="R40:S40"/>
    <mergeCell ref="AR36:AS36"/>
    <mergeCell ref="AU36:AZ36"/>
    <mergeCell ref="AC36:AE36"/>
    <mergeCell ref="AR40:AS40"/>
    <mergeCell ref="AU40:AZ40"/>
    <mergeCell ref="AR41:AS41"/>
    <mergeCell ref="AU41:AZ41"/>
    <mergeCell ref="AR37:AS37"/>
    <mergeCell ref="AU37:AZ37"/>
    <mergeCell ref="BP41:BQ41"/>
    <mergeCell ref="U40:Z40"/>
    <mergeCell ref="AC40:AE40"/>
    <mergeCell ref="AF40:AG40"/>
    <mergeCell ref="BM41:BN41"/>
    <mergeCell ref="AN41:AO41"/>
    <mergeCell ref="AL54:AM54"/>
    <mergeCell ref="AN54:AO54"/>
    <mergeCell ref="BM35:BN35"/>
    <mergeCell ref="N34:O34"/>
    <mergeCell ref="P34:Q34"/>
    <mergeCell ref="R34:S34"/>
    <mergeCell ref="U34:Z34"/>
    <mergeCell ref="AC34:AE34"/>
    <mergeCell ref="AF54:AI54"/>
    <mergeCell ref="AF34:AG34"/>
    <mergeCell ref="AH35:AL35"/>
    <mergeCell ref="AN35:AO35"/>
    <mergeCell ref="AP35:AQ35"/>
    <mergeCell ref="AR35:AS35"/>
    <mergeCell ref="AU35:AZ35"/>
    <mergeCell ref="AH36:AL36"/>
    <mergeCell ref="AN36:AO36"/>
    <mergeCell ref="AP36:AQ36"/>
    <mergeCell ref="BM37:BN37"/>
    <mergeCell ref="AF36:AG36"/>
    <mergeCell ref="AF37:AG37"/>
    <mergeCell ref="U35:Z35"/>
    <mergeCell ref="N41:O41"/>
    <mergeCell ref="AJ53:AK53"/>
    <mergeCell ref="U37:Z37"/>
    <mergeCell ref="AN37:AO37"/>
    <mergeCell ref="AP37:AQ37"/>
    <mergeCell ref="AC37:AE37"/>
    <mergeCell ref="BM36:BN36"/>
    <mergeCell ref="BP36:BQ36"/>
    <mergeCell ref="AN40:AO40"/>
    <mergeCell ref="AP40:AQ40"/>
    <mergeCell ref="AR38:AS38"/>
    <mergeCell ref="AU38:AZ38"/>
    <mergeCell ref="AR39:AS39"/>
    <mergeCell ref="AU39:AZ39"/>
    <mergeCell ref="AH40:AL40"/>
    <mergeCell ref="AL56:AM56"/>
    <mergeCell ref="BM38:BN38"/>
    <mergeCell ref="BP38:BQ38"/>
    <mergeCell ref="N39:O39"/>
    <mergeCell ref="P39:Q39"/>
    <mergeCell ref="R39:S39"/>
    <mergeCell ref="AN38:AO38"/>
    <mergeCell ref="AP38:AQ38"/>
    <mergeCell ref="BM39:BN39"/>
    <mergeCell ref="N38:O38"/>
    <mergeCell ref="P38:Q38"/>
    <mergeCell ref="R38:S38"/>
    <mergeCell ref="U38:Z38"/>
    <mergeCell ref="AC38:AE38"/>
    <mergeCell ref="BP39:BQ39"/>
    <mergeCell ref="U39:Z39"/>
    <mergeCell ref="AN39:AO39"/>
    <mergeCell ref="AP39:AQ39"/>
    <mergeCell ref="AF38:AG38"/>
    <mergeCell ref="BM40:BN40"/>
    <mergeCell ref="BP40:BQ40"/>
    <mergeCell ref="AJ55:AK55"/>
    <mergeCell ref="AL55:AM55"/>
    <mergeCell ref="AN55:AO55"/>
    <mergeCell ref="AF125:AJ125"/>
    <mergeCell ref="AF126:AJ126"/>
    <mergeCell ref="AF127:AJ127"/>
    <mergeCell ref="AF128:AJ128"/>
    <mergeCell ref="AF129:AJ129"/>
    <mergeCell ref="AF130:AJ130"/>
    <mergeCell ref="AF124:AJ124"/>
    <mergeCell ref="U41:Z41"/>
    <mergeCell ref="AF56:AI56"/>
    <mergeCell ref="AJ56:AK56"/>
    <mergeCell ref="AF55:AI55"/>
    <mergeCell ref="AJ54:AK54"/>
    <mergeCell ref="A43:Z43"/>
    <mergeCell ref="A44:B44"/>
    <mergeCell ref="C44:G44"/>
    <mergeCell ref="H44:J44"/>
    <mergeCell ref="K44:M44"/>
    <mergeCell ref="N44:P44"/>
    <mergeCell ref="Q44:S44"/>
    <mergeCell ref="T44:V44"/>
    <mergeCell ref="W44:Z44"/>
    <mergeCell ref="A45:A46"/>
    <mergeCell ref="B45:B46"/>
    <mergeCell ref="C45:G46"/>
    <mergeCell ref="AF137:AJ137"/>
    <mergeCell ref="AF138:AJ138"/>
    <mergeCell ref="AF139:AJ139"/>
    <mergeCell ref="AF140:AJ140"/>
    <mergeCell ref="AF141:AJ141"/>
    <mergeCell ref="AF142:AJ142"/>
    <mergeCell ref="AF131:AJ131"/>
    <mergeCell ref="AF132:AJ132"/>
    <mergeCell ref="AF133:AJ133"/>
    <mergeCell ref="AF134:AJ134"/>
    <mergeCell ref="AF135:AJ135"/>
    <mergeCell ref="AF136:AJ136"/>
    <mergeCell ref="AF160:AJ160"/>
    <mergeCell ref="AF149:AJ149"/>
    <mergeCell ref="AF150:AJ150"/>
    <mergeCell ref="AF151:AJ151"/>
    <mergeCell ref="AF152:AJ152"/>
    <mergeCell ref="AF153:AJ153"/>
    <mergeCell ref="AF154:AJ154"/>
    <mergeCell ref="AF143:AJ143"/>
    <mergeCell ref="AF144:AJ144"/>
    <mergeCell ref="AF145:AJ145"/>
    <mergeCell ref="AF146:AJ146"/>
    <mergeCell ref="AF147:AJ147"/>
    <mergeCell ref="AF148:AJ148"/>
    <mergeCell ref="AF206:AJ206"/>
    <mergeCell ref="AF197:AJ197"/>
    <mergeCell ref="AF198:AJ198"/>
    <mergeCell ref="AF199:AJ199"/>
    <mergeCell ref="AF200:AJ200"/>
    <mergeCell ref="AF202:AJ202"/>
    <mergeCell ref="AF187:AJ187"/>
    <mergeCell ref="AF188:AJ188"/>
    <mergeCell ref="AF177:AJ177"/>
    <mergeCell ref="AF178:AJ178"/>
    <mergeCell ref="AF179:AJ179"/>
    <mergeCell ref="AF180:AJ180"/>
    <mergeCell ref="AF181:AJ181"/>
    <mergeCell ref="AF182:AJ182"/>
    <mergeCell ref="AF204:AJ204"/>
    <mergeCell ref="AF189:AJ189"/>
    <mergeCell ref="AF190:AJ190"/>
    <mergeCell ref="AF191:AJ191"/>
    <mergeCell ref="AF192:AJ192"/>
    <mergeCell ref="AF193:AJ193"/>
    <mergeCell ref="AF194:AJ194"/>
    <mergeCell ref="AF201:AJ201"/>
    <mergeCell ref="AF205:AJ205"/>
    <mergeCell ref="AF195:AJ195"/>
    <mergeCell ref="AF183:AJ183"/>
    <mergeCell ref="AF184:AJ184"/>
    <mergeCell ref="AF185:AJ185"/>
    <mergeCell ref="AF186:AJ186"/>
    <mergeCell ref="AF27:AG29"/>
    <mergeCell ref="AF196:AJ196"/>
    <mergeCell ref="AF203:AJ203"/>
    <mergeCell ref="AF167:AJ167"/>
    <mergeCell ref="AF168:AJ168"/>
    <mergeCell ref="AF173:AJ173"/>
    <mergeCell ref="AF174:AJ174"/>
    <mergeCell ref="AF175:AJ175"/>
    <mergeCell ref="AF176:AJ176"/>
    <mergeCell ref="AF161:AJ161"/>
    <mergeCell ref="AF162:AJ162"/>
    <mergeCell ref="AF163:AJ163"/>
    <mergeCell ref="AF164:AJ164"/>
    <mergeCell ref="AF165:AJ165"/>
    <mergeCell ref="AF166:AJ166"/>
    <mergeCell ref="AF155:AJ155"/>
    <mergeCell ref="AF156:AJ156"/>
    <mergeCell ref="AF157:AJ157"/>
    <mergeCell ref="AF158:AJ158"/>
    <mergeCell ref="AF159:AJ159"/>
    <mergeCell ref="H45:H46"/>
    <mergeCell ref="I45:I46"/>
    <mergeCell ref="J45:J46"/>
    <mergeCell ref="K45:K46"/>
    <mergeCell ref="L45:L46"/>
    <mergeCell ref="M45:M46"/>
    <mergeCell ref="N45:N46"/>
    <mergeCell ref="O45:O46"/>
    <mergeCell ref="W47:W48"/>
    <mergeCell ref="N47:N48"/>
    <mergeCell ref="O47:O48"/>
    <mergeCell ref="X47:X48"/>
    <mergeCell ref="Y47:Y48"/>
    <mergeCell ref="Z47:Z48"/>
    <mergeCell ref="P45:P46"/>
    <mergeCell ref="Q45:Q46"/>
    <mergeCell ref="R45:R46"/>
    <mergeCell ref="S45:S46"/>
    <mergeCell ref="T45:T46"/>
    <mergeCell ref="U45:U46"/>
    <mergeCell ref="V45:V46"/>
    <mergeCell ref="W45:W46"/>
    <mergeCell ref="X45:X46"/>
    <mergeCell ref="P47:P48"/>
    <mergeCell ref="Q47:Q48"/>
    <mergeCell ref="R47:R48"/>
    <mergeCell ref="S47:S48"/>
    <mergeCell ref="T47:T48"/>
    <mergeCell ref="U47:U48"/>
    <mergeCell ref="V47:V48"/>
    <mergeCell ref="A47:A48"/>
    <mergeCell ref="B47:B48"/>
    <mergeCell ref="C47:G48"/>
    <mergeCell ref="H47:H48"/>
    <mergeCell ref="I47:I48"/>
    <mergeCell ref="J47:J48"/>
    <mergeCell ref="K47:K48"/>
    <mergeCell ref="L47:L48"/>
    <mergeCell ref="M47:M48"/>
    <mergeCell ref="AA47:AA48"/>
    <mergeCell ref="AB47:AB48"/>
    <mergeCell ref="AC47:AG48"/>
    <mergeCell ref="AH47:AH48"/>
    <mergeCell ref="AI47:AI48"/>
    <mergeCell ref="AP45:AP46"/>
    <mergeCell ref="AQ45:AQ46"/>
    <mergeCell ref="AR45:AR46"/>
    <mergeCell ref="Y45:Y46"/>
    <mergeCell ref="Z45:Z46"/>
    <mergeCell ref="AN47:AN48"/>
    <mergeCell ref="AO47:AO48"/>
    <mergeCell ref="AP47:AP48"/>
    <mergeCell ref="AQ47:AQ48"/>
    <mergeCell ref="AR47:AR48"/>
    <mergeCell ref="AJ47:AJ48"/>
    <mergeCell ref="AK47:AK48"/>
    <mergeCell ref="AL47:AL48"/>
    <mergeCell ref="AM47:AM48"/>
    <mergeCell ref="AA45:AA46"/>
    <mergeCell ref="AB45:AB46"/>
    <mergeCell ref="AC45:AG46"/>
    <mergeCell ref="AH45:AH46"/>
    <mergeCell ref="AI45:AI46"/>
    <mergeCell ref="A49:Z49"/>
    <mergeCell ref="AA49:AZ49"/>
    <mergeCell ref="AA43:AZ43"/>
    <mergeCell ref="AA44:AB44"/>
    <mergeCell ref="A11:Z12"/>
    <mergeCell ref="AA11:AZ12"/>
    <mergeCell ref="W4:W5"/>
    <mergeCell ref="X4:X5"/>
    <mergeCell ref="AU47:AU48"/>
    <mergeCell ref="AV47:AV48"/>
    <mergeCell ref="AW47:AW48"/>
    <mergeCell ref="AX47:AX48"/>
    <mergeCell ref="AY47:AY48"/>
    <mergeCell ref="AZ47:AZ48"/>
    <mergeCell ref="AS45:AS46"/>
    <mergeCell ref="AT45:AT46"/>
    <mergeCell ref="AU45:AU46"/>
    <mergeCell ref="AV45:AV46"/>
    <mergeCell ref="AW45:AW46"/>
    <mergeCell ref="AX45:AX46"/>
    <mergeCell ref="AY45:AY46"/>
    <mergeCell ref="AZ45:AZ46"/>
    <mergeCell ref="AS47:AS48"/>
    <mergeCell ref="AT47:AT48"/>
  </mergeCells>
  <phoneticPr fontId="26"/>
  <conditionalFormatting sqref="A11">
    <cfRule type="expression" dxfId="77" priority="7">
      <formula>A52=TRUE</formula>
    </cfRule>
  </conditionalFormatting>
  <conditionalFormatting sqref="A58:A68 AA58:AA68">
    <cfRule type="cellIs" dxfId="76" priority="62" stopIfTrue="1" operator="between">
      <formula>0</formula>
      <formula>0</formula>
    </cfRule>
  </conditionalFormatting>
  <conditionalFormatting sqref="B4">
    <cfRule type="expression" dxfId="75" priority="28">
      <formula>$A$2=TRUE</formula>
    </cfRule>
  </conditionalFormatting>
  <conditionalFormatting sqref="C45:H48 J45:K48 M45:N48 P45:Q48 S45:T48 V45:W48 Y45:Y48 AC45:AH48 AJ45:AK48 AM45:AN48 AP45:AQ48 AS45:AT48 AV45:AW48 AY45:AY48">
    <cfRule type="cellIs" dxfId="74" priority="15" operator="equal">
      <formula>""</formula>
    </cfRule>
  </conditionalFormatting>
  <conditionalFormatting sqref="D4 F4 L4 N4 P4 R4 AD4 AF4 AL4 AN4 AP4 AR4 D6:T6 AD6:AT6 W7 AW7 D7:D8 N7:N8 Y7:Y8 AD7:AD8 AF7:AF8 AH7:AH8 AK7:AK8 AN7:AN8 AP7:AP8 AS7:AS8 AY7:AY8 A30:A41 C30:H41 M30:Q41 T30:Z41 AM30:AQ41 AT30:AZ41 A45 AA45 A47 AA47">
    <cfRule type="containsBlanks" dxfId="73" priority="63">
      <formula>LEN(TRIM(A4))=0</formula>
    </cfRule>
  </conditionalFormatting>
  <conditionalFormatting sqref="J4 AJ4">
    <cfRule type="expression" dxfId="72" priority="26">
      <formula>B2=TRUE</formula>
    </cfRule>
  </conditionalFormatting>
  <conditionalFormatting sqref="O15:P15">
    <cfRule type="expression" dxfId="71" priority="35">
      <formula>$B$54=TRUE</formula>
    </cfRule>
  </conditionalFormatting>
  <conditionalFormatting sqref="O16:P16">
    <cfRule type="expression" dxfId="70" priority="34">
      <formula>$B$55=TRUE</formula>
    </cfRule>
  </conditionalFormatting>
  <conditionalFormatting sqref="U23 L23:M24">
    <cfRule type="containsBlanks" dxfId="69" priority="4">
      <formula>LEN(TRIM(L23))=0</formula>
    </cfRule>
  </conditionalFormatting>
  <conditionalFormatting sqref="AA11">
    <cfRule type="expression" dxfId="68" priority="5">
      <formula>AA52=TRUE</formula>
    </cfRule>
  </conditionalFormatting>
  <conditionalFormatting sqref="AC30:AH41">
    <cfRule type="containsBlanks" dxfId="67" priority="1">
      <formula>LEN(TRIM(AC30))=0</formula>
    </cfRule>
  </conditionalFormatting>
  <dataValidations xWindow="478" yWindow="862" count="17">
    <dataValidation type="list" operator="equal" allowBlank="1" showInputMessage="1" showErrorMessage="1" prompt="食事場所を指定してください" sqref="F30:G30 AF30:AG30" xr:uid="{00000000-0002-0000-0300-000000000000}">
      <formula1>"食堂,炊事,携帯食"</formula1>
    </dataValidation>
    <dataValidation type="list" operator="equal" allowBlank="1" showInputMessage="1" showErrorMessage="1" prompt="提供場所を指定してください" sqref="F31:G41 AF31:AG41" xr:uid="{00000000-0002-0000-0300-000001000000}">
      <formula1>"食堂,炊事,携帯食"</formula1>
    </dataValidation>
    <dataValidation type="list" allowBlank="1" showInputMessage="1" showErrorMessage="1" prompt="食事時機を指定してください" sqref="C30:E41 AC30:AE41" xr:uid="{00000000-0002-0000-0300-000002000000}">
      <formula1>時機</formula1>
    </dataValidation>
    <dataValidation type="list" operator="equal" showInputMessage="1" showErrorMessage="1" prompt="場所を選んでから、メニューを選択してください" sqref="H30:H41 AH35:AH41 AH33" xr:uid="{00000000-0002-0000-0300-000004000000}">
      <formula1>INDIRECT($F30)</formula1>
    </dataValidation>
    <dataValidation type="list" allowBlank="1" showInputMessage="1" showErrorMessage="1" sqref="AT37:AT41" xr:uid="{00000000-0002-0000-0300-000005000000}">
      <formula1>$AR$34</formula1>
    </dataValidation>
    <dataValidation type="list" allowBlank="1" showInputMessage="1" showErrorMessage="1" sqref="D4 AL4 AD4 L4" xr:uid="{B3094B57-29A2-4F4A-A0C0-855F54F369E0}">
      <formula1>$BL$56:$BL$67</formula1>
    </dataValidation>
    <dataValidation type="list" allowBlank="1" showInputMessage="1" showErrorMessage="1" sqref="F4 AN4 AF4 N4" xr:uid="{6980C749-6737-49B5-98D4-22EDD3B0893B}">
      <formula1>$BL$56:$BL$86</formula1>
    </dataValidation>
    <dataValidation type="list" allowBlank="1" showInputMessage="1" showErrorMessage="1" sqref="P4 AP4" xr:uid="{E4A7988B-6ED0-481A-8E24-BF2E3A1A2021}">
      <formula1>$BL$56:$BL$79</formula1>
    </dataValidation>
    <dataValidation type="list" allowBlank="1" showInputMessage="1" showErrorMessage="1" sqref="R4 AR4" xr:uid="{BC5A349D-F49B-493D-9852-8A18AA5FFCDF}">
      <formula1>$BM$56:$BM$59</formula1>
    </dataValidation>
    <dataValidation type="list" allowBlank="1" showInputMessage="1" showErrorMessage="1" sqref="AH30:AH32" xr:uid="{9C8E55F9-3F4B-44A1-988F-F3B58DAF24BA}">
      <formula1>INDIRECT($F$30)</formula1>
    </dataValidation>
    <dataValidation type="list" allowBlank="1" showInputMessage="1" showErrorMessage="1" prompt="日にちを指定してください" sqref="A30:A41 A45:A48" xr:uid="{05115F03-3AA7-4960-BC64-B0F7875E0AAD}">
      <formula1>$BA$1:$BA$31</formula1>
    </dataValidation>
    <dataValidation type="list" allowBlank="1" showInputMessage="1" sqref="AT30:AT36" xr:uid="{8EF6759D-1E49-46E9-9A3E-E13E0BDEA107}">
      <formula1>$AR$34</formula1>
    </dataValidation>
    <dataValidation allowBlank="1" showInputMessage="1" showErrorMessage="1" prompt="日にちを指定してください" sqref="AA45:AA48" xr:uid="{94E49955-9186-4CC6-BFBA-8468086BBED1}"/>
    <dataValidation type="list" operator="equal" showInputMessage="1" showErrorMessage="1" prompt="場所を選んでから、メニューを選択してください" sqref="AH34:AL34" xr:uid="{78B6DEAF-5C7E-4BE5-BEF1-821EB91A2E5F}">
      <formula1>BG$89:$BG$97</formula1>
    </dataValidation>
    <dataValidation type="list" allowBlank="1" showInputMessage="1" showErrorMessage="1" sqref="T30:T41" xr:uid="{4BD551BA-6518-4FB8-B17E-3BCCB6D6A2A9}">
      <formula1>$AT$33</formula1>
    </dataValidation>
    <dataValidation type="list" allowBlank="1" showInputMessage="1" showErrorMessage="1" sqref="AC45:AG48" xr:uid="{C25E32D6-90E4-44ED-8ECE-4DEF98EFF02B}">
      <formula1>$C$51:$C$54</formula1>
    </dataValidation>
    <dataValidation type="list" allowBlank="1" showInputMessage="1" showErrorMessage="1" sqref="C45:G48" xr:uid="{8DCE3009-7800-4A0D-BC2D-93F5C38EADC1}">
      <formula1>$C$52:$C$56</formula1>
    </dataValidation>
  </dataValidations>
  <printOptions horizontalCentered="1"/>
  <pageMargins left="0.39370078740157483" right="0.39370078740157483" top="0.39370078740157483" bottom="0.39370078740157483" header="0" footer="0"/>
  <pageSetup paperSize="9" scale="76" orientation="portrait" r:id="rId1"/>
  <headerFooter>
    <oddHeader>&amp;RⅥ-3</oddHeader>
    <oddFooter>&amp;R&amp;D &amp;T</oddFooter>
  </headerFooter>
  <colBreaks count="1" manualBreakCount="1">
    <brk id="26" max="49" man="1"/>
  </colBreaks>
  <drawing r:id="rId2"/>
  <legacyDrawing r:id="rId3"/>
  <mc:AlternateContent xmlns:mc="http://schemas.openxmlformats.org/markup-compatibility/2006">
    <mc:Choice Requires="x14">
      <controls>
        <mc:AlternateContent xmlns:mc="http://schemas.openxmlformats.org/markup-compatibility/2006">
          <mc:Choice Requires="x14">
            <control shapeId="16385" r:id="rId4" name="Check Box 1">
              <controlPr defaultSize="0" autoFill="0" autoLine="0" autoPict="0">
                <anchor moveWithCells="1" sizeWithCells="1">
                  <from>
                    <xdr:col>5</xdr:col>
                    <xdr:colOff>104775</xdr:colOff>
                    <xdr:row>3</xdr:row>
                    <xdr:rowOff>57150</xdr:rowOff>
                  </from>
                  <to>
                    <xdr:col>6</xdr:col>
                    <xdr:colOff>133350</xdr:colOff>
                    <xdr:row>3</xdr:row>
                    <xdr:rowOff>104775</xdr:rowOff>
                  </to>
                </anchor>
              </controlPr>
            </control>
          </mc:Choice>
        </mc:AlternateContent>
        <mc:AlternateContent xmlns:mc="http://schemas.openxmlformats.org/markup-compatibility/2006">
          <mc:Choice Requires="x14">
            <control shapeId="16386" r:id="rId5" name="Check Box 2">
              <controlPr defaultSize="0" autoFill="0" autoLine="0" autoPict="0">
                <anchor moveWithCells="1" sizeWithCells="1">
                  <from>
                    <xdr:col>7</xdr:col>
                    <xdr:colOff>38100</xdr:colOff>
                    <xdr:row>19</xdr:row>
                    <xdr:rowOff>0</xdr:rowOff>
                  </from>
                  <to>
                    <xdr:col>8</xdr:col>
                    <xdr:colOff>66675</xdr:colOff>
                    <xdr:row>20</xdr:row>
                    <xdr:rowOff>19050</xdr:rowOff>
                  </to>
                </anchor>
              </controlPr>
            </control>
          </mc:Choice>
        </mc:AlternateContent>
        <mc:AlternateContent xmlns:mc="http://schemas.openxmlformats.org/markup-compatibility/2006">
          <mc:Choice Requires="x14">
            <control shapeId="16387" r:id="rId6" name="Check Box 3">
              <controlPr defaultSize="0" autoFill="0" autoLine="0" autoPict="0">
                <anchor moveWithCells="1" sizeWithCells="1">
                  <from>
                    <xdr:col>4</xdr:col>
                    <xdr:colOff>47625</xdr:colOff>
                    <xdr:row>19</xdr:row>
                    <xdr:rowOff>0</xdr:rowOff>
                  </from>
                  <to>
                    <xdr:col>5</xdr:col>
                    <xdr:colOff>76200</xdr:colOff>
                    <xdr:row>20</xdr:row>
                    <xdr:rowOff>19050</xdr:rowOff>
                  </to>
                </anchor>
              </controlPr>
            </control>
          </mc:Choice>
        </mc:AlternateContent>
        <mc:AlternateContent xmlns:mc="http://schemas.openxmlformats.org/markup-compatibility/2006">
          <mc:Choice Requires="x14">
            <control shapeId="16388" r:id="rId7" name="Check Box 4">
              <controlPr defaultSize="0" autoFill="0" autoLine="0" autoPict="0">
                <anchor moveWithCells="1" sizeWithCells="1">
                  <from>
                    <xdr:col>26</xdr:col>
                    <xdr:colOff>0</xdr:colOff>
                    <xdr:row>15</xdr:row>
                    <xdr:rowOff>142875</xdr:rowOff>
                  </from>
                  <to>
                    <xdr:col>26</xdr:col>
                    <xdr:colOff>0</xdr:colOff>
                    <xdr:row>17</xdr:row>
                    <xdr:rowOff>19050</xdr:rowOff>
                  </to>
                </anchor>
              </controlPr>
            </control>
          </mc:Choice>
        </mc:AlternateContent>
        <mc:AlternateContent xmlns:mc="http://schemas.openxmlformats.org/markup-compatibility/2006">
          <mc:Choice Requires="x14">
            <control shapeId="16389" r:id="rId8" name="Check Box 5">
              <controlPr defaultSize="0" autoFill="0" autoLine="0" autoPict="0">
                <anchor moveWithCells="1" sizeWithCells="1">
                  <from>
                    <xdr:col>26</xdr:col>
                    <xdr:colOff>0</xdr:colOff>
                    <xdr:row>16</xdr:row>
                    <xdr:rowOff>142875</xdr:rowOff>
                  </from>
                  <to>
                    <xdr:col>26</xdr:col>
                    <xdr:colOff>0</xdr:colOff>
                    <xdr:row>18</xdr:row>
                    <xdr:rowOff>19050</xdr:rowOff>
                  </to>
                </anchor>
              </controlPr>
            </control>
          </mc:Choice>
        </mc:AlternateContent>
        <mc:AlternateContent xmlns:mc="http://schemas.openxmlformats.org/markup-compatibility/2006">
          <mc:Choice Requires="x14">
            <control shapeId="16390" r:id="rId9" name="Check Box 6">
              <controlPr defaultSize="0" autoFill="0" autoLine="0" autoPict="0">
                <anchor moveWithCells="1" sizeWithCells="1">
                  <from>
                    <xdr:col>26</xdr:col>
                    <xdr:colOff>0</xdr:colOff>
                    <xdr:row>17</xdr:row>
                    <xdr:rowOff>142875</xdr:rowOff>
                  </from>
                  <to>
                    <xdr:col>26</xdr:col>
                    <xdr:colOff>0</xdr:colOff>
                    <xdr:row>19</xdr:row>
                    <xdr:rowOff>0</xdr:rowOff>
                  </to>
                </anchor>
              </controlPr>
            </control>
          </mc:Choice>
        </mc:AlternateContent>
        <mc:AlternateContent xmlns:mc="http://schemas.openxmlformats.org/markup-compatibility/2006">
          <mc:Choice Requires="x14">
            <control shapeId="16391" r:id="rId10" name="Check Box 7">
              <controlPr defaultSize="0" autoFill="0" autoLine="0" autoPict="0">
                <anchor moveWithCells="1" sizeWithCells="1">
                  <from>
                    <xdr:col>26</xdr:col>
                    <xdr:colOff>0</xdr:colOff>
                    <xdr:row>18</xdr:row>
                    <xdr:rowOff>142875</xdr:rowOff>
                  </from>
                  <to>
                    <xdr:col>26</xdr:col>
                    <xdr:colOff>0</xdr:colOff>
                    <xdr:row>19</xdr:row>
                    <xdr:rowOff>0</xdr:rowOff>
                  </to>
                </anchor>
              </controlPr>
            </control>
          </mc:Choice>
        </mc:AlternateContent>
        <mc:AlternateContent xmlns:mc="http://schemas.openxmlformats.org/markup-compatibility/2006">
          <mc:Choice Requires="x14">
            <control shapeId="16392" r:id="rId11" name="Check Box 8">
              <controlPr defaultSize="0" autoFill="0" autoLine="0" autoPict="0">
                <anchor moveWithCells="1" sizeWithCells="1">
                  <from>
                    <xdr:col>26</xdr:col>
                    <xdr:colOff>0</xdr:colOff>
                    <xdr:row>19</xdr:row>
                    <xdr:rowOff>0</xdr:rowOff>
                  </from>
                  <to>
                    <xdr:col>26</xdr:col>
                    <xdr:colOff>0</xdr:colOff>
                    <xdr:row>19</xdr:row>
                    <xdr:rowOff>0</xdr:rowOff>
                  </to>
                </anchor>
              </controlPr>
            </control>
          </mc:Choice>
        </mc:AlternateContent>
        <mc:AlternateContent xmlns:mc="http://schemas.openxmlformats.org/markup-compatibility/2006">
          <mc:Choice Requires="x14">
            <control shapeId="16393" r:id="rId12" name="Check Box 9">
              <controlPr defaultSize="0" autoFill="0" autoLine="0" autoPict="0">
                <anchor moveWithCells="1" sizeWithCells="1">
                  <from>
                    <xdr:col>26</xdr:col>
                    <xdr:colOff>0</xdr:colOff>
                    <xdr:row>19</xdr:row>
                    <xdr:rowOff>0</xdr:rowOff>
                  </from>
                  <to>
                    <xdr:col>26</xdr:col>
                    <xdr:colOff>0</xdr:colOff>
                    <xdr:row>19</xdr:row>
                    <xdr:rowOff>19050</xdr:rowOff>
                  </to>
                </anchor>
              </controlPr>
            </control>
          </mc:Choice>
        </mc:AlternateContent>
        <mc:AlternateContent xmlns:mc="http://schemas.openxmlformats.org/markup-compatibility/2006">
          <mc:Choice Requires="x14">
            <control shapeId="16394" r:id="rId13" name="Check Box 10">
              <controlPr defaultSize="0" autoFill="0" autoLine="0" autoPict="0">
                <anchor moveWithCells="1" sizeWithCells="1">
                  <from>
                    <xdr:col>26</xdr:col>
                    <xdr:colOff>0</xdr:colOff>
                    <xdr:row>19</xdr:row>
                    <xdr:rowOff>0</xdr:rowOff>
                  </from>
                  <to>
                    <xdr:col>26</xdr:col>
                    <xdr:colOff>0</xdr:colOff>
                    <xdr:row>20</xdr:row>
                    <xdr:rowOff>9525</xdr:rowOff>
                  </to>
                </anchor>
              </controlPr>
            </control>
          </mc:Choice>
        </mc:AlternateContent>
        <mc:AlternateContent xmlns:mc="http://schemas.openxmlformats.org/markup-compatibility/2006">
          <mc:Choice Requires="x14">
            <control shapeId="16395" r:id="rId14" name="Check Box 11">
              <controlPr defaultSize="0" autoFill="0" autoLine="0" autoPict="0">
                <anchor moveWithCells="1" sizeWithCells="1">
                  <from>
                    <xdr:col>26</xdr:col>
                    <xdr:colOff>0</xdr:colOff>
                    <xdr:row>19</xdr:row>
                    <xdr:rowOff>152400</xdr:rowOff>
                  </from>
                  <to>
                    <xdr:col>26</xdr:col>
                    <xdr:colOff>0</xdr:colOff>
                    <xdr:row>21</xdr:row>
                    <xdr:rowOff>19050</xdr:rowOff>
                  </to>
                </anchor>
              </controlPr>
            </control>
          </mc:Choice>
        </mc:AlternateContent>
        <mc:AlternateContent xmlns:mc="http://schemas.openxmlformats.org/markup-compatibility/2006">
          <mc:Choice Requires="x14">
            <control shapeId="16396" r:id="rId15" name="Check Box 12">
              <controlPr defaultSize="0" autoFill="0" autoLine="0" autoPict="0">
                <anchor moveWithCells="1" sizeWithCells="1">
                  <from>
                    <xdr:col>26</xdr:col>
                    <xdr:colOff>0</xdr:colOff>
                    <xdr:row>20</xdr:row>
                    <xdr:rowOff>142875</xdr:rowOff>
                  </from>
                  <to>
                    <xdr:col>26</xdr:col>
                    <xdr:colOff>0</xdr:colOff>
                    <xdr:row>22</xdr:row>
                    <xdr:rowOff>19050</xdr:rowOff>
                  </to>
                </anchor>
              </controlPr>
            </control>
          </mc:Choice>
        </mc:AlternateContent>
        <mc:AlternateContent xmlns:mc="http://schemas.openxmlformats.org/markup-compatibility/2006">
          <mc:Choice Requires="x14">
            <control shapeId="16397" r:id="rId16" name="Check Box 13">
              <controlPr defaultSize="0" autoFill="0" autoLine="0" autoPict="0">
                <anchor moveWithCells="1" sizeWithCells="1">
                  <from>
                    <xdr:col>26</xdr:col>
                    <xdr:colOff>0</xdr:colOff>
                    <xdr:row>21</xdr:row>
                    <xdr:rowOff>142875</xdr:rowOff>
                  </from>
                  <to>
                    <xdr:col>26</xdr:col>
                    <xdr:colOff>0</xdr:colOff>
                    <xdr:row>23</xdr:row>
                    <xdr:rowOff>19050</xdr:rowOff>
                  </to>
                </anchor>
              </controlPr>
            </control>
          </mc:Choice>
        </mc:AlternateContent>
        <mc:AlternateContent xmlns:mc="http://schemas.openxmlformats.org/markup-compatibility/2006">
          <mc:Choice Requires="x14">
            <control shapeId="16398" r:id="rId17" name="Check Box 14">
              <controlPr defaultSize="0" autoFill="0" autoLine="0" autoPict="0">
                <anchor moveWithCells="1" sizeWithCells="1">
                  <from>
                    <xdr:col>26</xdr:col>
                    <xdr:colOff>0</xdr:colOff>
                    <xdr:row>22</xdr:row>
                    <xdr:rowOff>142875</xdr:rowOff>
                  </from>
                  <to>
                    <xdr:col>26</xdr:col>
                    <xdr:colOff>0</xdr:colOff>
                    <xdr:row>25</xdr:row>
                    <xdr:rowOff>0</xdr:rowOff>
                  </to>
                </anchor>
              </controlPr>
            </control>
          </mc:Choice>
        </mc:AlternateContent>
        <mc:AlternateContent xmlns:mc="http://schemas.openxmlformats.org/markup-compatibility/2006">
          <mc:Choice Requires="x14">
            <control shapeId="16399" r:id="rId18" name="Check Box 15">
              <controlPr defaultSize="0" autoFill="0" autoLine="0" autoPict="0">
                <anchor moveWithCells="1" sizeWithCells="1">
                  <from>
                    <xdr:col>26</xdr:col>
                    <xdr:colOff>0</xdr:colOff>
                    <xdr:row>23</xdr:row>
                    <xdr:rowOff>142875</xdr:rowOff>
                  </from>
                  <to>
                    <xdr:col>26</xdr:col>
                    <xdr:colOff>0</xdr:colOff>
                    <xdr:row>25</xdr:row>
                    <xdr:rowOff>0</xdr:rowOff>
                  </to>
                </anchor>
              </controlPr>
            </control>
          </mc:Choice>
        </mc:AlternateContent>
        <mc:AlternateContent xmlns:mc="http://schemas.openxmlformats.org/markup-compatibility/2006">
          <mc:Choice Requires="x14">
            <control shapeId="16401" r:id="rId19" name="Check Box 17">
              <controlPr defaultSize="0" autoFill="0" autoLine="0" autoPict="0">
                <anchor moveWithCells="1" sizeWithCells="1">
                  <from>
                    <xdr:col>26</xdr:col>
                    <xdr:colOff>0</xdr:colOff>
                    <xdr:row>25</xdr:row>
                    <xdr:rowOff>0</xdr:rowOff>
                  </from>
                  <to>
                    <xdr:col>26</xdr:col>
                    <xdr:colOff>0</xdr:colOff>
                    <xdr:row>25</xdr:row>
                    <xdr:rowOff>0</xdr:rowOff>
                  </to>
                </anchor>
              </controlPr>
            </control>
          </mc:Choice>
        </mc:AlternateContent>
        <mc:AlternateContent xmlns:mc="http://schemas.openxmlformats.org/markup-compatibility/2006">
          <mc:Choice Requires="x14">
            <control shapeId="16402" r:id="rId20" name="Check Box 18">
              <controlPr defaultSize="0" autoFill="0" autoLine="0" autoPict="0">
                <anchor moveWithCells="1" sizeWithCells="1">
                  <from>
                    <xdr:col>26</xdr:col>
                    <xdr:colOff>0</xdr:colOff>
                    <xdr:row>25</xdr:row>
                    <xdr:rowOff>0</xdr:rowOff>
                  </from>
                  <to>
                    <xdr:col>26</xdr:col>
                    <xdr:colOff>0</xdr:colOff>
                    <xdr:row>25</xdr:row>
                    <xdr:rowOff>0</xdr:rowOff>
                  </to>
                </anchor>
              </controlPr>
            </control>
          </mc:Choice>
        </mc:AlternateContent>
        <mc:AlternateContent xmlns:mc="http://schemas.openxmlformats.org/markup-compatibility/2006">
          <mc:Choice Requires="x14">
            <control shapeId="16403" r:id="rId21" name="Check Box 19">
              <controlPr defaultSize="0" autoFill="0" autoLine="0" autoPict="0">
                <anchor moveWithCells="1" sizeWithCells="1">
                  <from>
                    <xdr:col>26</xdr:col>
                    <xdr:colOff>0</xdr:colOff>
                    <xdr:row>15</xdr:row>
                    <xdr:rowOff>142875</xdr:rowOff>
                  </from>
                  <to>
                    <xdr:col>26</xdr:col>
                    <xdr:colOff>0</xdr:colOff>
                    <xdr:row>17</xdr:row>
                    <xdr:rowOff>19050</xdr:rowOff>
                  </to>
                </anchor>
              </controlPr>
            </control>
          </mc:Choice>
        </mc:AlternateContent>
        <mc:AlternateContent xmlns:mc="http://schemas.openxmlformats.org/markup-compatibility/2006">
          <mc:Choice Requires="x14">
            <control shapeId="16404" r:id="rId22" name="Check Box 20">
              <controlPr defaultSize="0" autoFill="0" autoLine="0" autoPict="0">
                <anchor moveWithCells="1" sizeWithCells="1">
                  <from>
                    <xdr:col>26</xdr:col>
                    <xdr:colOff>0</xdr:colOff>
                    <xdr:row>16</xdr:row>
                    <xdr:rowOff>142875</xdr:rowOff>
                  </from>
                  <to>
                    <xdr:col>26</xdr:col>
                    <xdr:colOff>0</xdr:colOff>
                    <xdr:row>18</xdr:row>
                    <xdr:rowOff>19050</xdr:rowOff>
                  </to>
                </anchor>
              </controlPr>
            </control>
          </mc:Choice>
        </mc:AlternateContent>
        <mc:AlternateContent xmlns:mc="http://schemas.openxmlformats.org/markup-compatibility/2006">
          <mc:Choice Requires="x14">
            <control shapeId="16405" r:id="rId23" name="Check Box 21">
              <controlPr defaultSize="0" autoFill="0" autoLine="0" autoPict="0">
                <anchor moveWithCells="1" sizeWithCells="1">
                  <from>
                    <xdr:col>26</xdr:col>
                    <xdr:colOff>0</xdr:colOff>
                    <xdr:row>17</xdr:row>
                    <xdr:rowOff>142875</xdr:rowOff>
                  </from>
                  <to>
                    <xdr:col>26</xdr:col>
                    <xdr:colOff>0</xdr:colOff>
                    <xdr:row>19</xdr:row>
                    <xdr:rowOff>0</xdr:rowOff>
                  </to>
                </anchor>
              </controlPr>
            </control>
          </mc:Choice>
        </mc:AlternateContent>
        <mc:AlternateContent xmlns:mc="http://schemas.openxmlformats.org/markup-compatibility/2006">
          <mc:Choice Requires="x14">
            <control shapeId="16406" r:id="rId24" name="Check Box 22">
              <controlPr defaultSize="0" autoFill="0" autoLine="0" autoPict="0">
                <anchor moveWithCells="1" sizeWithCells="1">
                  <from>
                    <xdr:col>26</xdr:col>
                    <xdr:colOff>0</xdr:colOff>
                    <xdr:row>18</xdr:row>
                    <xdr:rowOff>142875</xdr:rowOff>
                  </from>
                  <to>
                    <xdr:col>26</xdr:col>
                    <xdr:colOff>0</xdr:colOff>
                    <xdr:row>19</xdr:row>
                    <xdr:rowOff>0</xdr:rowOff>
                  </to>
                </anchor>
              </controlPr>
            </control>
          </mc:Choice>
        </mc:AlternateContent>
        <mc:AlternateContent xmlns:mc="http://schemas.openxmlformats.org/markup-compatibility/2006">
          <mc:Choice Requires="x14">
            <control shapeId="16407" r:id="rId25" name="Check Box 23">
              <controlPr defaultSize="0" autoFill="0" autoLine="0" autoPict="0">
                <anchor moveWithCells="1" sizeWithCells="1">
                  <from>
                    <xdr:col>26</xdr:col>
                    <xdr:colOff>0</xdr:colOff>
                    <xdr:row>19</xdr:row>
                    <xdr:rowOff>0</xdr:rowOff>
                  </from>
                  <to>
                    <xdr:col>26</xdr:col>
                    <xdr:colOff>0</xdr:colOff>
                    <xdr:row>19</xdr:row>
                    <xdr:rowOff>0</xdr:rowOff>
                  </to>
                </anchor>
              </controlPr>
            </control>
          </mc:Choice>
        </mc:AlternateContent>
        <mc:AlternateContent xmlns:mc="http://schemas.openxmlformats.org/markup-compatibility/2006">
          <mc:Choice Requires="x14">
            <control shapeId="16408" r:id="rId26" name="Check Box 24">
              <controlPr defaultSize="0" autoFill="0" autoLine="0" autoPict="0">
                <anchor moveWithCells="1" sizeWithCells="1">
                  <from>
                    <xdr:col>26</xdr:col>
                    <xdr:colOff>0</xdr:colOff>
                    <xdr:row>19</xdr:row>
                    <xdr:rowOff>0</xdr:rowOff>
                  </from>
                  <to>
                    <xdr:col>26</xdr:col>
                    <xdr:colOff>0</xdr:colOff>
                    <xdr:row>19</xdr:row>
                    <xdr:rowOff>19050</xdr:rowOff>
                  </to>
                </anchor>
              </controlPr>
            </control>
          </mc:Choice>
        </mc:AlternateContent>
        <mc:AlternateContent xmlns:mc="http://schemas.openxmlformats.org/markup-compatibility/2006">
          <mc:Choice Requires="x14">
            <control shapeId="16409" r:id="rId27" name="Check Box 25">
              <controlPr defaultSize="0" autoFill="0" autoLine="0" autoPict="0">
                <anchor moveWithCells="1" sizeWithCells="1">
                  <from>
                    <xdr:col>26</xdr:col>
                    <xdr:colOff>0</xdr:colOff>
                    <xdr:row>19</xdr:row>
                    <xdr:rowOff>0</xdr:rowOff>
                  </from>
                  <to>
                    <xdr:col>26</xdr:col>
                    <xdr:colOff>0</xdr:colOff>
                    <xdr:row>20</xdr:row>
                    <xdr:rowOff>19050</xdr:rowOff>
                  </to>
                </anchor>
              </controlPr>
            </control>
          </mc:Choice>
        </mc:AlternateContent>
        <mc:AlternateContent xmlns:mc="http://schemas.openxmlformats.org/markup-compatibility/2006">
          <mc:Choice Requires="x14">
            <control shapeId="16410" r:id="rId28" name="Check Box 26">
              <controlPr defaultSize="0" autoFill="0" autoLine="0" autoPict="0">
                <anchor moveWithCells="1" sizeWithCells="1">
                  <from>
                    <xdr:col>26</xdr:col>
                    <xdr:colOff>0</xdr:colOff>
                    <xdr:row>19</xdr:row>
                    <xdr:rowOff>152400</xdr:rowOff>
                  </from>
                  <to>
                    <xdr:col>26</xdr:col>
                    <xdr:colOff>0</xdr:colOff>
                    <xdr:row>21</xdr:row>
                    <xdr:rowOff>19050</xdr:rowOff>
                  </to>
                </anchor>
              </controlPr>
            </control>
          </mc:Choice>
        </mc:AlternateContent>
        <mc:AlternateContent xmlns:mc="http://schemas.openxmlformats.org/markup-compatibility/2006">
          <mc:Choice Requires="x14">
            <control shapeId="16411" r:id="rId29" name="Check Box 27">
              <controlPr defaultSize="0" autoFill="0" autoLine="0" autoPict="0">
                <anchor moveWithCells="1" sizeWithCells="1">
                  <from>
                    <xdr:col>26</xdr:col>
                    <xdr:colOff>0</xdr:colOff>
                    <xdr:row>20</xdr:row>
                    <xdr:rowOff>142875</xdr:rowOff>
                  </from>
                  <to>
                    <xdr:col>26</xdr:col>
                    <xdr:colOff>0</xdr:colOff>
                    <xdr:row>22</xdr:row>
                    <xdr:rowOff>19050</xdr:rowOff>
                  </to>
                </anchor>
              </controlPr>
            </control>
          </mc:Choice>
        </mc:AlternateContent>
        <mc:AlternateContent xmlns:mc="http://schemas.openxmlformats.org/markup-compatibility/2006">
          <mc:Choice Requires="x14">
            <control shapeId="16412" r:id="rId30" name="Check Box 28">
              <controlPr defaultSize="0" autoFill="0" autoLine="0" autoPict="0">
                <anchor moveWithCells="1" sizeWithCells="1">
                  <from>
                    <xdr:col>26</xdr:col>
                    <xdr:colOff>0</xdr:colOff>
                    <xdr:row>21</xdr:row>
                    <xdr:rowOff>142875</xdr:rowOff>
                  </from>
                  <to>
                    <xdr:col>26</xdr:col>
                    <xdr:colOff>0</xdr:colOff>
                    <xdr:row>23</xdr:row>
                    <xdr:rowOff>19050</xdr:rowOff>
                  </to>
                </anchor>
              </controlPr>
            </control>
          </mc:Choice>
        </mc:AlternateContent>
        <mc:AlternateContent xmlns:mc="http://schemas.openxmlformats.org/markup-compatibility/2006">
          <mc:Choice Requires="x14">
            <control shapeId="16413" r:id="rId31" name="Check Box 29">
              <controlPr defaultSize="0" autoFill="0" autoLine="0" autoPict="0">
                <anchor moveWithCells="1" sizeWithCells="1">
                  <from>
                    <xdr:col>26</xdr:col>
                    <xdr:colOff>0</xdr:colOff>
                    <xdr:row>22</xdr:row>
                    <xdr:rowOff>142875</xdr:rowOff>
                  </from>
                  <to>
                    <xdr:col>26</xdr:col>
                    <xdr:colOff>0</xdr:colOff>
                    <xdr:row>25</xdr:row>
                    <xdr:rowOff>0</xdr:rowOff>
                  </to>
                </anchor>
              </controlPr>
            </control>
          </mc:Choice>
        </mc:AlternateContent>
        <mc:AlternateContent xmlns:mc="http://schemas.openxmlformats.org/markup-compatibility/2006">
          <mc:Choice Requires="x14">
            <control shapeId="16414" r:id="rId32" name="Check Box 30">
              <controlPr defaultSize="0" autoFill="0" autoLine="0" autoPict="0">
                <anchor moveWithCells="1" sizeWithCells="1">
                  <from>
                    <xdr:col>26</xdr:col>
                    <xdr:colOff>0</xdr:colOff>
                    <xdr:row>23</xdr:row>
                    <xdr:rowOff>142875</xdr:rowOff>
                  </from>
                  <to>
                    <xdr:col>26</xdr:col>
                    <xdr:colOff>0</xdr:colOff>
                    <xdr:row>25</xdr:row>
                    <xdr:rowOff>0</xdr:rowOff>
                  </to>
                </anchor>
              </controlPr>
            </control>
          </mc:Choice>
        </mc:AlternateContent>
        <mc:AlternateContent xmlns:mc="http://schemas.openxmlformats.org/markup-compatibility/2006">
          <mc:Choice Requires="x14">
            <control shapeId="16416" r:id="rId33" name="Check Box 32">
              <controlPr defaultSize="0" autoFill="0" autoLine="0" autoPict="0">
                <anchor moveWithCells="1" sizeWithCells="1">
                  <from>
                    <xdr:col>26</xdr:col>
                    <xdr:colOff>0</xdr:colOff>
                    <xdr:row>25</xdr:row>
                    <xdr:rowOff>0</xdr:rowOff>
                  </from>
                  <to>
                    <xdr:col>26</xdr:col>
                    <xdr:colOff>0</xdr:colOff>
                    <xdr:row>25</xdr:row>
                    <xdr:rowOff>0</xdr:rowOff>
                  </to>
                </anchor>
              </controlPr>
            </control>
          </mc:Choice>
        </mc:AlternateContent>
        <mc:AlternateContent xmlns:mc="http://schemas.openxmlformats.org/markup-compatibility/2006">
          <mc:Choice Requires="x14">
            <control shapeId="16417" r:id="rId34" name="Check Box 33">
              <controlPr defaultSize="0" autoFill="0" autoLine="0" autoPict="0">
                <anchor moveWithCells="1" sizeWithCells="1">
                  <from>
                    <xdr:col>26</xdr:col>
                    <xdr:colOff>0</xdr:colOff>
                    <xdr:row>25</xdr:row>
                    <xdr:rowOff>0</xdr:rowOff>
                  </from>
                  <to>
                    <xdr:col>26</xdr:col>
                    <xdr:colOff>0</xdr:colOff>
                    <xdr:row>25</xdr:row>
                    <xdr:rowOff>0</xdr:rowOff>
                  </to>
                </anchor>
              </controlPr>
            </control>
          </mc:Choice>
        </mc:AlternateContent>
        <mc:AlternateContent xmlns:mc="http://schemas.openxmlformats.org/markup-compatibility/2006">
          <mc:Choice Requires="x14">
            <control shapeId="16418" r:id="rId35" name="Check Box 34">
              <controlPr defaultSize="0" autoFill="0" autoLine="0" autoPict="0">
                <anchor moveWithCells="1" sizeWithCells="1">
                  <from>
                    <xdr:col>26</xdr:col>
                    <xdr:colOff>0</xdr:colOff>
                    <xdr:row>18</xdr:row>
                    <xdr:rowOff>161925</xdr:rowOff>
                  </from>
                  <to>
                    <xdr:col>26</xdr:col>
                    <xdr:colOff>0</xdr:colOff>
                    <xdr:row>19</xdr:row>
                    <xdr:rowOff>0</xdr:rowOff>
                  </to>
                </anchor>
              </controlPr>
            </control>
          </mc:Choice>
        </mc:AlternateContent>
        <mc:AlternateContent xmlns:mc="http://schemas.openxmlformats.org/markup-compatibility/2006">
          <mc:Choice Requires="x14">
            <control shapeId="16419" r:id="rId36" name="Check Box 35">
              <controlPr defaultSize="0" autoFill="0" autoLine="0" autoPict="0">
                <anchor moveWithCells="1" sizeWithCells="1">
                  <from>
                    <xdr:col>26</xdr:col>
                    <xdr:colOff>0</xdr:colOff>
                    <xdr:row>19</xdr:row>
                    <xdr:rowOff>0</xdr:rowOff>
                  </from>
                  <to>
                    <xdr:col>26</xdr:col>
                    <xdr:colOff>0</xdr:colOff>
                    <xdr:row>19</xdr:row>
                    <xdr:rowOff>0</xdr:rowOff>
                  </to>
                </anchor>
              </controlPr>
            </control>
          </mc:Choice>
        </mc:AlternateContent>
        <mc:AlternateContent xmlns:mc="http://schemas.openxmlformats.org/markup-compatibility/2006">
          <mc:Choice Requires="x14">
            <control shapeId="16420" r:id="rId37" name="Check Box 36">
              <controlPr defaultSize="0" autoFill="0" autoLine="0" autoPict="0">
                <anchor moveWithCells="1" sizeWithCells="1">
                  <from>
                    <xdr:col>26</xdr:col>
                    <xdr:colOff>0</xdr:colOff>
                    <xdr:row>19</xdr:row>
                    <xdr:rowOff>0</xdr:rowOff>
                  </from>
                  <to>
                    <xdr:col>26</xdr:col>
                    <xdr:colOff>0</xdr:colOff>
                    <xdr:row>19</xdr:row>
                    <xdr:rowOff>19050</xdr:rowOff>
                  </to>
                </anchor>
              </controlPr>
            </control>
          </mc:Choice>
        </mc:AlternateContent>
        <mc:AlternateContent xmlns:mc="http://schemas.openxmlformats.org/markup-compatibility/2006">
          <mc:Choice Requires="x14">
            <control shapeId="16421" r:id="rId38" name="Check Box 37">
              <controlPr defaultSize="0" autoFill="0" autoLine="0" autoPict="0">
                <anchor moveWithCells="1" sizeWithCells="1">
                  <from>
                    <xdr:col>26</xdr:col>
                    <xdr:colOff>0</xdr:colOff>
                    <xdr:row>19</xdr:row>
                    <xdr:rowOff>0</xdr:rowOff>
                  </from>
                  <to>
                    <xdr:col>26</xdr:col>
                    <xdr:colOff>0</xdr:colOff>
                    <xdr:row>20</xdr:row>
                    <xdr:rowOff>19050</xdr:rowOff>
                  </to>
                </anchor>
              </controlPr>
            </control>
          </mc:Choice>
        </mc:AlternateContent>
        <mc:AlternateContent xmlns:mc="http://schemas.openxmlformats.org/markup-compatibility/2006">
          <mc:Choice Requires="x14">
            <control shapeId="16422" r:id="rId39" name="Check Box 38">
              <controlPr defaultSize="0" autoFill="0" autoLine="0" autoPict="0">
                <anchor moveWithCells="1" sizeWithCells="1">
                  <from>
                    <xdr:col>26</xdr:col>
                    <xdr:colOff>0</xdr:colOff>
                    <xdr:row>19</xdr:row>
                    <xdr:rowOff>142875</xdr:rowOff>
                  </from>
                  <to>
                    <xdr:col>26</xdr:col>
                    <xdr:colOff>0</xdr:colOff>
                    <xdr:row>21</xdr:row>
                    <xdr:rowOff>9525</xdr:rowOff>
                  </to>
                </anchor>
              </controlPr>
            </control>
          </mc:Choice>
        </mc:AlternateContent>
        <mc:AlternateContent xmlns:mc="http://schemas.openxmlformats.org/markup-compatibility/2006">
          <mc:Choice Requires="x14">
            <control shapeId="16423" r:id="rId40" name="Check Box 39">
              <controlPr defaultSize="0" autoFill="0" autoLine="0" autoPict="0">
                <anchor moveWithCells="1" sizeWithCells="1">
                  <from>
                    <xdr:col>26</xdr:col>
                    <xdr:colOff>0</xdr:colOff>
                    <xdr:row>18</xdr:row>
                    <xdr:rowOff>57150</xdr:rowOff>
                  </from>
                  <to>
                    <xdr:col>26</xdr:col>
                    <xdr:colOff>0</xdr:colOff>
                    <xdr:row>19</xdr:row>
                    <xdr:rowOff>0</xdr:rowOff>
                  </to>
                </anchor>
              </controlPr>
            </control>
          </mc:Choice>
        </mc:AlternateContent>
        <mc:AlternateContent xmlns:mc="http://schemas.openxmlformats.org/markup-compatibility/2006">
          <mc:Choice Requires="x14">
            <control shapeId="16424" r:id="rId41" name="Check Box 40">
              <controlPr defaultSize="0" autoFill="0" autoLine="0" autoPict="0">
                <anchor moveWithCells="1" sizeWithCells="1">
                  <from>
                    <xdr:col>26</xdr:col>
                    <xdr:colOff>0</xdr:colOff>
                    <xdr:row>19</xdr:row>
                    <xdr:rowOff>0</xdr:rowOff>
                  </from>
                  <to>
                    <xdr:col>26</xdr:col>
                    <xdr:colOff>0</xdr:colOff>
                    <xdr:row>19</xdr:row>
                    <xdr:rowOff>0</xdr:rowOff>
                  </to>
                </anchor>
              </controlPr>
            </control>
          </mc:Choice>
        </mc:AlternateContent>
        <mc:AlternateContent xmlns:mc="http://schemas.openxmlformats.org/markup-compatibility/2006">
          <mc:Choice Requires="x14">
            <control shapeId="16425" r:id="rId42" name="Check Box 41">
              <controlPr defaultSize="0" autoFill="0" autoLine="0" autoPict="0">
                <anchor moveWithCells="1" sizeWithCells="1">
                  <from>
                    <xdr:col>26</xdr:col>
                    <xdr:colOff>0</xdr:colOff>
                    <xdr:row>19</xdr:row>
                    <xdr:rowOff>0</xdr:rowOff>
                  </from>
                  <to>
                    <xdr:col>26</xdr:col>
                    <xdr:colOff>0</xdr:colOff>
                    <xdr:row>19</xdr:row>
                    <xdr:rowOff>19050</xdr:rowOff>
                  </to>
                </anchor>
              </controlPr>
            </control>
          </mc:Choice>
        </mc:AlternateContent>
        <mc:AlternateContent xmlns:mc="http://schemas.openxmlformats.org/markup-compatibility/2006">
          <mc:Choice Requires="x14">
            <control shapeId="16426" r:id="rId43" name="Check Box 42">
              <controlPr defaultSize="0" autoFill="0" autoLine="0" autoPict="0">
                <anchor moveWithCells="1" sizeWithCells="1">
                  <from>
                    <xdr:col>26</xdr:col>
                    <xdr:colOff>0</xdr:colOff>
                    <xdr:row>19</xdr:row>
                    <xdr:rowOff>0</xdr:rowOff>
                  </from>
                  <to>
                    <xdr:col>26</xdr:col>
                    <xdr:colOff>0</xdr:colOff>
                    <xdr:row>20</xdr:row>
                    <xdr:rowOff>19050</xdr:rowOff>
                  </to>
                </anchor>
              </controlPr>
            </control>
          </mc:Choice>
        </mc:AlternateContent>
        <mc:AlternateContent xmlns:mc="http://schemas.openxmlformats.org/markup-compatibility/2006">
          <mc:Choice Requires="x14">
            <control shapeId="16427" r:id="rId44" name="Check Box 43">
              <controlPr defaultSize="0" autoFill="0" autoLine="0" autoPict="0">
                <anchor moveWithCells="1" sizeWithCells="1">
                  <from>
                    <xdr:col>26</xdr:col>
                    <xdr:colOff>0</xdr:colOff>
                    <xdr:row>19</xdr:row>
                    <xdr:rowOff>142875</xdr:rowOff>
                  </from>
                  <to>
                    <xdr:col>26</xdr:col>
                    <xdr:colOff>0</xdr:colOff>
                    <xdr:row>21</xdr:row>
                    <xdr:rowOff>9525</xdr:rowOff>
                  </to>
                </anchor>
              </controlPr>
            </control>
          </mc:Choice>
        </mc:AlternateContent>
        <mc:AlternateContent xmlns:mc="http://schemas.openxmlformats.org/markup-compatibility/2006">
          <mc:Choice Requires="x14">
            <control shapeId="16428" r:id="rId45" name="Check Box 44">
              <controlPr defaultSize="0" autoFill="0" autoLine="0" autoPict="0">
                <anchor moveWithCells="1" sizeWithCells="1">
                  <from>
                    <xdr:col>26</xdr:col>
                    <xdr:colOff>0</xdr:colOff>
                    <xdr:row>15</xdr:row>
                    <xdr:rowOff>142875</xdr:rowOff>
                  </from>
                  <to>
                    <xdr:col>26</xdr:col>
                    <xdr:colOff>0</xdr:colOff>
                    <xdr:row>17</xdr:row>
                    <xdr:rowOff>19050</xdr:rowOff>
                  </to>
                </anchor>
              </controlPr>
            </control>
          </mc:Choice>
        </mc:AlternateContent>
        <mc:AlternateContent xmlns:mc="http://schemas.openxmlformats.org/markup-compatibility/2006">
          <mc:Choice Requires="x14">
            <control shapeId="16429" r:id="rId46" name="Check Box 45">
              <controlPr defaultSize="0" autoFill="0" autoLine="0" autoPict="0">
                <anchor moveWithCells="1" sizeWithCells="1">
                  <from>
                    <xdr:col>26</xdr:col>
                    <xdr:colOff>0</xdr:colOff>
                    <xdr:row>15</xdr:row>
                    <xdr:rowOff>142875</xdr:rowOff>
                  </from>
                  <to>
                    <xdr:col>26</xdr:col>
                    <xdr:colOff>0</xdr:colOff>
                    <xdr:row>17</xdr:row>
                    <xdr:rowOff>19050</xdr:rowOff>
                  </to>
                </anchor>
              </controlPr>
            </control>
          </mc:Choice>
        </mc:AlternateContent>
        <mc:AlternateContent xmlns:mc="http://schemas.openxmlformats.org/markup-compatibility/2006">
          <mc:Choice Requires="x14">
            <control shapeId="16430" r:id="rId47" name="Check Box 46">
              <controlPr defaultSize="0" autoFill="0" autoLine="0" autoPict="0">
                <anchor moveWithCells="1" sizeWithCells="1">
                  <from>
                    <xdr:col>26</xdr:col>
                    <xdr:colOff>0</xdr:colOff>
                    <xdr:row>51</xdr:row>
                    <xdr:rowOff>152400</xdr:rowOff>
                  </from>
                  <to>
                    <xdr:col>26</xdr:col>
                    <xdr:colOff>0</xdr:colOff>
                    <xdr:row>53</xdr:row>
                    <xdr:rowOff>19050</xdr:rowOff>
                  </to>
                </anchor>
              </controlPr>
            </control>
          </mc:Choice>
        </mc:AlternateContent>
        <mc:AlternateContent xmlns:mc="http://schemas.openxmlformats.org/markup-compatibility/2006">
          <mc:Choice Requires="x14">
            <control shapeId="16431" r:id="rId48" name="Check Box 47">
              <controlPr defaultSize="0" autoFill="0" autoLine="0" autoPict="0">
                <anchor moveWithCells="1" sizeWithCells="1">
                  <from>
                    <xdr:col>26</xdr:col>
                    <xdr:colOff>0</xdr:colOff>
                    <xdr:row>52</xdr:row>
                    <xdr:rowOff>152400</xdr:rowOff>
                  </from>
                  <to>
                    <xdr:col>26</xdr:col>
                    <xdr:colOff>0</xdr:colOff>
                    <xdr:row>54</xdr:row>
                    <xdr:rowOff>19050</xdr:rowOff>
                  </to>
                </anchor>
              </controlPr>
            </control>
          </mc:Choice>
        </mc:AlternateContent>
        <mc:AlternateContent xmlns:mc="http://schemas.openxmlformats.org/markup-compatibility/2006">
          <mc:Choice Requires="x14">
            <control shapeId="16432" r:id="rId49" name="Check Box 48">
              <controlPr defaultSize="0" autoFill="0" autoLine="0" autoPict="0">
                <anchor moveWithCells="1" sizeWithCells="1">
                  <from>
                    <xdr:col>26</xdr:col>
                    <xdr:colOff>0</xdr:colOff>
                    <xdr:row>5</xdr:row>
                    <xdr:rowOff>266700</xdr:rowOff>
                  </from>
                  <to>
                    <xdr:col>26</xdr:col>
                    <xdr:colOff>0</xdr:colOff>
                    <xdr:row>7</xdr:row>
                    <xdr:rowOff>95250</xdr:rowOff>
                  </to>
                </anchor>
              </controlPr>
            </control>
          </mc:Choice>
        </mc:AlternateContent>
        <mc:AlternateContent xmlns:mc="http://schemas.openxmlformats.org/markup-compatibility/2006">
          <mc:Choice Requires="x14">
            <control shapeId="16433" r:id="rId50" name="Check Box 49">
              <controlPr defaultSize="0" autoFill="0" autoLine="0" autoPict="0">
                <anchor moveWithCells="1" sizeWithCells="1">
                  <from>
                    <xdr:col>26</xdr:col>
                    <xdr:colOff>0</xdr:colOff>
                    <xdr:row>6</xdr:row>
                    <xdr:rowOff>142875</xdr:rowOff>
                  </from>
                  <to>
                    <xdr:col>26</xdr:col>
                    <xdr:colOff>0</xdr:colOff>
                    <xdr:row>8</xdr:row>
                    <xdr:rowOff>19050</xdr:rowOff>
                  </to>
                </anchor>
              </controlPr>
            </control>
          </mc:Choice>
        </mc:AlternateContent>
        <mc:AlternateContent xmlns:mc="http://schemas.openxmlformats.org/markup-compatibility/2006">
          <mc:Choice Requires="x14">
            <control shapeId="16434" r:id="rId51" name="Check Box 50">
              <controlPr defaultSize="0" autoFill="0" autoLine="0" autoPict="0">
                <anchor moveWithCells="1" sizeWithCells="1">
                  <from>
                    <xdr:col>26</xdr:col>
                    <xdr:colOff>0</xdr:colOff>
                    <xdr:row>3</xdr:row>
                    <xdr:rowOff>57150</xdr:rowOff>
                  </from>
                  <to>
                    <xdr:col>26</xdr:col>
                    <xdr:colOff>0</xdr:colOff>
                    <xdr:row>3</xdr:row>
                    <xdr:rowOff>104775</xdr:rowOff>
                  </to>
                </anchor>
              </controlPr>
            </control>
          </mc:Choice>
        </mc:AlternateContent>
        <mc:AlternateContent xmlns:mc="http://schemas.openxmlformats.org/markup-compatibility/2006">
          <mc:Choice Requires="x14">
            <control shapeId="16435" r:id="rId52" name="Check Box 51">
              <controlPr defaultSize="0" autoFill="0" autoLine="0" autoPict="0">
                <anchor moveWithCells="1" sizeWithCells="1">
                  <from>
                    <xdr:col>26</xdr:col>
                    <xdr:colOff>0</xdr:colOff>
                    <xdr:row>3</xdr:row>
                    <xdr:rowOff>57150</xdr:rowOff>
                  </from>
                  <to>
                    <xdr:col>26</xdr:col>
                    <xdr:colOff>0</xdr:colOff>
                    <xdr:row>3</xdr:row>
                    <xdr:rowOff>104775</xdr:rowOff>
                  </to>
                </anchor>
              </controlPr>
            </control>
          </mc:Choice>
        </mc:AlternateContent>
        <mc:AlternateContent xmlns:mc="http://schemas.openxmlformats.org/markup-compatibility/2006">
          <mc:Choice Requires="x14">
            <control shapeId="16436" r:id="rId53" name="Check Box 52">
              <controlPr defaultSize="0" autoFill="0" autoLine="0" autoPict="0">
                <anchor moveWithCells="1" sizeWithCells="1">
                  <from>
                    <xdr:col>26</xdr:col>
                    <xdr:colOff>0</xdr:colOff>
                    <xdr:row>3</xdr:row>
                    <xdr:rowOff>57150</xdr:rowOff>
                  </from>
                  <to>
                    <xdr:col>26</xdr:col>
                    <xdr:colOff>0</xdr:colOff>
                    <xdr:row>3</xdr:row>
                    <xdr:rowOff>104775</xdr:rowOff>
                  </to>
                </anchor>
              </controlPr>
            </control>
          </mc:Choice>
        </mc:AlternateContent>
        <mc:AlternateContent xmlns:mc="http://schemas.openxmlformats.org/markup-compatibility/2006">
          <mc:Choice Requires="x14">
            <control shapeId="16437" r:id="rId54" name="Check Box 53">
              <controlPr defaultSize="0" autoFill="0" autoLine="0" autoPict="0">
                <anchor moveWithCells="1" sizeWithCells="1">
                  <from>
                    <xdr:col>26</xdr:col>
                    <xdr:colOff>0</xdr:colOff>
                    <xdr:row>18</xdr:row>
                    <xdr:rowOff>142875</xdr:rowOff>
                  </from>
                  <to>
                    <xdr:col>26</xdr:col>
                    <xdr:colOff>0</xdr:colOff>
                    <xdr:row>19</xdr:row>
                    <xdr:rowOff>0</xdr:rowOff>
                  </to>
                </anchor>
              </controlPr>
            </control>
          </mc:Choice>
        </mc:AlternateContent>
        <mc:AlternateContent xmlns:mc="http://schemas.openxmlformats.org/markup-compatibility/2006">
          <mc:Choice Requires="x14">
            <control shapeId="16438" r:id="rId55" name="Check Box 54">
              <controlPr defaultSize="0" autoFill="0" autoLine="0" autoPict="0">
                <anchor moveWithCells="1" sizeWithCells="1">
                  <from>
                    <xdr:col>26</xdr:col>
                    <xdr:colOff>0</xdr:colOff>
                    <xdr:row>21</xdr:row>
                    <xdr:rowOff>142875</xdr:rowOff>
                  </from>
                  <to>
                    <xdr:col>26</xdr:col>
                    <xdr:colOff>0</xdr:colOff>
                    <xdr:row>23</xdr:row>
                    <xdr:rowOff>19050</xdr:rowOff>
                  </to>
                </anchor>
              </controlPr>
            </control>
          </mc:Choice>
        </mc:AlternateContent>
        <mc:AlternateContent xmlns:mc="http://schemas.openxmlformats.org/markup-compatibility/2006">
          <mc:Choice Requires="x14">
            <control shapeId="16439" r:id="rId56" name="Check Box 55">
              <controlPr defaultSize="0" autoFill="0" autoLine="0" autoPict="0">
                <anchor moveWithCells="1" sizeWithCells="1">
                  <from>
                    <xdr:col>26</xdr:col>
                    <xdr:colOff>0</xdr:colOff>
                    <xdr:row>21</xdr:row>
                    <xdr:rowOff>142875</xdr:rowOff>
                  </from>
                  <to>
                    <xdr:col>26</xdr:col>
                    <xdr:colOff>0</xdr:colOff>
                    <xdr:row>23</xdr:row>
                    <xdr:rowOff>19050</xdr:rowOff>
                  </to>
                </anchor>
              </controlPr>
            </control>
          </mc:Choice>
        </mc:AlternateContent>
        <mc:AlternateContent xmlns:mc="http://schemas.openxmlformats.org/markup-compatibility/2006">
          <mc:Choice Requires="x14">
            <control shapeId="16442" r:id="rId57" name="Check Box 58">
              <controlPr defaultSize="0" autoFill="0" autoLine="0" autoPict="0">
                <anchor moveWithCells="1" sizeWithCells="1">
                  <from>
                    <xdr:col>26</xdr:col>
                    <xdr:colOff>0</xdr:colOff>
                    <xdr:row>18</xdr:row>
                    <xdr:rowOff>161925</xdr:rowOff>
                  </from>
                  <to>
                    <xdr:col>26</xdr:col>
                    <xdr:colOff>0</xdr:colOff>
                    <xdr:row>19</xdr:row>
                    <xdr:rowOff>0</xdr:rowOff>
                  </to>
                </anchor>
              </controlPr>
            </control>
          </mc:Choice>
        </mc:AlternateContent>
        <mc:AlternateContent xmlns:mc="http://schemas.openxmlformats.org/markup-compatibility/2006">
          <mc:Choice Requires="x14">
            <control shapeId="16443" r:id="rId58" name="Check Box 59">
              <controlPr defaultSize="0" autoFill="0" autoLine="0" autoPict="0">
                <anchor moveWithCells="1" sizeWithCells="1">
                  <from>
                    <xdr:col>26</xdr:col>
                    <xdr:colOff>0</xdr:colOff>
                    <xdr:row>19</xdr:row>
                    <xdr:rowOff>0</xdr:rowOff>
                  </from>
                  <to>
                    <xdr:col>26</xdr:col>
                    <xdr:colOff>0</xdr:colOff>
                    <xdr:row>19</xdr:row>
                    <xdr:rowOff>0</xdr:rowOff>
                  </to>
                </anchor>
              </controlPr>
            </control>
          </mc:Choice>
        </mc:AlternateContent>
        <mc:AlternateContent xmlns:mc="http://schemas.openxmlformats.org/markup-compatibility/2006">
          <mc:Choice Requires="x14">
            <control shapeId="16444" r:id="rId59" name="Check Box 60">
              <controlPr defaultSize="0" autoFill="0" autoLine="0" autoPict="0">
                <anchor moveWithCells="1" sizeWithCells="1">
                  <from>
                    <xdr:col>26</xdr:col>
                    <xdr:colOff>0</xdr:colOff>
                    <xdr:row>19</xdr:row>
                    <xdr:rowOff>0</xdr:rowOff>
                  </from>
                  <to>
                    <xdr:col>26</xdr:col>
                    <xdr:colOff>0</xdr:colOff>
                    <xdr:row>19</xdr:row>
                    <xdr:rowOff>19050</xdr:rowOff>
                  </to>
                </anchor>
              </controlPr>
            </control>
          </mc:Choice>
        </mc:AlternateContent>
        <mc:AlternateContent xmlns:mc="http://schemas.openxmlformats.org/markup-compatibility/2006">
          <mc:Choice Requires="x14">
            <control shapeId="16445" r:id="rId60" name="Check Box 61">
              <controlPr defaultSize="0" autoFill="0" autoLine="0" autoPict="0">
                <anchor moveWithCells="1" sizeWithCells="1">
                  <from>
                    <xdr:col>26</xdr:col>
                    <xdr:colOff>0</xdr:colOff>
                    <xdr:row>19</xdr:row>
                    <xdr:rowOff>0</xdr:rowOff>
                  </from>
                  <to>
                    <xdr:col>26</xdr:col>
                    <xdr:colOff>0</xdr:colOff>
                    <xdr:row>20</xdr:row>
                    <xdr:rowOff>19050</xdr:rowOff>
                  </to>
                </anchor>
              </controlPr>
            </control>
          </mc:Choice>
        </mc:AlternateContent>
        <mc:AlternateContent xmlns:mc="http://schemas.openxmlformats.org/markup-compatibility/2006">
          <mc:Choice Requires="x14">
            <control shapeId="16446" r:id="rId61" name="Check Box 62">
              <controlPr defaultSize="0" autoFill="0" autoLine="0" autoPict="0">
                <anchor moveWithCells="1" sizeWithCells="1">
                  <from>
                    <xdr:col>26</xdr:col>
                    <xdr:colOff>0</xdr:colOff>
                    <xdr:row>19</xdr:row>
                    <xdr:rowOff>142875</xdr:rowOff>
                  </from>
                  <to>
                    <xdr:col>26</xdr:col>
                    <xdr:colOff>0</xdr:colOff>
                    <xdr:row>21</xdr:row>
                    <xdr:rowOff>9525</xdr:rowOff>
                  </to>
                </anchor>
              </controlPr>
            </control>
          </mc:Choice>
        </mc:AlternateContent>
        <mc:AlternateContent xmlns:mc="http://schemas.openxmlformats.org/markup-compatibility/2006">
          <mc:Choice Requires="x14">
            <control shapeId="16447" r:id="rId62" name="Check Box 63">
              <controlPr defaultSize="0" autoFill="0" autoLine="0" autoPict="0">
                <anchor moveWithCells="1" sizeWithCells="1">
                  <from>
                    <xdr:col>26</xdr:col>
                    <xdr:colOff>0</xdr:colOff>
                    <xdr:row>19</xdr:row>
                    <xdr:rowOff>0</xdr:rowOff>
                  </from>
                  <to>
                    <xdr:col>26</xdr:col>
                    <xdr:colOff>0</xdr:colOff>
                    <xdr:row>19</xdr:row>
                    <xdr:rowOff>0</xdr:rowOff>
                  </to>
                </anchor>
              </controlPr>
            </control>
          </mc:Choice>
        </mc:AlternateContent>
        <mc:AlternateContent xmlns:mc="http://schemas.openxmlformats.org/markup-compatibility/2006">
          <mc:Choice Requires="x14">
            <control shapeId="16448" r:id="rId63" name="Check Box 64">
              <controlPr defaultSize="0" autoFill="0" autoLine="0" autoPict="0">
                <anchor moveWithCells="1" sizeWithCells="1">
                  <from>
                    <xdr:col>26</xdr:col>
                    <xdr:colOff>0</xdr:colOff>
                    <xdr:row>19</xdr:row>
                    <xdr:rowOff>0</xdr:rowOff>
                  </from>
                  <to>
                    <xdr:col>26</xdr:col>
                    <xdr:colOff>0</xdr:colOff>
                    <xdr:row>19</xdr:row>
                    <xdr:rowOff>19050</xdr:rowOff>
                  </to>
                </anchor>
              </controlPr>
            </control>
          </mc:Choice>
        </mc:AlternateContent>
        <mc:AlternateContent xmlns:mc="http://schemas.openxmlformats.org/markup-compatibility/2006">
          <mc:Choice Requires="x14">
            <control shapeId="16449" r:id="rId64" name="Check Box 65">
              <controlPr defaultSize="0" autoFill="0" autoLine="0" autoPict="0">
                <anchor moveWithCells="1" sizeWithCells="1">
                  <from>
                    <xdr:col>26</xdr:col>
                    <xdr:colOff>0</xdr:colOff>
                    <xdr:row>19</xdr:row>
                    <xdr:rowOff>0</xdr:rowOff>
                  </from>
                  <to>
                    <xdr:col>26</xdr:col>
                    <xdr:colOff>0</xdr:colOff>
                    <xdr:row>20</xdr:row>
                    <xdr:rowOff>19050</xdr:rowOff>
                  </to>
                </anchor>
              </controlPr>
            </control>
          </mc:Choice>
        </mc:AlternateContent>
        <mc:AlternateContent xmlns:mc="http://schemas.openxmlformats.org/markup-compatibility/2006">
          <mc:Choice Requires="x14">
            <control shapeId="16450" r:id="rId65" name="Check Box 66">
              <controlPr defaultSize="0" autoFill="0" autoLine="0" autoPict="0">
                <anchor moveWithCells="1" sizeWithCells="1">
                  <from>
                    <xdr:col>26</xdr:col>
                    <xdr:colOff>0</xdr:colOff>
                    <xdr:row>19</xdr:row>
                    <xdr:rowOff>142875</xdr:rowOff>
                  </from>
                  <to>
                    <xdr:col>26</xdr:col>
                    <xdr:colOff>0</xdr:colOff>
                    <xdr:row>21</xdr:row>
                    <xdr:rowOff>9525</xdr:rowOff>
                  </to>
                </anchor>
              </controlPr>
            </control>
          </mc:Choice>
        </mc:AlternateContent>
        <mc:AlternateContent xmlns:mc="http://schemas.openxmlformats.org/markup-compatibility/2006">
          <mc:Choice Requires="x14">
            <control shapeId="16451" r:id="rId66" name="Check Box 67">
              <controlPr defaultSize="0" autoFill="0" autoLine="0" autoPict="0">
                <anchor moveWithCells="1">
                  <from>
                    <xdr:col>26</xdr:col>
                    <xdr:colOff>0</xdr:colOff>
                    <xdr:row>3</xdr:row>
                    <xdr:rowOff>114300</xdr:rowOff>
                  </from>
                  <to>
                    <xdr:col>28</xdr:col>
                    <xdr:colOff>19050</xdr:colOff>
                    <xdr:row>4</xdr:row>
                    <xdr:rowOff>66675</xdr:rowOff>
                  </to>
                </anchor>
              </controlPr>
            </control>
          </mc:Choice>
        </mc:AlternateContent>
        <mc:AlternateContent xmlns:mc="http://schemas.openxmlformats.org/markup-compatibility/2006">
          <mc:Choice Requires="x14">
            <control shapeId="16452" r:id="rId67" name="Check Box 68">
              <controlPr defaultSize="0" autoFill="0" autoLine="0" autoPict="0">
                <anchor moveWithCells="1" sizeWithCells="1">
                  <from>
                    <xdr:col>0</xdr:col>
                    <xdr:colOff>76200</xdr:colOff>
                    <xdr:row>3</xdr:row>
                    <xdr:rowOff>9525</xdr:rowOff>
                  </from>
                  <to>
                    <xdr:col>1</xdr:col>
                    <xdr:colOff>104775</xdr:colOff>
                    <xdr:row>3</xdr:row>
                    <xdr:rowOff>228600</xdr:rowOff>
                  </to>
                </anchor>
              </controlPr>
            </control>
          </mc:Choice>
        </mc:AlternateContent>
        <mc:AlternateContent xmlns:mc="http://schemas.openxmlformats.org/markup-compatibility/2006">
          <mc:Choice Requires="x14">
            <control shapeId="16453" r:id="rId68" name="Check Box 69">
              <controlPr locked="0" defaultSize="0" autoFill="0" autoLine="0" autoPict="0">
                <anchor moveWithCells="1" sizeWithCells="1">
                  <from>
                    <xdr:col>8</xdr:col>
                    <xdr:colOff>76200</xdr:colOff>
                    <xdr:row>3</xdr:row>
                    <xdr:rowOff>0</xdr:rowOff>
                  </from>
                  <to>
                    <xdr:col>9</xdr:col>
                    <xdr:colOff>104775</xdr:colOff>
                    <xdr:row>3</xdr:row>
                    <xdr:rowOff>219075</xdr:rowOff>
                  </to>
                </anchor>
              </controlPr>
            </control>
          </mc:Choice>
        </mc:AlternateContent>
        <mc:AlternateContent xmlns:mc="http://schemas.openxmlformats.org/markup-compatibility/2006">
          <mc:Choice Requires="x14">
            <control shapeId="16456" r:id="rId69" name="Check Box 72">
              <controlPr defaultSize="0" autoFill="0" autoLine="0" autoPict="0">
                <anchor moveWithCells="1" sizeWithCells="1">
                  <from>
                    <xdr:col>26</xdr:col>
                    <xdr:colOff>76200</xdr:colOff>
                    <xdr:row>3</xdr:row>
                    <xdr:rowOff>9525</xdr:rowOff>
                  </from>
                  <to>
                    <xdr:col>27</xdr:col>
                    <xdr:colOff>104775</xdr:colOff>
                    <xdr:row>3</xdr:row>
                    <xdr:rowOff>228600</xdr:rowOff>
                  </to>
                </anchor>
              </controlPr>
            </control>
          </mc:Choice>
        </mc:AlternateContent>
        <mc:AlternateContent xmlns:mc="http://schemas.openxmlformats.org/markup-compatibility/2006">
          <mc:Choice Requires="x14">
            <control shapeId="16457" r:id="rId70" name="Check Box 73">
              <controlPr defaultSize="0" autoFill="0" autoLine="0" autoPict="0">
                <anchor moveWithCells="1" sizeWithCells="1">
                  <from>
                    <xdr:col>34</xdr:col>
                    <xdr:colOff>76200</xdr:colOff>
                    <xdr:row>3</xdr:row>
                    <xdr:rowOff>0</xdr:rowOff>
                  </from>
                  <to>
                    <xdr:col>35</xdr:col>
                    <xdr:colOff>104775</xdr:colOff>
                    <xdr:row>3</xdr:row>
                    <xdr:rowOff>219075</xdr:rowOff>
                  </to>
                </anchor>
              </controlPr>
            </control>
          </mc:Choice>
        </mc:AlternateContent>
        <mc:AlternateContent xmlns:mc="http://schemas.openxmlformats.org/markup-compatibility/2006">
          <mc:Choice Requires="x14">
            <control shapeId="16458" r:id="rId71" name="Check Box 74">
              <controlPr defaultSize="0" autoFill="0" autoLine="0" autoPict="0">
                <anchor moveWithCells="1" sizeWithCells="1">
                  <from>
                    <xdr:col>40</xdr:col>
                    <xdr:colOff>85725</xdr:colOff>
                    <xdr:row>14</xdr:row>
                    <xdr:rowOff>0</xdr:rowOff>
                  </from>
                  <to>
                    <xdr:col>41</xdr:col>
                    <xdr:colOff>114300</xdr:colOff>
                    <xdr:row>15</xdr:row>
                    <xdr:rowOff>28575</xdr:rowOff>
                  </to>
                </anchor>
              </controlPr>
            </control>
          </mc:Choice>
        </mc:AlternateContent>
        <mc:AlternateContent xmlns:mc="http://schemas.openxmlformats.org/markup-compatibility/2006">
          <mc:Choice Requires="x14">
            <control shapeId="16459" r:id="rId72" name="Check Box 75">
              <controlPr defaultSize="0" autoFill="0" autoLine="0" autoPict="0">
                <anchor moveWithCells="1" sizeWithCells="1">
                  <from>
                    <xdr:col>40</xdr:col>
                    <xdr:colOff>85725</xdr:colOff>
                    <xdr:row>14</xdr:row>
                    <xdr:rowOff>152400</xdr:rowOff>
                  </from>
                  <to>
                    <xdr:col>41</xdr:col>
                    <xdr:colOff>114300</xdr:colOff>
                    <xdr:row>16</xdr:row>
                    <xdr:rowOff>38100</xdr:rowOff>
                  </to>
                </anchor>
              </controlPr>
            </control>
          </mc:Choice>
        </mc:AlternateContent>
        <mc:AlternateContent xmlns:mc="http://schemas.openxmlformats.org/markup-compatibility/2006">
          <mc:Choice Requires="x14">
            <control shapeId="16460" r:id="rId73" name="Check Box 76">
              <controlPr defaultSize="0" autoFill="0" autoLine="0" autoPict="0">
                <anchor moveWithCells="1" sizeWithCells="1">
                  <from>
                    <xdr:col>14</xdr:col>
                    <xdr:colOff>28575</xdr:colOff>
                    <xdr:row>13</xdr:row>
                    <xdr:rowOff>228600</xdr:rowOff>
                  </from>
                  <to>
                    <xdr:col>15</xdr:col>
                    <xdr:colOff>57150</xdr:colOff>
                    <xdr:row>15</xdr:row>
                    <xdr:rowOff>19050</xdr:rowOff>
                  </to>
                </anchor>
              </controlPr>
            </control>
          </mc:Choice>
        </mc:AlternateContent>
        <mc:AlternateContent xmlns:mc="http://schemas.openxmlformats.org/markup-compatibility/2006">
          <mc:Choice Requires="x14">
            <control shapeId="16461" r:id="rId74" name="Check Box 77">
              <controlPr defaultSize="0" autoFill="0" autoLine="0" autoPict="0">
                <anchor moveWithCells="1" sizeWithCells="1">
                  <from>
                    <xdr:col>14</xdr:col>
                    <xdr:colOff>28575</xdr:colOff>
                    <xdr:row>14</xdr:row>
                    <xdr:rowOff>142875</xdr:rowOff>
                  </from>
                  <to>
                    <xdr:col>15</xdr:col>
                    <xdr:colOff>57150</xdr:colOff>
                    <xdr:row>16</xdr:row>
                    <xdr:rowOff>28575</xdr:rowOff>
                  </to>
                </anchor>
              </controlPr>
            </control>
          </mc:Choice>
        </mc:AlternateContent>
        <mc:AlternateContent xmlns:mc="http://schemas.openxmlformats.org/markup-compatibility/2006">
          <mc:Choice Requires="x14">
            <control shapeId="16852" r:id="rId75" name="Check Box 468">
              <controlPr defaultSize="0" autoFill="0" autoLine="0" autoPict="0">
                <anchor moveWithCells="1" sizeWithCells="1">
                  <from>
                    <xdr:col>33</xdr:col>
                    <xdr:colOff>38100</xdr:colOff>
                    <xdr:row>19</xdr:row>
                    <xdr:rowOff>0</xdr:rowOff>
                  </from>
                  <to>
                    <xdr:col>34</xdr:col>
                    <xdr:colOff>66675</xdr:colOff>
                    <xdr:row>20</xdr:row>
                    <xdr:rowOff>19050</xdr:rowOff>
                  </to>
                </anchor>
              </controlPr>
            </control>
          </mc:Choice>
        </mc:AlternateContent>
        <mc:AlternateContent xmlns:mc="http://schemas.openxmlformats.org/markup-compatibility/2006">
          <mc:Choice Requires="x14">
            <control shapeId="16853" r:id="rId76" name="Check Box 469">
              <controlPr defaultSize="0" autoFill="0" autoLine="0" autoPict="0">
                <anchor moveWithCells="1" sizeWithCells="1">
                  <from>
                    <xdr:col>30</xdr:col>
                    <xdr:colOff>47625</xdr:colOff>
                    <xdr:row>19</xdr:row>
                    <xdr:rowOff>0</xdr:rowOff>
                  </from>
                  <to>
                    <xdr:col>31</xdr:col>
                    <xdr:colOff>76200</xdr:colOff>
                    <xdr:row>20</xdr:row>
                    <xdr:rowOff>19050</xdr:rowOff>
                  </to>
                </anchor>
              </controlPr>
            </control>
          </mc:Choice>
        </mc:AlternateContent>
        <mc:AlternateContent xmlns:mc="http://schemas.openxmlformats.org/markup-compatibility/2006">
          <mc:Choice Requires="x14">
            <control shapeId="16859" r:id="rId77" name="Check Box 475">
              <controlPr defaultSize="0" autoFill="0" autoLine="0" autoPict="0">
                <anchor moveWithCells="1" sizeWithCells="1">
                  <from>
                    <xdr:col>31</xdr:col>
                    <xdr:colOff>104775</xdr:colOff>
                    <xdr:row>3</xdr:row>
                    <xdr:rowOff>57150</xdr:rowOff>
                  </from>
                  <to>
                    <xdr:col>32</xdr:col>
                    <xdr:colOff>133350</xdr:colOff>
                    <xdr:row>3</xdr:row>
                    <xdr:rowOff>104775</xdr:rowOff>
                  </to>
                </anchor>
              </controlPr>
            </control>
          </mc:Choice>
        </mc:AlternateContent>
        <mc:AlternateContent xmlns:mc="http://schemas.openxmlformats.org/markup-compatibility/2006">
          <mc:Choice Requires="x14">
            <control shapeId="16860" r:id="rId78" name="Check Box 476">
              <controlPr defaultSize="0" autoFill="0" autoLine="0" autoPict="0">
                <anchor moveWithCells="1" sizeWithCells="1">
                  <from>
                    <xdr:col>33</xdr:col>
                    <xdr:colOff>38100</xdr:colOff>
                    <xdr:row>19</xdr:row>
                    <xdr:rowOff>0</xdr:rowOff>
                  </from>
                  <to>
                    <xdr:col>34</xdr:col>
                    <xdr:colOff>66675</xdr:colOff>
                    <xdr:row>20</xdr:row>
                    <xdr:rowOff>19050</xdr:rowOff>
                  </to>
                </anchor>
              </controlPr>
            </control>
          </mc:Choice>
        </mc:AlternateContent>
        <mc:AlternateContent xmlns:mc="http://schemas.openxmlformats.org/markup-compatibility/2006">
          <mc:Choice Requires="x14">
            <control shapeId="16861" r:id="rId79" name="Check Box 477">
              <controlPr defaultSize="0" autoFill="0" autoLine="0" autoPict="0">
                <anchor moveWithCells="1" sizeWithCells="1">
                  <from>
                    <xdr:col>30</xdr:col>
                    <xdr:colOff>47625</xdr:colOff>
                    <xdr:row>19</xdr:row>
                    <xdr:rowOff>0</xdr:rowOff>
                  </from>
                  <to>
                    <xdr:col>31</xdr:col>
                    <xdr:colOff>76200</xdr:colOff>
                    <xdr:row>20</xdr:row>
                    <xdr:rowOff>19050</xdr:rowOff>
                  </to>
                </anchor>
              </controlPr>
            </control>
          </mc:Choice>
        </mc:AlternateContent>
        <mc:AlternateContent xmlns:mc="http://schemas.openxmlformats.org/markup-compatibility/2006">
          <mc:Choice Requires="x14">
            <control shapeId="16864" r:id="rId80" name="Check Box 480">
              <controlPr defaultSize="0" autoFill="0" autoLine="0" autoPict="0">
                <anchor moveWithCells="1" sizeWithCells="1">
                  <from>
                    <xdr:col>7</xdr:col>
                    <xdr:colOff>38100</xdr:colOff>
                    <xdr:row>19</xdr:row>
                    <xdr:rowOff>0</xdr:rowOff>
                  </from>
                  <to>
                    <xdr:col>8</xdr:col>
                    <xdr:colOff>66675</xdr:colOff>
                    <xdr:row>20</xdr:row>
                    <xdr:rowOff>19050</xdr:rowOff>
                  </to>
                </anchor>
              </controlPr>
            </control>
          </mc:Choice>
        </mc:AlternateContent>
        <mc:AlternateContent xmlns:mc="http://schemas.openxmlformats.org/markup-compatibility/2006">
          <mc:Choice Requires="x14">
            <control shapeId="16865" r:id="rId81" name="Check Box 481">
              <controlPr defaultSize="0" autoFill="0" autoLine="0" autoPict="0">
                <anchor moveWithCells="1" sizeWithCells="1">
                  <from>
                    <xdr:col>4</xdr:col>
                    <xdr:colOff>47625</xdr:colOff>
                    <xdr:row>19</xdr:row>
                    <xdr:rowOff>0</xdr:rowOff>
                  </from>
                  <to>
                    <xdr:col>5</xdr:col>
                    <xdr:colOff>76200</xdr:colOff>
                    <xdr:row>20</xdr:row>
                    <xdr:rowOff>19050</xdr:rowOff>
                  </to>
                </anchor>
              </controlPr>
            </control>
          </mc:Choice>
        </mc:AlternateContent>
        <mc:AlternateContent xmlns:mc="http://schemas.openxmlformats.org/markup-compatibility/2006">
          <mc:Choice Requires="x14">
            <control shapeId="16866" r:id="rId82" name="Check Box 482">
              <controlPr defaultSize="0" autoFill="0" autoLine="0" autoPict="0">
                <anchor moveWithCells="1" sizeWithCells="1">
                  <from>
                    <xdr:col>33</xdr:col>
                    <xdr:colOff>38100</xdr:colOff>
                    <xdr:row>19</xdr:row>
                    <xdr:rowOff>0</xdr:rowOff>
                  </from>
                  <to>
                    <xdr:col>34</xdr:col>
                    <xdr:colOff>66675</xdr:colOff>
                    <xdr:row>20</xdr:row>
                    <xdr:rowOff>19050</xdr:rowOff>
                  </to>
                </anchor>
              </controlPr>
            </control>
          </mc:Choice>
        </mc:AlternateContent>
        <mc:AlternateContent xmlns:mc="http://schemas.openxmlformats.org/markup-compatibility/2006">
          <mc:Choice Requires="x14">
            <control shapeId="16867" r:id="rId83" name="Check Box 483">
              <controlPr defaultSize="0" autoFill="0" autoLine="0" autoPict="0">
                <anchor moveWithCells="1" sizeWithCells="1">
                  <from>
                    <xdr:col>30</xdr:col>
                    <xdr:colOff>47625</xdr:colOff>
                    <xdr:row>19</xdr:row>
                    <xdr:rowOff>0</xdr:rowOff>
                  </from>
                  <to>
                    <xdr:col>31</xdr:col>
                    <xdr:colOff>76200</xdr:colOff>
                    <xdr:row>20</xdr:row>
                    <xdr:rowOff>19050</xdr:rowOff>
                  </to>
                </anchor>
              </controlPr>
            </control>
          </mc:Choice>
        </mc:AlternateContent>
        <mc:AlternateContent xmlns:mc="http://schemas.openxmlformats.org/markup-compatibility/2006">
          <mc:Choice Requires="x14">
            <control shapeId="16868" r:id="rId84" name="Check Box 484">
              <controlPr defaultSize="0" autoFill="0" autoLine="0" autoPict="0">
                <anchor moveWithCells="1" sizeWithCells="1">
                  <from>
                    <xdr:col>33</xdr:col>
                    <xdr:colOff>38100</xdr:colOff>
                    <xdr:row>19</xdr:row>
                    <xdr:rowOff>0</xdr:rowOff>
                  </from>
                  <to>
                    <xdr:col>34</xdr:col>
                    <xdr:colOff>66675</xdr:colOff>
                    <xdr:row>20</xdr:row>
                    <xdr:rowOff>19050</xdr:rowOff>
                  </to>
                </anchor>
              </controlPr>
            </control>
          </mc:Choice>
        </mc:AlternateContent>
        <mc:AlternateContent xmlns:mc="http://schemas.openxmlformats.org/markup-compatibility/2006">
          <mc:Choice Requires="x14">
            <control shapeId="16869" r:id="rId85" name="Check Box 485">
              <controlPr defaultSize="0" autoFill="0" autoLine="0" autoPict="0">
                <anchor moveWithCells="1" sizeWithCells="1">
                  <from>
                    <xdr:col>30</xdr:col>
                    <xdr:colOff>47625</xdr:colOff>
                    <xdr:row>19</xdr:row>
                    <xdr:rowOff>0</xdr:rowOff>
                  </from>
                  <to>
                    <xdr:col>31</xdr:col>
                    <xdr:colOff>76200</xdr:colOff>
                    <xdr:row>20</xdr:row>
                    <xdr:rowOff>19050</xdr:rowOff>
                  </to>
                </anchor>
              </controlPr>
            </control>
          </mc:Choice>
        </mc:AlternateContent>
        <mc:AlternateContent xmlns:mc="http://schemas.openxmlformats.org/markup-compatibility/2006">
          <mc:Choice Requires="x14">
            <control shapeId="16879" r:id="rId86" name="Check Box 495">
              <controlPr defaultSize="0" autoFill="0" autoLine="0" autoPict="0">
                <anchor moveWithCells="1" sizeWithCells="1">
                  <from>
                    <xdr:col>33</xdr:col>
                    <xdr:colOff>38100</xdr:colOff>
                    <xdr:row>19</xdr:row>
                    <xdr:rowOff>0</xdr:rowOff>
                  </from>
                  <to>
                    <xdr:col>34</xdr:col>
                    <xdr:colOff>66675</xdr:colOff>
                    <xdr:row>20</xdr:row>
                    <xdr:rowOff>19050</xdr:rowOff>
                  </to>
                </anchor>
              </controlPr>
            </control>
          </mc:Choice>
        </mc:AlternateContent>
        <mc:AlternateContent xmlns:mc="http://schemas.openxmlformats.org/markup-compatibility/2006">
          <mc:Choice Requires="x14">
            <control shapeId="16880" r:id="rId87" name="Check Box 496">
              <controlPr defaultSize="0" autoFill="0" autoLine="0" autoPict="0">
                <anchor moveWithCells="1" sizeWithCells="1">
                  <from>
                    <xdr:col>30</xdr:col>
                    <xdr:colOff>47625</xdr:colOff>
                    <xdr:row>19</xdr:row>
                    <xdr:rowOff>0</xdr:rowOff>
                  </from>
                  <to>
                    <xdr:col>31</xdr:col>
                    <xdr:colOff>76200</xdr:colOff>
                    <xdr:row>20</xdr:row>
                    <xdr:rowOff>19050</xdr:rowOff>
                  </to>
                </anchor>
              </controlPr>
            </control>
          </mc:Choice>
        </mc:AlternateContent>
        <mc:AlternateContent xmlns:mc="http://schemas.openxmlformats.org/markup-compatibility/2006">
          <mc:Choice Requires="x14">
            <control shapeId="16881" r:id="rId88" name="Check Box 497">
              <controlPr defaultSize="0" autoFill="0" autoLine="0" autoPict="0">
                <anchor moveWithCells="1" sizeWithCells="1">
                  <from>
                    <xdr:col>33</xdr:col>
                    <xdr:colOff>38100</xdr:colOff>
                    <xdr:row>19</xdr:row>
                    <xdr:rowOff>0</xdr:rowOff>
                  </from>
                  <to>
                    <xdr:col>34</xdr:col>
                    <xdr:colOff>66675</xdr:colOff>
                    <xdr:row>20</xdr:row>
                    <xdr:rowOff>19050</xdr:rowOff>
                  </to>
                </anchor>
              </controlPr>
            </control>
          </mc:Choice>
        </mc:AlternateContent>
        <mc:AlternateContent xmlns:mc="http://schemas.openxmlformats.org/markup-compatibility/2006">
          <mc:Choice Requires="x14">
            <control shapeId="16882" r:id="rId89" name="Check Box 498">
              <controlPr defaultSize="0" autoFill="0" autoLine="0" autoPict="0">
                <anchor moveWithCells="1" sizeWithCells="1">
                  <from>
                    <xdr:col>30</xdr:col>
                    <xdr:colOff>47625</xdr:colOff>
                    <xdr:row>19</xdr:row>
                    <xdr:rowOff>0</xdr:rowOff>
                  </from>
                  <to>
                    <xdr:col>31</xdr:col>
                    <xdr:colOff>76200</xdr:colOff>
                    <xdr:row>20</xdr:row>
                    <xdr:rowOff>19050</xdr:rowOff>
                  </to>
                </anchor>
              </controlPr>
            </control>
          </mc:Choice>
        </mc:AlternateContent>
        <mc:AlternateContent xmlns:mc="http://schemas.openxmlformats.org/markup-compatibility/2006">
          <mc:Choice Requires="x14">
            <control shapeId="16885" r:id="rId90" name="Check Box 501">
              <controlPr defaultSize="0" autoFill="0" autoLine="0" autoPict="0">
                <anchor moveWithCells="1" sizeWithCells="1">
                  <from>
                    <xdr:col>7</xdr:col>
                    <xdr:colOff>38100</xdr:colOff>
                    <xdr:row>19</xdr:row>
                    <xdr:rowOff>0</xdr:rowOff>
                  </from>
                  <to>
                    <xdr:col>8</xdr:col>
                    <xdr:colOff>66675</xdr:colOff>
                    <xdr:row>20</xdr:row>
                    <xdr:rowOff>19050</xdr:rowOff>
                  </to>
                </anchor>
              </controlPr>
            </control>
          </mc:Choice>
        </mc:AlternateContent>
        <mc:AlternateContent xmlns:mc="http://schemas.openxmlformats.org/markup-compatibility/2006">
          <mc:Choice Requires="x14">
            <control shapeId="16886" r:id="rId91" name="Check Box 502">
              <controlPr defaultSize="0" autoFill="0" autoLine="0" autoPict="0">
                <anchor moveWithCells="1" sizeWithCells="1">
                  <from>
                    <xdr:col>4</xdr:col>
                    <xdr:colOff>47625</xdr:colOff>
                    <xdr:row>19</xdr:row>
                    <xdr:rowOff>0</xdr:rowOff>
                  </from>
                  <to>
                    <xdr:col>5</xdr:col>
                    <xdr:colOff>76200</xdr:colOff>
                    <xdr:row>20</xdr:row>
                    <xdr:rowOff>19050</xdr:rowOff>
                  </to>
                </anchor>
              </controlPr>
            </control>
          </mc:Choice>
        </mc:AlternateContent>
        <mc:AlternateContent xmlns:mc="http://schemas.openxmlformats.org/markup-compatibility/2006">
          <mc:Choice Requires="x14">
            <control shapeId="16887" r:id="rId92" name="Check Box 503">
              <controlPr defaultSize="0" autoFill="0" autoLine="0" autoPict="0">
                <anchor moveWithCells="1" sizeWithCells="1">
                  <from>
                    <xdr:col>7</xdr:col>
                    <xdr:colOff>38100</xdr:colOff>
                    <xdr:row>19</xdr:row>
                    <xdr:rowOff>0</xdr:rowOff>
                  </from>
                  <to>
                    <xdr:col>8</xdr:col>
                    <xdr:colOff>66675</xdr:colOff>
                    <xdr:row>20</xdr:row>
                    <xdr:rowOff>19050</xdr:rowOff>
                  </to>
                </anchor>
              </controlPr>
            </control>
          </mc:Choice>
        </mc:AlternateContent>
        <mc:AlternateContent xmlns:mc="http://schemas.openxmlformats.org/markup-compatibility/2006">
          <mc:Choice Requires="x14">
            <control shapeId="16888" r:id="rId93" name="Check Box 504">
              <controlPr defaultSize="0" autoFill="0" autoLine="0" autoPict="0">
                <anchor moveWithCells="1" sizeWithCells="1">
                  <from>
                    <xdr:col>4</xdr:col>
                    <xdr:colOff>47625</xdr:colOff>
                    <xdr:row>19</xdr:row>
                    <xdr:rowOff>0</xdr:rowOff>
                  </from>
                  <to>
                    <xdr:col>5</xdr:col>
                    <xdr:colOff>76200</xdr:colOff>
                    <xdr:row>20</xdr:row>
                    <xdr:rowOff>19050</xdr:rowOff>
                  </to>
                </anchor>
              </controlPr>
            </control>
          </mc:Choice>
        </mc:AlternateContent>
        <mc:AlternateContent xmlns:mc="http://schemas.openxmlformats.org/markup-compatibility/2006">
          <mc:Choice Requires="x14">
            <control shapeId="16889" r:id="rId94" name="Check Box 505">
              <controlPr defaultSize="0" autoFill="0" autoLine="0" autoPict="0">
                <anchor moveWithCells="1" sizeWithCells="1">
                  <from>
                    <xdr:col>33</xdr:col>
                    <xdr:colOff>38100</xdr:colOff>
                    <xdr:row>19</xdr:row>
                    <xdr:rowOff>0</xdr:rowOff>
                  </from>
                  <to>
                    <xdr:col>34</xdr:col>
                    <xdr:colOff>66675</xdr:colOff>
                    <xdr:row>20</xdr:row>
                    <xdr:rowOff>19050</xdr:rowOff>
                  </to>
                </anchor>
              </controlPr>
            </control>
          </mc:Choice>
        </mc:AlternateContent>
        <mc:AlternateContent xmlns:mc="http://schemas.openxmlformats.org/markup-compatibility/2006">
          <mc:Choice Requires="x14">
            <control shapeId="16890" r:id="rId95" name="Check Box 506">
              <controlPr defaultSize="0" autoFill="0" autoLine="0" autoPict="0">
                <anchor moveWithCells="1" sizeWithCells="1">
                  <from>
                    <xdr:col>30</xdr:col>
                    <xdr:colOff>47625</xdr:colOff>
                    <xdr:row>19</xdr:row>
                    <xdr:rowOff>0</xdr:rowOff>
                  </from>
                  <to>
                    <xdr:col>31</xdr:col>
                    <xdr:colOff>76200</xdr:colOff>
                    <xdr:row>20</xdr:row>
                    <xdr:rowOff>19050</xdr:rowOff>
                  </to>
                </anchor>
              </controlPr>
            </control>
          </mc:Choice>
        </mc:AlternateContent>
        <mc:AlternateContent xmlns:mc="http://schemas.openxmlformats.org/markup-compatibility/2006">
          <mc:Choice Requires="x14">
            <control shapeId="16891" r:id="rId96" name="Check Box 507">
              <controlPr defaultSize="0" autoFill="0" autoLine="0" autoPict="0">
                <anchor moveWithCells="1" sizeWithCells="1">
                  <from>
                    <xdr:col>33</xdr:col>
                    <xdr:colOff>38100</xdr:colOff>
                    <xdr:row>19</xdr:row>
                    <xdr:rowOff>0</xdr:rowOff>
                  </from>
                  <to>
                    <xdr:col>34</xdr:col>
                    <xdr:colOff>66675</xdr:colOff>
                    <xdr:row>20</xdr:row>
                    <xdr:rowOff>19050</xdr:rowOff>
                  </to>
                </anchor>
              </controlPr>
            </control>
          </mc:Choice>
        </mc:AlternateContent>
        <mc:AlternateContent xmlns:mc="http://schemas.openxmlformats.org/markup-compatibility/2006">
          <mc:Choice Requires="x14">
            <control shapeId="16892" r:id="rId97" name="Check Box 508">
              <controlPr defaultSize="0" autoFill="0" autoLine="0" autoPict="0">
                <anchor moveWithCells="1" sizeWithCells="1">
                  <from>
                    <xdr:col>30</xdr:col>
                    <xdr:colOff>47625</xdr:colOff>
                    <xdr:row>19</xdr:row>
                    <xdr:rowOff>0</xdr:rowOff>
                  </from>
                  <to>
                    <xdr:col>31</xdr:col>
                    <xdr:colOff>76200</xdr:colOff>
                    <xdr:row>20</xdr:row>
                    <xdr:rowOff>19050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tabColor theme="9" tint="0.59999389629810485"/>
  </sheetPr>
  <dimension ref="A1:CQ324"/>
  <sheetViews>
    <sheetView showZeros="0" view="pageBreakPreview" topLeftCell="A10" zoomScaleNormal="100" zoomScaleSheetLayoutView="100" workbookViewId="0">
      <selection activeCell="V15" sqref="V15"/>
    </sheetView>
  </sheetViews>
  <sheetFormatPr defaultRowHeight="13.5"/>
  <cols>
    <col min="1" max="52" width="4.125" customWidth="1"/>
    <col min="53" max="57" width="10.625" customWidth="1"/>
    <col min="58" max="58" width="10.625" style="95" customWidth="1"/>
    <col min="59" max="86" width="10.625" customWidth="1"/>
    <col min="87" max="88" width="10.625" style="106" customWidth="1"/>
    <col min="89" max="95" width="10.625" customWidth="1"/>
    <col min="96" max="96" width="13.75" customWidth="1"/>
    <col min="97" max="97" width="18" customWidth="1"/>
  </cols>
  <sheetData>
    <row r="1" spans="1:95" ht="24" customHeight="1" thickTop="1" thickBot="1">
      <c r="A1" s="1185" t="s">
        <v>286</v>
      </c>
      <c r="B1" s="1185"/>
      <c r="C1" s="1185"/>
      <c r="D1" s="1185"/>
      <c r="E1" s="1185"/>
      <c r="F1" s="1185"/>
      <c r="G1" s="1185"/>
      <c r="H1" s="1185"/>
      <c r="I1" s="1185"/>
      <c r="J1" s="1185"/>
      <c r="K1" s="1185"/>
      <c r="L1" s="1185"/>
      <c r="M1" s="1185"/>
      <c r="N1" s="1185"/>
      <c r="O1" s="1185"/>
      <c r="P1" s="1185"/>
      <c r="Q1" s="1185"/>
      <c r="R1" s="1185"/>
      <c r="S1" s="1185"/>
      <c r="T1" s="1185"/>
      <c r="U1" s="1185"/>
      <c r="V1" s="1185"/>
      <c r="W1" s="1185"/>
      <c r="X1" s="1185"/>
      <c r="Y1" s="1185"/>
      <c r="Z1" s="1185"/>
      <c r="AA1" s="1185" t="s">
        <v>108</v>
      </c>
      <c r="AB1" s="1185"/>
      <c r="AC1" s="1185"/>
      <c r="AD1" s="1185"/>
      <c r="AE1" s="1185"/>
      <c r="AF1" s="1185"/>
      <c r="AG1" s="1185"/>
      <c r="AH1" s="1185"/>
      <c r="AI1" s="1185"/>
      <c r="AJ1" s="1185"/>
      <c r="AK1" s="1185"/>
      <c r="AL1" s="1185"/>
      <c r="AM1" s="1185"/>
      <c r="AN1" s="1185"/>
      <c r="AO1" s="1185"/>
      <c r="AP1" s="1185"/>
      <c r="AQ1" s="1185"/>
      <c r="AR1" s="1185"/>
      <c r="AS1" s="1185"/>
      <c r="AT1" s="1185"/>
      <c r="AU1" s="1185"/>
      <c r="AV1" s="1185"/>
      <c r="AW1" s="1185"/>
      <c r="AX1" s="1185"/>
      <c r="AY1" s="1185"/>
      <c r="AZ1" s="1185"/>
      <c r="BA1" s="48"/>
      <c r="CH1" s="1586" t="s">
        <v>461</v>
      </c>
      <c r="CI1" s="1586"/>
      <c r="CJ1" s="1586"/>
      <c r="CK1" s="1586"/>
      <c r="CM1" s="1602" t="s">
        <v>460</v>
      </c>
      <c r="CN1" s="1602"/>
      <c r="CO1" s="1602"/>
      <c r="CP1" s="1602"/>
    </row>
    <row r="2" spans="1:95" ht="24.95" customHeight="1" thickTop="1" thickBot="1">
      <c r="A2" s="331">
        <f>COUNTIFS(K13:K22,"a",H13:H22,"&gt;0")</f>
        <v>0</v>
      </c>
      <c r="B2" s="331">
        <f>COUNTIFS(X13:X22,"a",U13:U22,"&gt;0")</f>
        <v>0</v>
      </c>
      <c r="C2" s="331">
        <f>COUNTIFS(K13:K22,"b",H13:H22,"&gt;0")</f>
        <v>0</v>
      </c>
      <c r="D2" s="331">
        <f>COUNTIFS(X13:X22,"b",U13:U22,"&gt;0")</f>
        <v>0</v>
      </c>
      <c r="E2" s="331">
        <f>COUNTIFS(K13:K22,"c",H13:H22,"&gt;0")</f>
        <v>0</v>
      </c>
      <c r="F2" s="331">
        <f>COUNTIFS(X13:X22,"c",U13:U22,"&gt;0")</f>
        <v>0</v>
      </c>
      <c r="G2" s="331">
        <f>COUNTIFS(K13:K22,"d",H13:H22,"&gt;0")</f>
        <v>0</v>
      </c>
      <c r="H2" s="331">
        <f>COUNTIFS(X13:X22,"d",U13:U22,"&gt;0")</f>
        <v>0</v>
      </c>
      <c r="I2" s="331">
        <f>COUNTIFS(K13:K22,"e",H13:H22,"&gt;0")</f>
        <v>0</v>
      </c>
      <c r="J2" s="331">
        <f>COUNTIFS(X13:X22,"e",U13:U22,"&gt;0")</f>
        <v>0</v>
      </c>
      <c r="K2" s="331">
        <f>COUNTIFS(K13:K22,"f",H13:H22,"&gt;0")</f>
        <v>0</v>
      </c>
      <c r="L2" s="331">
        <f>COUNTIFS(X13:X22,"f",U13:U22,"&gt;0")</f>
        <v>0</v>
      </c>
      <c r="M2" s="331">
        <f>COUNTIFS(K13:K22,"g",H13:H22,"&gt;0")</f>
        <v>0</v>
      </c>
      <c r="N2" s="331">
        <f>COUNTIFS(X13:X22,"g",U13:U22,"&gt;0")</f>
        <v>0</v>
      </c>
      <c r="O2" s="331">
        <f>COUNTIFS(K13:K22,"h",H13:H22,"&gt;0")</f>
        <v>0</v>
      </c>
      <c r="P2" s="331">
        <f>COUNTIFS(X13:X22,"h",U13:U22,"&gt;0")</f>
        <v>0</v>
      </c>
      <c r="Q2" s="331">
        <f>COUNTIFS(K13:K22,"i",H13:H22,"&gt;0")</f>
        <v>0</v>
      </c>
      <c r="R2" s="331">
        <f>COUNTIFS(X13:X22,"i",U13:U22,"&gt;0")</f>
        <v>0</v>
      </c>
      <c r="S2" s="332">
        <f>SUM(A2:R2)</f>
        <v>0</v>
      </c>
      <c r="T2" s="327"/>
      <c r="U2" s="327"/>
      <c r="V2" s="327"/>
      <c r="W2" s="1603" t="s">
        <v>287</v>
      </c>
      <c r="X2" s="1603"/>
      <c r="Y2" s="1603">
        <v>1</v>
      </c>
      <c r="Z2" s="1603"/>
      <c r="AA2" s="331">
        <f>COUNTIFS(AK13:AK22,"a",AH13:AH22,"&gt;0")</f>
        <v>0</v>
      </c>
      <c r="AB2" s="331">
        <f>COUNTIFS(AX13:AX22,"a",AU13:AU22,"&gt;0")</f>
        <v>0</v>
      </c>
      <c r="AC2" s="331">
        <f>COUNTIFS(AK13:AK22,"b",AH13:AH22,"&gt;0")</f>
        <v>0</v>
      </c>
      <c r="AD2" s="331">
        <f>COUNTIFS(AX13:AX22,"b",AU13:AU22,"&gt;0")</f>
        <v>0</v>
      </c>
      <c r="AE2" s="331">
        <f>COUNTIFS(AK13:AK22,"c",AH13:AH22,"&gt;0")</f>
        <v>0</v>
      </c>
      <c r="AF2" s="331">
        <f>COUNTIFS(AX13:AX22,"c",AU13:AU22,"&gt;0")</f>
        <v>0</v>
      </c>
      <c r="AG2" s="331">
        <f>COUNTIFS(AK13:AK22,"d",AH13:AH22,"&gt;0")</f>
        <v>0</v>
      </c>
      <c r="AH2" s="331">
        <f>COUNTIFS(AX13:AX22,"d",AU13:AU22,"&gt;0")</f>
        <v>0</v>
      </c>
      <c r="AI2" s="331">
        <f>COUNTIFS(AK13:AK22,"e",AH13:AH22,"&gt;0")</f>
        <v>0</v>
      </c>
      <c r="AJ2" s="331">
        <f>COUNTIFS(AX13:AX22,"e",AU13:AU22,"&gt;0")</f>
        <v>0</v>
      </c>
      <c r="AK2" s="331">
        <f>COUNTIFS(AK13:AK22,"f",AH13:AH22,"&gt;0")</f>
        <v>0</v>
      </c>
      <c r="AL2" s="331">
        <f>COUNTIFS(AX13:AX22,"f",AU13:AU22,"&gt;0")</f>
        <v>0</v>
      </c>
      <c r="AM2" s="331">
        <f>COUNTIFS(AK13:AK22,"g",AH13:AH22,"&gt;0")</f>
        <v>0</v>
      </c>
      <c r="AN2" s="331">
        <f>COUNTIFS(AX13:AX22,"g",AU13:AU22,"&gt;0")</f>
        <v>0</v>
      </c>
      <c r="AO2" s="331">
        <f>COUNTIFS(AK13:AK22,"h",AH13:AH22,"&gt;0")</f>
        <v>0</v>
      </c>
      <c r="AP2" s="331">
        <f>COUNTIFS(AX13:AX22,"h",AU13:AU22,"&gt;0")</f>
        <v>0</v>
      </c>
      <c r="AQ2" s="331">
        <f>COUNTIFS(AK13:AK22,"i",AH13:AH22,"&gt;0")</f>
        <v>0</v>
      </c>
      <c r="AR2" s="331">
        <f>COUNTIFS(AX13:AX22,"i",AU13:AU22,"&gt;0")</f>
        <v>0</v>
      </c>
      <c r="AS2" s="332">
        <f>SUM(AA2:AR2)</f>
        <v>0</v>
      </c>
      <c r="AT2" s="327"/>
      <c r="AU2" s="327"/>
      <c r="AV2" s="327"/>
      <c r="AW2" s="1603" t="s">
        <v>287</v>
      </c>
      <c r="AX2" s="1603"/>
      <c r="AY2" s="1603">
        <v>1</v>
      </c>
      <c r="AZ2" s="1603"/>
      <c r="BF2" s="109" t="s">
        <v>356</v>
      </c>
      <c r="BG2" s="96" t="s">
        <v>364</v>
      </c>
      <c r="BH2" s="96" t="s">
        <v>365</v>
      </c>
      <c r="BI2" s="6"/>
      <c r="BJ2" s="6"/>
      <c r="BK2" s="6"/>
      <c r="BL2" s="6"/>
      <c r="BN2" s="2"/>
      <c r="BO2" s="2"/>
      <c r="BP2" s="96" t="s">
        <v>94</v>
      </c>
      <c r="BQ2" s="96" t="s">
        <v>369</v>
      </c>
      <c r="BR2" s="96" t="s">
        <v>370</v>
      </c>
      <c r="BS2" s="96" t="s">
        <v>371</v>
      </c>
      <c r="BT2" s="96" t="s">
        <v>372</v>
      </c>
      <c r="BV2" s="4"/>
      <c r="BX2" s="5"/>
      <c r="BY2" s="5"/>
      <c r="CC2" s="96" t="s">
        <v>441</v>
      </c>
      <c r="CD2" s="96" t="s">
        <v>442</v>
      </c>
      <c r="CE2" s="6" t="s">
        <v>440</v>
      </c>
      <c r="CF2" s="118" t="s">
        <v>463</v>
      </c>
      <c r="CH2" s="248" t="s">
        <v>457</v>
      </c>
      <c r="CI2" s="238" t="s">
        <v>441</v>
      </c>
      <c r="CJ2" s="238" t="s">
        <v>442</v>
      </c>
      <c r="CK2" s="237" t="s">
        <v>440</v>
      </c>
      <c r="CL2" s="2"/>
      <c r="CM2" s="118" t="s">
        <v>458</v>
      </c>
      <c r="CN2" s="96" t="s">
        <v>441</v>
      </c>
      <c r="CO2" s="96" t="s">
        <v>442</v>
      </c>
      <c r="CP2" s="96" t="s">
        <v>459</v>
      </c>
      <c r="CQ2" s="249" t="s">
        <v>462</v>
      </c>
    </row>
    <row r="3" spans="1:95" ht="24.95" customHeight="1">
      <c r="A3" s="331">
        <f>COUNTIFS(K13:K22,"a",I13:I22,"&gt;0")</f>
        <v>0</v>
      </c>
      <c r="B3" s="331">
        <f>COUNTIFS(X13:X22,"a",V13:V22,"&gt;0")</f>
        <v>0</v>
      </c>
      <c r="C3" s="331">
        <f>COUNTIFS(K13:K22,"b",I13:I22,"&gt;0")</f>
        <v>0</v>
      </c>
      <c r="D3" s="331">
        <f>COUNTIFS(X13:X22,"b",V13:V22,"&gt;0")</f>
        <v>0</v>
      </c>
      <c r="E3" s="331">
        <f>COUNTIFS(K13:K22,"c",I13:I22,"&gt;0")</f>
        <v>0</v>
      </c>
      <c r="F3" s="331">
        <f>COUNTIFS(X13:X22,"c",V13:V22,"&gt;0")</f>
        <v>0</v>
      </c>
      <c r="G3" s="331">
        <f>COUNTIFS(K13:K22,"d",I13:I22,"&gt;0")</f>
        <v>0</v>
      </c>
      <c r="H3" s="331">
        <f>COUNTIFS(X13:X22,"d",V13:V22,"&gt;0")</f>
        <v>0</v>
      </c>
      <c r="I3" s="331">
        <f>COUNTIFS(K13:K22,"e",I13:I22,"&gt;0")</f>
        <v>0</v>
      </c>
      <c r="J3" s="331">
        <f>COUNTIFS(X13:X22,"e",V13:V22,"&gt;0")</f>
        <v>0</v>
      </c>
      <c r="K3" s="331">
        <f>COUNTIFS(K13:K22,"f",I13:I22,"&gt;0")</f>
        <v>0</v>
      </c>
      <c r="L3" s="331">
        <f>COUNTIFS(X13:X22,"f",V13:V22,"&gt;0")</f>
        <v>0</v>
      </c>
      <c r="M3" s="331">
        <f>COUNTIFS(K13:K22,"g",I13:I22,"&gt;0")</f>
        <v>0</v>
      </c>
      <c r="N3" s="331">
        <f>COUNTIFS(X13:X22,"g",V13:V22,"&gt;0")</f>
        <v>0</v>
      </c>
      <c r="O3" s="331">
        <f>COUNTIFS(K13:K22,"h",I13:I22,"&gt;0")</f>
        <v>0</v>
      </c>
      <c r="P3" s="331">
        <f>COUNTIFS(X13:X22,"h",V13:V22,"&gt;0")</f>
        <v>0</v>
      </c>
      <c r="Q3" s="331">
        <f>COUNTIFS(K13:K22,"i",I13:I22,"&gt;0")</f>
        <v>0</v>
      </c>
      <c r="R3" s="331">
        <f>COUNTIFS(X13:X22,"i",V13:V22,"&gt;0")</f>
        <v>0</v>
      </c>
      <c r="S3" s="332">
        <f>SUM(A3:R3)</f>
        <v>0</v>
      </c>
      <c r="T3" s="327"/>
      <c r="U3" s="327"/>
      <c r="V3" s="327"/>
      <c r="W3" s="333"/>
      <c r="X3" s="333"/>
      <c r="Y3" s="333"/>
      <c r="Z3" s="333"/>
      <c r="AA3" s="331">
        <f>COUNTIFS(AK13:AK22,"a",AI13:AI22,"&gt;0")</f>
        <v>0</v>
      </c>
      <c r="AB3" s="331">
        <f>COUNTIFS(AX13:AX22,"a",AV13:AV22,"&gt;0")</f>
        <v>0</v>
      </c>
      <c r="AC3" s="331">
        <f>COUNTIFS(AK13:AK22,"b",AI13:AI22,"&gt;0")</f>
        <v>0</v>
      </c>
      <c r="AD3" s="331">
        <f>COUNTIFS(AX13:AX22,"b",AV13:AV22,"&gt;0")</f>
        <v>0</v>
      </c>
      <c r="AE3" s="331">
        <f>COUNTIFS(AK13:AK22,"c",AI13:AI22,"&gt;0")</f>
        <v>0</v>
      </c>
      <c r="AF3" s="331">
        <f>COUNTIFS(AX13:AX22,"c",AV13:AV22,"&gt;0")</f>
        <v>0</v>
      </c>
      <c r="AG3" s="331">
        <f>COUNTIFS(AK13:AK22,"d",AI13:AI22,"&gt;0")</f>
        <v>0</v>
      </c>
      <c r="AH3" s="331">
        <f>COUNTIFS(AX13:AX22,"d",AV13:AV22,"&gt;0")</f>
        <v>0</v>
      </c>
      <c r="AI3" s="331">
        <f>COUNTIFS(AK13:AK22,"e",AI13:AI22,"&gt;0")</f>
        <v>0</v>
      </c>
      <c r="AJ3" s="331">
        <f>COUNTIFS(AX13:AX22,"e",AV13:AV22,"&gt;0")</f>
        <v>0</v>
      </c>
      <c r="AK3" s="331">
        <f>COUNTIFS(AK13:AK22,"f",AI13:AI22,"&gt;0")</f>
        <v>0</v>
      </c>
      <c r="AL3" s="331">
        <f>COUNTIFS(AX13:AX22,"f",AV13:AV22,"&gt;0")</f>
        <v>0</v>
      </c>
      <c r="AM3" s="331">
        <f>COUNTIFS(AK13:AK22,"g",AI13:AI22,"&gt;0")</f>
        <v>0</v>
      </c>
      <c r="AN3" s="331">
        <f>COUNTIFS(AX13:AX22,"g",AV13:AV22,"&gt;0")</f>
        <v>0</v>
      </c>
      <c r="AO3" s="331">
        <f>COUNTIFS(AK13:AK22,"h",AI13:AI22,"&gt;0")</f>
        <v>0</v>
      </c>
      <c r="AP3" s="331">
        <f>COUNTIFS(AX13:AX22,"h",AV13:AV22,"&gt;0")</f>
        <v>0</v>
      </c>
      <c r="AQ3" s="331">
        <f>COUNTIFS(AK13:AK22,"i",AI13:AI22,"&gt;0")</f>
        <v>0</v>
      </c>
      <c r="AR3" s="331">
        <f>COUNTIFS(AX13:AX22,"i",AV13:AV22,"&gt;0")</f>
        <v>0</v>
      </c>
      <c r="AS3" s="332">
        <f>SUM(AA3:AR3)</f>
        <v>0</v>
      </c>
      <c r="AT3" s="327"/>
      <c r="AU3" s="327"/>
      <c r="AV3" s="327"/>
      <c r="AW3" s="333"/>
      <c r="AX3" s="333"/>
      <c r="AY3" s="333"/>
      <c r="AZ3" s="333"/>
      <c r="BF3" s="138" t="s">
        <v>360</v>
      </c>
      <c r="BG3" s="108" t="e">
        <f>#REF!+#REF!</f>
        <v>#REF!</v>
      </c>
      <c r="BH3" s="6"/>
      <c r="BI3" s="6"/>
      <c r="BJ3" s="6"/>
      <c r="BK3" s="6"/>
      <c r="BL3" s="6"/>
      <c r="BO3" s="96" t="s">
        <v>43</v>
      </c>
      <c r="BP3" s="108">
        <f>SUMIFS(H13:H22,J13:J22,"小")+SUMIFS(U13:U22,W13:W22,"小")+SUMIFS(H46:H75,J46:J75,"小")+SUMIFS(U46:U75,W46:W75,"小")+SUMIFS(H89:H118,J89:J118,"小")+SUMIFS(U89:U118,W89:W118,"小")+SUMIFS(H132:H161,J132:J161,"小")+SUMIFS(U132:U161,W132:W161,"小")+SUMIFS(H175:H204,J175:J204,"小")+SUMIFS(U175:U204,W175:W204,"小")+SUMIFS(H218:H247,J218:J247,"小")+SUMIFS(U218:U247,W218:W247,"小")</f>
        <v>0</v>
      </c>
      <c r="BQ3" s="108">
        <f>SUMIFS(H13:H22,J13:J22,"中")+SUMIFS(U13:U22,W13:W22,"中")+SUMIFS(H46:H75,J46:J75,"中")+SUMIFS(U46:U75,W46:W75,"中")+SUMIFS(H89:H118,J89:J118,"中")+SUMIFS(U89:U118,W89:W118,"中")+SUMIFS(H132:H161,J132:J161,"中")+SUMIFS(U132:U161,W132:W161,"中")+SUMIFS(H175:H204,J175:J204,"中")+SUMIFS(U175:U204,W175:W204,"中")+SUMIFS(H218:H247,J218:J247,"中")+SUMIFS(U218:U247,W218:W247,"中")</f>
        <v>0</v>
      </c>
      <c r="BR3" s="108">
        <f>SUMIFS(H13:H22,J13:J22,"引")+SUMIFS(U13:U22,W13:W22,"引")+SUMIFS(H46:H75,J46:J75,"引")+SUMIFS(U46:U75,W46:W75,"引")+SUMIFS(H89:H118,J89:J118,"引")+SUMIFS(U89:U118,W89:W118,"引")+SUMIFS(H132:H161,J132:J161,"引")+SUMIFS(U132:U161,W132:W161,"引")+SUMIFS(H175:H204,J175:J204,"引")+SUMIFS(U175:U204,W175:W204,"引")+SUMIFS(H218:H247,J218:J247,"引")+SUMIFS(U218:U247,W218:W247,"引")</f>
        <v>0</v>
      </c>
      <c r="BS3" s="108">
        <f>SUMIFS(H13:H22,J13:J22,"一")+SUMIFS(U13:U22,W13:W22,"一")+SUMIFS(H46:H75,J46:J75,"一")+SUMIFS(U46:U75,W46:W75,"一")+SUMIFS(H89:H118,J89:J118,"一")+SUMIFS(U89:U118,W89:W118,"一")+SUMIFS(H132:H161,J132:J161,"一")+SUMIFS(U132:U161,W132:W161,"一")+SUMIFS(H175:H204,J175:J204,"一")+SUMIFS(U175:U204,W175:W204,"一")+SUMIFS(H218:H247,J218:J247,"一")+SUMIFS(U218:U247,W218:W247,"一")</f>
        <v>0</v>
      </c>
      <c r="BT3" s="108">
        <f>SUM(BP3:BS3)</f>
        <v>0</v>
      </c>
      <c r="BU3" s="145"/>
      <c r="BV3" s="145"/>
      <c r="BW3" s="145"/>
      <c r="BX3" s="34"/>
      <c r="BY3" s="34"/>
      <c r="CC3" s="96" t="s">
        <v>432</v>
      </c>
      <c r="CD3" s="108">
        <f>BP3-BT29</f>
        <v>0</v>
      </c>
      <c r="CE3" s="471">
        <f>IF(OR(CD3="",CD3=0),0,117)</f>
        <v>0</v>
      </c>
      <c r="CF3" s="477">
        <v>330</v>
      </c>
      <c r="CG3" s="472">
        <v>117</v>
      </c>
      <c r="CH3" s="96">
        <v>1</v>
      </c>
      <c r="CI3" s="231" t="e">
        <f t="shared" ref="CI3:CI17" si="0">INDEX($CC$3:$CC$110,MATCH($CK3,$CE$3:$CE$110,0))</f>
        <v>#REF!</v>
      </c>
      <c r="CJ3" s="231" t="e">
        <f t="shared" ref="CJ3:CJ17" si="1">INDEX($CD$3:$CD$110,MATCH($CK3,$CE$3:$CE$110,0))</f>
        <v>#REF!</v>
      </c>
      <c r="CK3" s="228" t="e">
        <f t="shared" ref="CK3:CK17" si="2">LARGE($CE$3:$CE$110,ROW(A1))</f>
        <v>#REF!</v>
      </c>
      <c r="CM3" s="96">
        <v>1</v>
      </c>
      <c r="CN3" s="6" t="e">
        <f t="shared" ref="CN3:CN9" si="3">INDEX($CC$11:$CC$109,MATCH($CP3,$CE$11:$CE$109,0))</f>
        <v>#REF!</v>
      </c>
      <c r="CO3" s="6" t="e">
        <f t="shared" ref="CO3:CO9" si="4">INDEX($CD$11:$CD$109,MATCH($CP3,$CE$11:$CE$109,0))</f>
        <v>#REF!</v>
      </c>
      <c r="CP3" s="6" t="e">
        <f t="shared" ref="CP3:CP9" si="5">LARGE($CE$11:$CE$109,ROW(A1))</f>
        <v>#REF!</v>
      </c>
      <c r="CQ3" t="e">
        <f t="shared" ref="CQ3:CQ9" si="6">INDEX($CF$11:$CF$109,MATCH($CP3,$CE$11:$CE$109,0))</f>
        <v>#REF!</v>
      </c>
    </row>
    <row r="4" spans="1:95" ht="36" customHeight="1">
      <c r="A4" s="1041" t="s">
        <v>71</v>
      </c>
      <c r="B4" s="1041"/>
      <c r="C4" s="1607" t="str">
        <f>CONCATENATE('01 使用承認申請書'!D4)</f>
        <v/>
      </c>
      <c r="D4" s="1607"/>
      <c r="E4" s="1607"/>
      <c r="F4" s="1607"/>
      <c r="G4" s="1607"/>
      <c r="H4" s="1607"/>
      <c r="I4" s="1607"/>
      <c r="J4" s="1607"/>
      <c r="K4" s="1607"/>
      <c r="L4" s="1607"/>
      <c r="M4" s="1607"/>
      <c r="N4" s="1607"/>
      <c r="O4" s="1607"/>
      <c r="P4" s="1607"/>
      <c r="Q4" s="1607"/>
      <c r="R4" s="1607"/>
      <c r="S4" s="1607"/>
      <c r="T4" s="1607"/>
      <c r="U4" s="326"/>
      <c r="V4" s="326"/>
      <c r="W4" s="326"/>
      <c r="X4" s="326"/>
      <c r="Y4" s="326"/>
      <c r="Z4" s="326"/>
      <c r="AA4" s="1041" t="s">
        <v>71</v>
      </c>
      <c r="AB4" s="1041"/>
      <c r="AC4" s="1607" t="str">
        <f>'01 使用承認申請書'!AD4</f>
        <v>ベースボールスクール山の家</v>
      </c>
      <c r="AD4" s="1607"/>
      <c r="AE4" s="1607"/>
      <c r="AF4" s="1607"/>
      <c r="AG4" s="1607"/>
      <c r="AH4" s="1607"/>
      <c r="AI4" s="1607"/>
      <c r="AJ4" s="1607"/>
      <c r="AK4" s="1607"/>
      <c r="AL4" s="1607"/>
      <c r="AM4" s="1607"/>
      <c r="AN4" s="1607"/>
      <c r="AO4" s="1607"/>
      <c r="AP4" s="1607"/>
      <c r="AQ4" s="1607"/>
      <c r="AR4" s="1607"/>
      <c r="AS4" s="1607"/>
      <c r="AT4" s="1607"/>
      <c r="AU4" s="326"/>
      <c r="AV4" s="326"/>
      <c r="AW4" s="326"/>
      <c r="AX4" s="326"/>
      <c r="AY4" s="326"/>
      <c r="AZ4" s="326"/>
      <c r="BA4" s="49"/>
      <c r="BB4" s="50"/>
      <c r="BC4" s="50"/>
      <c r="BD4" s="50" t="s">
        <v>288</v>
      </c>
      <c r="BE4" s="50"/>
      <c r="BF4" s="138" t="s">
        <v>359</v>
      </c>
      <c r="BG4" s="109"/>
      <c r="BH4" s="6"/>
      <c r="BI4" s="6"/>
      <c r="BJ4" s="6"/>
      <c r="BK4" s="6"/>
      <c r="BL4" s="6"/>
      <c r="BO4" s="236" t="s">
        <v>42</v>
      </c>
      <c r="BP4" s="252">
        <f>SUMIFS(I13:I22,J13:J22,"小")+SUMIFS(V13:V22,W13:W22,"小")+SUMIFS(I46:I75,J46:J75,"小")+SUMIFS(V46:V75,W46:W75,"小")+SUMIFS(I89:I118,J89:J118,"小")+SUMIFS(V89:V118,W89:W118,"小")+SUMIFS(I132:I161,J132:J161,"小")+SUMIFS(V132:V161,W132:W161,"小")+SUMIFS(I175:I204,J175:J204,"小")+SUMIFS(V175:V204,W175:W204,"小")+SUMIFS(I218:I247,J218:J247,"小")+SUMIFS(V218:V247,W218:W247,"小")</f>
        <v>0</v>
      </c>
      <c r="BQ4" s="252">
        <f>SUMIFS(I13:I22,J13:J22,"中")+SUMIFS(V13:V22,W13:W22,"中")+SUMIFS(I46:I75,J46:J75,"中")+SUMIFS(V46:V75,W46:W75,"中")+SUMIFS(I89:I118,J89:J118,"中")+SUMIFS(V89:V118,W89:W118,"中")+SUMIFS(I132:I161,J132:J161,"中")+SUMIFS(V132:V161,W132:W161,"中")+SUMIFS(I175:I204,J175:J204,"中")+SUMIFS(V175:V204,W175:W204,"中")+SUMIFS(I218:I247,J218:J247,"中")+SUMIFS(V218:V247,W218:W247,"中")</f>
        <v>0</v>
      </c>
      <c r="BR4" s="252">
        <f>SUMIFS(I13:I22,J13:J22,"引")+SUMIFS(V13:V22,W13:W22,"引")+SUMIFS(I46:I75,J46:J75,"引")+SUMIFS(V46:V75,W46:W75,"引")+SUMIFS(I89:I118,J89:J118,"引")+SUMIFS(V89:V118,W89:W118,"引")+SUMIFS(I132:I161,J132:J161,"引")+SUMIFS(V132:V161,W132:W161,"引")+SUMIFS(I175:I204,J175:J204,"引")+SUMIFS(V175:V204,W175:W204,"引")+SUMIFS(I218:I247,J218:J247,"引")+SUMIFS(V218:V247,W218:W247,"引")</f>
        <v>0</v>
      </c>
      <c r="BS4" s="252">
        <f>SUMIFS(I13:I22,J13:J22,"一")+SUMIFS(V13:V22,W13:W22,"一")+SUMIFS(I46:I75,J46:J75,"一")+SUMIFS(V46:V75,W46:W75,"一")+SUMIFS(I89:I118,J89:J118,"一")+SUMIFS(V89:V118,W89:W118,"一")+SUMIFS(I132:I161,J132:J161,"一")+SUMIFS(V132:V161,W132:W161,"一")+SUMIFS(I175:I204,J175:J204,"一")+SUMIFS(V175:V204,W175:W204,"一")+SUMIFS(I218:I247,J218:J247,"一")+SUMIFS(V218:V247,W218:W247,"一")</f>
        <v>0</v>
      </c>
      <c r="BT4" s="252">
        <f>SUM(BP4:BS4)</f>
        <v>0</v>
      </c>
      <c r="BU4" s="145"/>
      <c r="BV4" s="145"/>
      <c r="BW4" s="145"/>
      <c r="BX4" s="146"/>
      <c r="BY4" s="146"/>
      <c r="CC4" s="96" t="s">
        <v>433</v>
      </c>
      <c r="CD4" s="108">
        <f>BP4-BU29</f>
        <v>0</v>
      </c>
      <c r="CE4" s="471">
        <f>IF(OR(CD4="",CD4=0),0,90)</f>
        <v>0</v>
      </c>
      <c r="CF4" s="477">
        <v>110</v>
      </c>
      <c r="CG4" s="476">
        <v>90</v>
      </c>
      <c r="CH4" s="96">
        <v>2</v>
      </c>
      <c r="CI4" s="231" t="e">
        <f t="shared" si="0"/>
        <v>#REF!</v>
      </c>
      <c r="CJ4" s="231" t="e">
        <f t="shared" si="1"/>
        <v>#REF!</v>
      </c>
      <c r="CK4" s="228" t="e">
        <f t="shared" si="2"/>
        <v>#REF!</v>
      </c>
      <c r="CM4" s="96">
        <v>2</v>
      </c>
      <c r="CN4" s="6" t="e">
        <f t="shared" si="3"/>
        <v>#REF!</v>
      </c>
      <c r="CO4" s="6" t="e">
        <f t="shared" si="4"/>
        <v>#REF!</v>
      </c>
      <c r="CP4" s="6" t="e">
        <f t="shared" si="5"/>
        <v>#REF!</v>
      </c>
      <c r="CQ4" t="e">
        <f t="shared" si="6"/>
        <v>#REF!</v>
      </c>
    </row>
    <row r="5" spans="1:95" ht="15.95" customHeight="1">
      <c r="A5" s="1036" t="s">
        <v>70</v>
      </c>
      <c r="B5" s="1036"/>
      <c r="C5" s="1665">
        <f>('01 使用承認申請書'!C14)</f>
        <v>0</v>
      </c>
      <c r="D5" s="1665"/>
      <c r="E5" s="1665"/>
      <c r="F5" s="1665"/>
      <c r="G5" s="1665"/>
      <c r="H5" s="1665"/>
      <c r="I5" s="1665"/>
      <c r="J5" s="1665"/>
      <c r="K5" s="1665"/>
      <c r="L5" s="1665"/>
      <c r="M5" s="1668" t="s">
        <v>30</v>
      </c>
      <c r="N5" s="1665">
        <f>('01 使用承認申請書'!C16)</f>
        <v>0</v>
      </c>
      <c r="O5" s="1665"/>
      <c r="P5" s="1665"/>
      <c r="Q5" s="1665"/>
      <c r="R5" s="1665"/>
      <c r="S5" s="1665"/>
      <c r="T5" s="1665"/>
      <c r="U5" s="1570"/>
      <c r="V5" s="1570"/>
      <c r="W5" s="334" t="str">
        <f>CONCATENATE('01 使用承認申請書'!L13)</f>
        <v/>
      </c>
      <c r="X5" s="297" t="s">
        <v>41</v>
      </c>
      <c r="Y5" s="334" t="str">
        <f>CONCATENATE('01 使用承認申請書'!Q13)</f>
        <v/>
      </c>
      <c r="Z5" s="297" t="s">
        <v>11</v>
      </c>
      <c r="AA5" s="1036" t="s">
        <v>70</v>
      </c>
      <c r="AB5" s="1036"/>
      <c r="AC5" s="1618" t="str">
        <f>'01 使用承認申請書'!AB12</f>
        <v>令和8</v>
      </c>
      <c r="AD5" s="1618"/>
      <c r="AE5" s="1502" t="s">
        <v>13</v>
      </c>
      <c r="AF5" s="1618" t="str">
        <f>'01 使用承認申請書'!AC14</f>
        <v>10</v>
      </c>
      <c r="AG5" s="1502" t="s">
        <v>12</v>
      </c>
      <c r="AH5" s="1616" t="str">
        <f>'01 使用承認申請書'!AF14</f>
        <v>13</v>
      </c>
      <c r="AI5" s="1502" t="s">
        <v>11</v>
      </c>
      <c r="AJ5" s="1502" t="s">
        <v>33</v>
      </c>
      <c r="AK5" s="1616" t="str">
        <f>'01 使用承認申請書'!AJ14</f>
        <v>火</v>
      </c>
      <c r="AL5" s="1502" t="s">
        <v>32</v>
      </c>
      <c r="AM5" s="1502" t="s">
        <v>30</v>
      </c>
      <c r="AN5" s="1616" t="str">
        <f>'01 使用承認申請書'!AC16</f>
        <v>10</v>
      </c>
      <c r="AO5" s="1502" t="s">
        <v>12</v>
      </c>
      <c r="AP5" s="1616" t="str">
        <f>'01 使用承認申請書'!AF16</f>
        <v>14</v>
      </c>
      <c r="AQ5" s="1502" t="s">
        <v>11</v>
      </c>
      <c r="AR5" s="1502" t="s">
        <v>33</v>
      </c>
      <c r="AS5" s="1616" t="str">
        <f>'01 使用承認申請書'!AJ16</f>
        <v>水</v>
      </c>
      <c r="AT5" s="1502" t="s">
        <v>32</v>
      </c>
      <c r="AU5" s="1570"/>
      <c r="AV5" s="1570"/>
      <c r="AW5" s="334">
        <f>'01 使用承認申請書'!AL13</f>
        <v>1</v>
      </c>
      <c r="AX5" s="297" t="s">
        <v>41</v>
      </c>
      <c r="AY5" s="334">
        <f>'01 使用承認申請書'!AQ13</f>
        <v>2</v>
      </c>
      <c r="AZ5" s="297" t="s">
        <v>11</v>
      </c>
      <c r="BA5" s="50"/>
      <c r="BB5" s="50"/>
      <c r="BC5" s="50"/>
      <c r="BD5" s="50" t="s">
        <v>293</v>
      </c>
      <c r="BE5" s="50"/>
      <c r="BF5" s="138" t="s">
        <v>358</v>
      </c>
      <c r="BG5" s="6"/>
      <c r="BH5" s="6"/>
      <c r="BI5" s="6"/>
      <c r="BJ5" s="6"/>
      <c r="BK5" s="6"/>
      <c r="BL5" s="6"/>
      <c r="BN5" s="6"/>
      <c r="BO5" s="96" t="s">
        <v>473</v>
      </c>
      <c r="BP5" s="108">
        <f>SUM(BP3:BP4)</f>
        <v>0</v>
      </c>
      <c r="BQ5" s="108">
        <f>SUM(BQ3:BQ4)</f>
        <v>0</v>
      </c>
      <c r="BR5" s="108">
        <f>SUM(BR3:BR4)</f>
        <v>0</v>
      </c>
      <c r="BS5" s="108">
        <f>SUM(BS3:BS4)</f>
        <v>0</v>
      </c>
      <c r="BT5" s="108">
        <f>SUM(BT3:BT4)</f>
        <v>0</v>
      </c>
      <c r="CC5" s="96" t="s">
        <v>434</v>
      </c>
      <c r="CD5" s="108">
        <f>BQ3-BV29</f>
        <v>0</v>
      </c>
      <c r="CE5" s="471">
        <f>IF(OR(CD5="",CD5=0),0,63)</f>
        <v>0</v>
      </c>
      <c r="CF5" s="477">
        <v>330</v>
      </c>
      <c r="CG5" s="478">
        <v>63</v>
      </c>
      <c r="CH5" s="96">
        <v>3</v>
      </c>
      <c r="CI5" s="231" t="e">
        <f t="shared" si="0"/>
        <v>#REF!</v>
      </c>
      <c r="CJ5" s="231" t="e">
        <f t="shared" si="1"/>
        <v>#REF!</v>
      </c>
      <c r="CK5" s="228" t="e">
        <f t="shared" si="2"/>
        <v>#REF!</v>
      </c>
      <c r="CM5" s="96">
        <v>3</v>
      </c>
      <c r="CN5" s="6" t="e">
        <f t="shared" si="3"/>
        <v>#REF!</v>
      </c>
      <c r="CO5" s="6" t="e">
        <f t="shared" si="4"/>
        <v>#REF!</v>
      </c>
      <c r="CP5" s="6" t="e">
        <f t="shared" si="5"/>
        <v>#REF!</v>
      </c>
      <c r="CQ5" t="e">
        <f t="shared" si="6"/>
        <v>#REF!</v>
      </c>
    </row>
    <row r="6" spans="1:95" ht="15.95" customHeight="1">
      <c r="A6" s="1041"/>
      <c r="B6" s="1041"/>
      <c r="C6" s="1666"/>
      <c r="D6" s="1666"/>
      <c r="E6" s="1666"/>
      <c r="F6" s="1666"/>
      <c r="G6" s="1666"/>
      <c r="H6" s="1666"/>
      <c r="I6" s="1666"/>
      <c r="J6" s="1666"/>
      <c r="K6" s="1666"/>
      <c r="L6" s="1666"/>
      <c r="M6" s="1669"/>
      <c r="N6" s="1666"/>
      <c r="O6" s="1666"/>
      <c r="P6" s="1666"/>
      <c r="Q6" s="1666"/>
      <c r="R6" s="1666"/>
      <c r="S6" s="1666"/>
      <c r="T6" s="1666"/>
      <c r="U6" s="1570"/>
      <c r="V6" s="1570"/>
      <c r="W6" s="1570" t="s">
        <v>42</v>
      </c>
      <c r="X6" s="1570"/>
      <c r="Y6" s="336" t="str">
        <f>CONCATENATE('01 使用承認申請書'!V13)</f>
        <v/>
      </c>
      <c r="Z6" s="297" t="s">
        <v>11</v>
      </c>
      <c r="AA6" s="1041"/>
      <c r="AB6" s="1041"/>
      <c r="AC6" s="1617"/>
      <c r="AD6" s="1617"/>
      <c r="AE6" s="1667"/>
      <c r="AF6" s="1617"/>
      <c r="AG6" s="1667"/>
      <c r="AH6" s="1617"/>
      <c r="AI6" s="1667"/>
      <c r="AJ6" s="1667"/>
      <c r="AK6" s="1617"/>
      <c r="AL6" s="1667"/>
      <c r="AM6" s="1667"/>
      <c r="AN6" s="1617"/>
      <c r="AO6" s="1667"/>
      <c r="AP6" s="1617"/>
      <c r="AQ6" s="1667"/>
      <c r="AR6" s="1667"/>
      <c r="AS6" s="1617"/>
      <c r="AT6" s="1667"/>
      <c r="AU6" s="1570"/>
      <c r="AV6" s="1570"/>
      <c r="AW6" s="1570" t="s">
        <v>42</v>
      </c>
      <c r="AX6" s="1570"/>
      <c r="AY6" s="336" t="str">
        <f>CONCATENATE('01 使用承認申請書'!AV13)</f>
        <v>1</v>
      </c>
      <c r="AZ6" s="297" t="s">
        <v>11</v>
      </c>
      <c r="BA6" s="50"/>
      <c r="BB6" s="50"/>
      <c r="BC6" s="50"/>
      <c r="BD6" s="50" t="s">
        <v>294</v>
      </c>
      <c r="BE6" s="50"/>
      <c r="BF6" s="138" t="s">
        <v>357</v>
      </c>
      <c r="BG6" s="6"/>
      <c r="BH6" s="6"/>
      <c r="BI6" s="6"/>
      <c r="BJ6" s="6"/>
      <c r="BK6" s="6"/>
      <c r="BL6" s="6"/>
      <c r="BN6" s="1602" t="s">
        <v>373</v>
      </c>
      <c r="BO6" s="1602"/>
      <c r="BP6" s="108">
        <f>BP5-SUM(BT30:BU30)</f>
        <v>0</v>
      </c>
      <c r="BQ6" s="108">
        <f>BQ5-SUM(BV30:BW30)</f>
        <v>0</v>
      </c>
      <c r="BR6" s="108">
        <f>BR5-SUM(BX30,BY30)</f>
        <v>0</v>
      </c>
      <c r="BS6" s="255">
        <f>(BS5-(BG61+BZ17+CA17))</f>
        <v>0</v>
      </c>
      <c r="BT6" s="6"/>
      <c r="CC6" s="96" t="s">
        <v>435</v>
      </c>
      <c r="CD6" s="108">
        <f>BQ4-BW29</f>
        <v>0</v>
      </c>
      <c r="CE6" s="471">
        <f>IF(OR(CD6="",CD6=0),0,36)</f>
        <v>0</v>
      </c>
      <c r="CF6" s="477">
        <v>110</v>
      </c>
      <c r="CG6" s="473">
        <v>36</v>
      </c>
      <c r="CH6" s="96">
        <v>4</v>
      </c>
      <c r="CI6" s="231" t="e">
        <f t="shared" si="0"/>
        <v>#REF!</v>
      </c>
      <c r="CJ6" s="231" t="e">
        <f t="shared" si="1"/>
        <v>#REF!</v>
      </c>
      <c r="CK6" s="228" t="e">
        <f t="shared" si="2"/>
        <v>#REF!</v>
      </c>
      <c r="CM6" s="96">
        <v>4</v>
      </c>
      <c r="CN6" s="6" t="e">
        <f t="shared" si="3"/>
        <v>#REF!</v>
      </c>
      <c r="CO6" s="6" t="e">
        <f t="shared" si="4"/>
        <v>#REF!</v>
      </c>
      <c r="CP6" s="6" t="e">
        <f t="shared" si="5"/>
        <v>#REF!</v>
      </c>
      <c r="CQ6" t="e">
        <f t="shared" si="6"/>
        <v>#REF!</v>
      </c>
    </row>
    <row r="7" spans="1:95" ht="24.95" customHeight="1">
      <c r="A7" s="337"/>
      <c r="B7" s="337"/>
      <c r="C7" s="337"/>
      <c r="D7" s="337"/>
      <c r="E7" s="337"/>
      <c r="F7" s="337"/>
      <c r="G7" s="337"/>
      <c r="H7" s="337"/>
      <c r="I7" s="337"/>
      <c r="J7" s="337"/>
      <c r="K7" s="337"/>
      <c r="L7" s="337"/>
      <c r="M7" s="337"/>
      <c r="N7" s="337"/>
      <c r="O7" s="337"/>
      <c r="P7" s="337"/>
      <c r="Q7" s="337"/>
      <c r="R7" s="337"/>
      <c r="S7" s="337"/>
      <c r="T7" s="337"/>
      <c r="U7" s="338"/>
      <c r="V7" s="338"/>
      <c r="W7" s="338"/>
      <c r="X7" s="338"/>
      <c r="Y7" s="338"/>
      <c r="Z7" s="338"/>
      <c r="AA7" s="337"/>
      <c r="AB7" s="337"/>
      <c r="AC7" s="337"/>
      <c r="AD7" s="337"/>
      <c r="AE7" s="337"/>
      <c r="AF7" s="337"/>
      <c r="AG7" s="337"/>
      <c r="AH7" s="337"/>
      <c r="AI7" s="337"/>
      <c r="AJ7" s="337"/>
      <c r="AK7" s="337"/>
      <c r="AL7" s="337"/>
      <c r="AM7" s="337"/>
      <c r="AN7" s="337"/>
      <c r="AO7" s="337"/>
      <c r="AP7" s="337"/>
      <c r="AQ7" s="337"/>
      <c r="AR7" s="337"/>
      <c r="AS7" s="337"/>
      <c r="AT7" s="337"/>
      <c r="AU7" s="338"/>
      <c r="AV7" s="338"/>
      <c r="AW7" s="338"/>
      <c r="AX7" s="338"/>
      <c r="AY7" s="338"/>
      <c r="AZ7" s="338"/>
      <c r="BA7" s="51"/>
      <c r="BB7" s="50"/>
      <c r="BC7" s="50"/>
      <c r="BD7" s="50" t="s">
        <v>295</v>
      </c>
      <c r="BE7" s="50"/>
      <c r="BN7" s="1602" t="s">
        <v>406</v>
      </c>
      <c r="BO7" s="1602"/>
      <c r="BP7" s="6"/>
      <c r="BQ7" s="6"/>
      <c r="BR7" s="108">
        <f>(BY30-BR4)*-1</f>
        <v>0</v>
      </c>
      <c r="BS7" s="255">
        <f>BS3-BS10</f>
        <v>0</v>
      </c>
      <c r="BT7" s="6"/>
      <c r="CC7" s="96" t="s">
        <v>436</v>
      </c>
      <c r="CD7" s="108">
        <f>BR3-BX29</f>
        <v>0</v>
      </c>
      <c r="CE7" s="471">
        <f>IF(OR(CD7="",CD7=0),0,9)</f>
        <v>0</v>
      </c>
      <c r="CF7" s="477">
        <v>330</v>
      </c>
      <c r="CG7" s="472">
        <v>9</v>
      </c>
      <c r="CH7" s="96">
        <v>5</v>
      </c>
      <c r="CI7" s="231" t="e">
        <f t="shared" si="0"/>
        <v>#REF!</v>
      </c>
      <c r="CJ7" s="231" t="e">
        <f t="shared" si="1"/>
        <v>#REF!</v>
      </c>
      <c r="CK7" s="228" t="e">
        <f t="shared" si="2"/>
        <v>#REF!</v>
      </c>
      <c r="CM7" s="96">
        <v>5</v>
      </c>
      <c r="CN7" s="6" t="e">
        <f t="shared" si="3"/>
        <v>#REF!</v>
      </c>
      <c r="CO7" s="6" t="e">
        <f t="shared" si="4"/>
        <v>#REF!</v>
      </c>
      <c r="CP7" s="6" t="e">
        <f t="shared" si="5"/>
        <v>#REF!</v>
      </c>
      <c r="CQ7" t="e">
        <f t="shared" si="6"/>
        <v>#REF!</v>
      </c>
    </row>
    <row r="8" spans="1:95" ht="13.5" customHeight="1">
      <c r="A8" s="1622" t="s">
        <v>296</v>
      </c>
      <c r="B8" s="1571" t="s">
        <v>109</v>
      </c>
      <c r="C8" s="1572"/>
      <c r="D8" s="1572"/>
      <c r="E8" s="1572"/>
      <c r="F8" s="1572"/>
      <c r="G8" s="1573"/>
      <c r="H8" s="1601" t="s">
        <v>110</v>
      </c>
      <c r="I8" s="1573"/>
      <c r="J8" s="1571" t="s">
        <v>111</v>
      </c>
      <c r="K8" s="1572"/>
      <c r="L8" s="1572"/>
      <c r="M8" s="1587"/>
      <c r="N8" s="1662" t="s">
        <v>297</v>
      </c>
      <c r="O8" s="1571" t="s">
        <v>109</v>
      </c>
      <c r="P8" s="1572"/>
      <c r="Q8" s="1572"/>
      <c r="R8" s="1572"/>
      <c r="S8" s="1572"/>
      <c r="T8" s="1573"/>
      <c r="U8" s="1601" t="s">
        <v>110</v>
      </c>
      <c r="V8" s="1573"/>
      <c r="W8" s="1571" t="s">
        <v>111</v>
      </c>
      <c r="X8" s="1572"/>
      <c r="Y8" s="1572"/>
      <c r="Z8" s="1573"/>
      <c r="AA8" s="1664" t="s">
        <v>72</v>
      </c>
      <c r="AB8" s="1571" t="s">
        <v>109</v>
      </c>
      <c r="AC8" s="1572"/>
      <c r="AD8" s="1572"/>
      <c r="AE8" s="1572"/>
      <c r="AF8" s="1572"/>
      <c r="AG8" s="1573"/>
      <c r="AH8" s="1601" t="s">
        <v>110</v>
      </c>
      <c r="AI8" s="1573"/>
      <c r="AJ8" s="1571" t="s">
        <v>111</v>
      </c>
      <c r="AK8" s="1572"/>
      <c r="AL8" s="1572"/>
      <c r="AM8" s="1587"/>
      <c r="AN8" s="1662" t="s">
        <v>72</v>
      </c>
      <c r="AO8" s="1571" t="s">
        <v>109</v>
      </c>
      <c r="AP8" s="1572"/>
      <c r="AQ8" s="1572"/>
      <c r="AR8" s="1572"/>
      <c r="AS8" s="1572"/>
      <c r="AT8" s="1573"/>
      <c r="AU8" s="1601" t="s">
        <v>110</v>
      </c>
      <c r="AV8" s="1573"/>
      <c r="AW8" s="1571" t="s">
        <v>111</v>
      </c>
      <c r="AX8" s="1572"/>
      <c r="AY8" s="1572"/>
      <c r="AZ8" s="1587"/>
      <c r="BA8" s="52"/>
      <c r="BB8" s="50"/>
      <c r="BC8" s="50"/>
      <c r="BD8" s="50" t="s">
        <v>298</v>
      </c>
      <c r="BE8" s="50"/>
      <c r="BF8" s="95">
        <f>IF(BI65=TRUE,0,H13)</f>
        <v>0</v>
      </c>
      <c r="BN8" s="1602" t="s">
        <v>407</v>
      </c>
      <c r="BO8" s="1602"/>
      <c r="BP8" s="6"/>
      <c r="BQ8" s="6"/>
      <c r="BR8" s="6"/>
      <c r="BS8" s="255"/>
      <c r="BT8" s="6"/>
      <c r="CC8" s="96" t="s">
        <v>437</v>
      </c>
      <c r="CD8" s="108">
        <f>BR4-BY29</f>
        <v>0</v>
      </c>
      <c r="CE8" s="471">
        <f>IF(OR(CD8="",CD8=0),0,7)</f>
        <v>0</v>
      </c>
      <c r="CF8" s="477">
        <v>110</v>
      </c>
      <c r="CG8" s="472">
        <v>7</v>
      </c>
      <c r="CH8" s="96">
        <v>6</v>
      </c>
      <c r="CI8" s="231" t="e">
        <f t="shared" si="0"/>
        <v>#REF!</v>
      </c>
      <c r="CJ8" s="231" t="e">
        <f t="shared" si="1"/>
        <v>#REF!</v>
      </c>
      <c r="CK8" s="228" t="e">
        <f t="shared" si="2"/>
        <v>#REF!</v>
      </c>
      <c r="CM8" s="96">
        <v>6</v>
      </c>
      <c r="CN8" s="6" t="e">
        <f t="shared" si="3"/>
        <v>#REF!</v>
      </c>
      <c r="CO8" s="6" t="e">
        <f t="shared" si="4"/>
        <v>#REF!</v>
      </c>
      <c r="CP8" s="6" t="e">
        <f t="shared" si="5"/>
        <v>#REF!</v>
      </c>
      <c r="CQ8" t="e">
        <f t="shared" si="6"/>
        <v>#REF!</v>
      </c>
    </row>
    <row r="9" spans="1:95" ht="13.5" customHeight="1">
      <c r="A9" s="1622"/>
      <c r="B9" s="1610"/>
      <c r="C9" s="1611"/>
      <c r="D9" s="1611"/>
      <c r="E9" s="1611"/>
      <c r="F9" s="1611"/>
      <c r="G9" s="1612"/>
      <c r="H9" s="1574"/>
      <c r="I9" s="1576"/>
      <c r="J9" s="1574"/>
      <c r="K9" s="1575"/>
      <c r="L9" s="1575"/>
      <c r="M9" s="1588"/>
      <c r="N9" s="1663"/>
      <c r="O9" s="1610"/>
      <c r="P9" s="1611"/>
      <c r="Q9" s="1611"/>
      <c r="R9" s="1611"/>
      <c r="S9" s="1611"/>
      <c r="T9" s="1612"/>
      <c r="U9" s="1574"/>
      <c r="V9" s="1576"/>
      <c r="W9" s="1574"/>
      <c r="X9" s="1575"/>
      <c r="Y9" s="1575"/>
      <c r="Z9" s="1576"/>
      <c r="AA9" s="1664"/>
      <c r="AB9" s="1610"/>
      <c r="AC9" s="1611"/>
      <c r="AD9" s="1611"/>
      <c r="AE9" s="1611"/>
      <c r="AF9" s="1611"/>
      <c r="AG9" s="1612"/>
      <c r="AH9" s="1574"/>
      <c r="AI9" s="1576"/>
      <c r="AJ9" s="1574"/>
      <c r="AK9" s="1575"/>
      <c r="AL9" s="1575"/>
      <c r="AM9" s="1588"/>
      <c r="AN9" s="1663"/>
      <c r="AO9" s="1610"/>
      <c r="AP9" s="1611"/>
      <c r="AQ9" s="1611"/>
      <c r="AR9" s="1611"/>
      <c r="AS9" s="1611"/>
      <c r="AT9" s="1612"/>
      <c r="AU9" s="1574"/>
      <c r="AV9" s="1576"/>
      <c r="AW9" s="1574"/>
      <c r="AX9" s="1575"/>
      <c r="AY9" s="1575"/>
      <c r="AZ9" s="1588"/>
      <c r="BA9" s="52"/>
      <c r="BB9" s="50"/>
      <c r="BC9" s="50"/>
      <c r="BD9" s="50" t="s">
        <v>299</v>
      </c>
      <c r="BE9" s="50"/>
      <c r="BN9" s="1602" t="s">
        <v>471</v>
      </c>
      <c r="BO9" s="1602"/>
      <c r="BP9" s="6"/>
      <c r="BQ9" s="6"/>
      <c r="BR9" s="6"/>
      <c r="BS9" s="255">
        <f>CA17</f>
        <v>0</v>
      </c>
      <c r="BT9" s="6"/>
      <c r="CC9" s="96" t="s">
        <v>439</v>
      </c>
      <c r="CD9" s="108">
        <f>BS3-BZ29</f>
        <v>0</v>
      </c>
      <c r="CE9" s="471">
        <f>IF(OR(CD9="",CD9=0),0,5)</f>
        <v>0</v>
      </c>
      <c r="CF9" s="477">
        <v>1100</v>
      </c>
      <c r="CG9" s="472">
        <v>5</v>
      </c>
      <c r="CH9" s="96">
        <v>7</v>
      </c>
      <c r="CI9" s="231" t="e">
        <f t="shared" si="0"/>
        <v>#REF!</v>
      </c>
      <c r="CJ9" s="231" t="e">
        <f t="shared" si="1"/>
        <v>#REF!</v>
      </c>
      <c r="CK9" s="228" t="e">
        <f t="shared" si="2"/>
        <v>#REF!</v>
      </c>
      <c r="CM9" s="249">
        <v>7</v>
      </c>
      <c r="CN9" s="6" t="e">
        <f t="shared" si="3"/>
        <v>#REF!</v>
      </c>
      <c r="CO9" s="6" t="e">
        <f t="shared" si="4"/>
        <v>#REF!</v>
      </c>
      <c r="CP9" s="6" t="e">
        <f t="shared" si="5"/>
        <v>#REF!</v>
      </c>
      <c r="CQ9" t="e">
        <f t="shared" si="6"/>
        <v>#REF!</v>
      </c>
    </row>
    <row r="10" spans="1:95" ht="26.1" customHeight="1">
      <c r="A10" s="1622"/>
      <c r="B10" s="1610"/>
      <c r="C10" s="1611"/>
      <c r="D10" s="1611"/>
      <c r="E10" s="1611"/>
      <c r="F10" s="1611"/>
      <c r="G10" s="1612"/>
      <c r="H10" s="1596" t="s">
        <v>43</v>
      </c>
      <c r="I10" s="1597" t="s">
        <v>42</v>
      </c>
      <c r="J10" s="1591" t="s">
        <v>355</v>
      </c>
      <c r="K10" s="1577" t="s">
        <v>354</v>
      </c>
      <c r="L10" s="1578"/>
      <c r="M10" s="1589"/>
      <c r="N10" s="1614"/>
      <c r="O10" s="1610"/>
      <c r="P10" s="1611"/>
      <c r="Q10" s="1611"/>
      <c r="R10" s="1611"/>
      <c r="S10" s="1611"/>
      <c r="T10" s="1612"/>
      <c r="U10" s="1596" t="s">
        <v>43</v>
      </c>
      <c r="V10" s="1597" t="s">
        <v>42</v>
      </c>
      <c r="W10" s="1591" t="s">
        <v>355</v>
      </c>
      <c r="X10" s="1577" t="s">
        <v>354</v>
      </c>
      <c r="Y10" s="1578"/>
      <c r="Z10" s="1579"/>
      <c r="AA10" s="1664"/>
      <c r="AB10" s="1610"/>
      <c r="AC10" s="1611"/>
      <c r="AD10" s="1611"/>
      <c r="AE10" s="1611"/>
      <c r="AF10" s="1611"/>
      <c r="AG10" s="1612"/>
      <c r="AH10" s="1596" t="s">
        <v>43</v>
      </c>
      <c r="AI10" s="1597" t="s">
        <v>42</v>
      </c>
      <c r="AJ10" s="1591" t="s">
        <v>355</v>
      </c>
      <c r="AK10" s="1577" t="s">
        <v>354</v>
      </c>
      <c r="AL10" s="1578"/>
      <c r="AM10" s="1589"/>
      <c r="AN10" s="1614"/>
      <c r="AO10" s="1610"/>
      <c r="AP10" s="1611"/>
      <c r="AQ10" s="1611"/>
      <c r="AR10" s="1611"/>
      <c r="AS10" s="1611"/>
      <c r="AT10" s="1612"/>
      <c r="AU10" s="1596" t="s">
        <v>43</v>
      </c>
      <c r="AV10" s="1597" t="s">
        <v>42</v>
      </c>
      <c r="AW10" s="1591" t="s">
        <v>355</v>
      </c>
      <c r="AX10" s="1577" t="s">
        <v>354</v>
      </c>
      <c r="AY10" s="1578"/>
      <c r="AZ10" s="1589"/>
      <c r="BA10" s="52"/>
      <c r="BB10" s="50"/>
      <c r="BC10" s="50"/>
      <c r="BD10" s="50" t="s">
        <v>300</v>
      </c>
      <c r="BE10" s="50"/>
      <c r="BN10" s="1602" t="s">
        <v>472</v>
      </c>
      <c r="BO10" s="1602"/>
      <c r="BP10" s="6"/>
      <c r="BQ10" s="6"/>
      <c r="BR10" s="6"/>
      <c r="BS10" s="255">
        <f>BZ17</f>
        <v>0</v>
      </c>
      <c r="BT10" s="6"/>
      <c r="CC10" s="96" t="s">
        <v>438</v>
      </c>
      <c r="CD10" s="108">
        <f>BS4-CA29-(BK61*2)</f>
        <v>0</v>
      </c>
      <c r="CE10" s="471">
        <f>IF(OR(CD10="",CD10=0),0,3)</f>
        <v>0</v>
      </c>
      <c r="CF10" s="477">
        <v>350</v>
      </c>
      <c r="CG10" s="472">
        <v>3</v>
      </c>
      <c r="CH10" s="96">
        <v>8</v>
      </c>
      <c r="CI10" s="231" t="e">
        <f t="shared" si="0"/>
        <v>#REF!</v>
      </c>
      <c r="CJ10" s="231" t="e">
        <f t="shared" si="1"/>
        <v>#REF!</v>
      </c>
      <c r="CK10" s="228" t="e">
        <f t="shared" si="2"/>
        <v>#REF!</v>
      </c>
      <c r="CM10" s="96" t="s">
        <v>456</v>
      </c>
      <c r="CN10" s="1602" t="e">
        <f>SUM(CO3:CO8)</f>
        <v>#REF!</v>
      </c>
      <c r="CO10" s="1602"/>
      <c r="CP10" s="1602"/>
    </row>
    <row r="11" spans="1:95" ht="26.1" customHeight="1">
      <c r="A11" s="1622"/>
      <c r="B11" s="1610"/>
      <c r="C11" s="1611"/>
      <c r="D11" s="1611"/>
      <c r="E11" s="1611"/>
      <c r="F11" s="1611"/>
      <c r="G11" s="1612"/>
      <c r="H11" s="1596"/>
      <c r="I11" s="1597"/>
      <c r="J11" s="1592"/>
      <c r="K11" s="1577"/>
      <c r="L11" s="1578"/>
      <c r="M11" s="1589"/>
      <c r="N11" s="1614"/>
      <c r="O11" s="1610"/>
      <c r="P11" s="1611"/>
      <c r="Q11" s="1611"/>
      <c r="R11" s="1611"/>
      <c r="S11" s="1611"/>
      <c r="T11" s="1612"/>
      <c r="U11" s="1596"/>
      <c r="V11" s="1597"/>
      <c r="W11" s="1592"/>
      <c r="X11" s="1577"/>
      <c r="Y11" s="1578"/>
      <c r="Z11" s="1579"/>
      <c r="AA11" s="1664"/>
      <c r="AB11" s="1610"/>
      <c r="AC11" s="1611"/>
      <c r="AD11" s="1611"/>
      <c r="AE11" s="1611"/>
      <c r="AF11" s="1611"/>
      <c r="AG11" s="1612"/>
      <c r="AH11" s="1596"/>
      <c r="AI11" s="1597"/>
      <c r="AJ11" s="1592"/>
      <c r="AK11" s="1577"/>
      <c r="AL11" s="1578"/>
      <c r="AM11" s="1589"/>
      <c r="AN11" s="1614"/>
      <c r="AO11" s="1610"/>
      <c r="AP11" s="1611"/>
      <c r="AQ11" s="1611"/>
      <c r="AR11" s="1611"/>
      <c r="AS11" s="1611"/>
      <c r="AT11" s="1612"/>
      <c r="AU11" s="1596"/>
      <c r="AV11" s="1597"/>
      <c r="AW11" s="1592"/>
      <c r="AX11" s="1577"/>
      <c r="AY11" s="1578"/>
      <c r="AZ11" s="1589"/>
      <c r="BA11" s="52"/>
      <c r="BB11" s="50"/>
      <c r="BC11" s="50"/>
      <c r="BD11" s="50" t="s">
        <v>301</v>
      </c>
      <c r="BE11" s="50"/>
      <c r="BF11" s="138" t="s">
        <v>326</v>
      </c>
      <c r="BS11" s="253" t="s">
        <v>362</v>
      </c>
      <c r="BT11" s="254" t="s">
        <v>443</v>
      </c>
      <c r="BU11" s="118" t="s">
        <v>444</v>
      </c>
      <c r="BV11" s="110" t="s">
        <v>445</v>
      </c>
      <c r="BW11" s="97" t="s">
        <v>446</v>
      </c>
      <c r="BX11" s="118" t="s">
        <v>447</v>
      </c>
      <c r="BY11" s="118" t="s">
        <v>448</v>
      </c>
      <c r="BZ11" s="118" t="s">
        <v>449</v>
      </c>
      <c r="CA11" s="118" t="s">
        <v>450</v>
      </c>
      <c r="CC11" s="96" t="str">
        <f t="shared" ref="CC11:CC25" si="7">$BT$11&amp;BF12</f>
        <v>小泊/準</v>
      </c>
      <c r="CD11" s="99">
        <f>BT12</f>
        <v>0</v>
      </c>
      <c r="CE11" s="471">
        <f>IF(OR(BT12="",BT12=0),0,116)</f>
        <v>0</v>
      </c>
      <c r="CF11" s="471">
        <v>330</v>
      </c>
      <c r="CG11" s="476">
        <v>116</v>
      </c>
      <c r="CH11" s="96">
        <v>9</v>
      </c>
      <c r="CI11" s="231" t="e">
        <f t="shared" si="0"/>
        <v>#REF!</v>
      </c>
      <c r="CJ11" s="231" t="e">
        <f t="shared" si="1"/>
        <v>#REF!</v>
      </c>
      <c r="CK11" s="228" t="e">
        <f t="shared" si="2"/>
        <v>#REF!</v>
      </c>
    </row>
    <row r="12" spans="1:95" ht="26.1" customHeight="1">
      <c r="A12" s="1622"/>
      <c r="B12" s="1574"/>
      <c r="C12" s="1575"/>
      <c r="D12" s="1575"/>
      <c r="E12" s="1575"/>
      <c r="F12" s="1575"/>
      <c r="G12" s="1576"/>
      <c r="H12" s="1596"/>
      <c r="I12" s="1597"/>
      <c r="J12" s="1592"/>
      <c r="K12" s="1580"/>
      <c r="L12" s="1581"/>
      <c r="M12" s="1590"/>
      <c r="N12" s="1615"/>
      <c r="O12" s="1574"/>
      <c r="P12" s="1575"/>
      <c r="Q12" s="1575"/>
      <c r="R12" s="1575"/>
      <c r="S12" s="1575"/>
      <c r="T12" s="1576"/>
      <c r="U12" s="1596"/>
      <c r="V12" s="1597"/>
      <c r="W12" s="1592"/>
      <c r="X12" s="1580"/>
      <c r="Y12" s="1581"/>
      <c r="Z12" s="1582"/>
      <c r="AA12" s="1664"/>
      <c r="AB12" s="1574"/>
      <c r="AC12" s="1575"/>
      <c r="AD12" s="1575"/>
      <c r="AE12" s="1575"/>
      <c r="AF12" s="1575"/>
      <c r="AG12" s="1576"/>
      <c r="AH12" s="1596"/>
      <c r="AI12" s="1597"/>
      <c r="AJ12" s="1592"/>
      <c r="AK12" s="1580"/>
      <c r="AL12" s="1581"/>
      <c r="AM12" s="1590"/>
      <c r="AN12" s="1615"/>
      <c r="AO12" s="1574"/>
      <c r="AP12" s="1575"/>
      <c r="AQ12" s="1575"/>
      <c r="AR12" s="1575"/>
      <c r="AS12" s="1575"/>
      <c r="AT12" s="1576"/>
      <c r="AU12" s="1596"/>
      <c r="AV12" s="1597"/>
      <c r="AW12" s="1592"/>
      <c r="AX12" s="1580"/>
      <c r="AY12" s="1581"/>
      <c r="AZ12" s="1590"/>
      <c r="BA12" s="52"/>
      <c r="BB12" s="50"/>
      <c r="BC12" s="50"/>
      <c r="BD12" s="50" t="s">
        <v>302</v>
      </c>
      <c r="BE12" s="50"/>
      <c r="BF12" s="139" t="s">
        <v>327</v>
      </c>
      <c r="BG12" s="117">
        <f>COUNTIF($K$13:$M$22,"準")</f>
        <v>0</v>
      </c>
      <c r="BH12" s="112">
        <f>COUNTIF(X13:$Z$22,"準")</f>
        <v>0</v>
      </c>
      <c r="BI12" s="111">
        <f>COUNTIF(K46:$M$75,"準")</f>
        <v>0</v>
      </c>
      <c r="BJ12" s="111">
        <f>COUNTIF(X46:$Z$75,"準")</f>
        <v>0</v>
      </c>
      <c r="BK12" s="111">
        <f>COUNTIF(K89:$M$118,"準")</f>
        <v>0</v>
      </c>
      <c r="BL12" s="111">
        <f>COUNTIF(X89:$Z$118,"準")</f>
        <v>0</v>
      </c>
      <c r="BM12" s="111">
        <f>COUNTIF(K132:$M$161,"準")</f>
        <v>0</v>
      </c>
      <c r="BN12" s="111">
        <f>COUNTIF(X132:$Z$161,"準")</f>
        <v>0</v>
      </c>
      <c r="BO12" s="111">
        <f>COUNTIF(K175:$M$204,"準")</f>
        <v>0</v>
      </c>
      <c r="BP12" s="111">
        <f>COUNTIF(X175:$Z$204,"準")</f>
        <v>0</v>
      </c>
      <c r="BQ12" s="111">
        <f>COUNTIF(K218:$M$247,"準")</f>
        <v>0</v>
      </c>
      <c r="BR12" s="113">
        <f>COUNTIF(X218:$Z$247,"準")</f>
        <v>0</v>
      </c>
      <c r="BS12" s="114">
        <f>SUM(BG12:BR12)</f>
        <v>0</v>
      </c>
      <c r="BT12" s="115">
        <f>SUMIFS($H$13:$H$22,$J$13:$J$22,"小",$K$13:$K$22,"準")+SUMIFS($U$13:$U$22,$W$13:$W$22,"小",$X$13:$X$22,"準")+SUMIFS($H$46:$H$75,$J$46:$J$75,"小",$K$46:$K$75,"準")+SUMIFS($U$46:$U$75,$W$46:$W$75,"小",$X$46:$X$75,"準")+SUMIFS($H$89:$H$118,$J$89:$J$118,"小",$K$89:$K$118,"準")+SUMIFS($H$132:$H$161,$J$132:$J$161,"小",$K$132:$K$161,"準")+SUMIFS($H$175:$H$204,$J$175:$J$204,"小",$K$175:$K$204,"準")+SUMIFS($H$218:$H$247,$J$218:$J$247,"小",$K$218:$K$247,"準")+SUMIFS($U$89:$U$118,$W$89:$W$118,"小",$X$89:$X$118,"準")+SUMIFS($U$132:$U$161,$W$132:$W$161,"小",$X$132:$X$161,"準")+SUMIFS($U$175:$U$204,$W$175:$W$204,"小",$X$175:$X$204,"準")+SUMIFS($U$218:$U$247,$W$218:$W$247,"小",$X$218:$X$247,"準")</f>
        <v>0</v>
      </c>
      <c r="BU12" s="115">
        <f>SUMIFS($I$13:$I$22,$J$13:$J$22,"小",$K$13:$K$22,"準")+SUMIFS(V13:V22,W13:W22,"小",X13:X22,"準")+SUMIFS(I46:I75,J46:J75,"小",K46:K75,"準")+SUMIFS(V46:V75,W46:W75,"小",X46:X75,"準")+SUMIFS(I89:I118,J89:J118,"小",K89:K118,"準")+SUMIFS(I132:I161,J132:J161,"小",K132:K161,"準")+SUMIFS(I175:I204,J175:J204,"小",K175:K204,"準")+SUMIFS(I218:I247,J218:J247,"小",K218:K247,"準")+SUMIFS(V89:V118,W89:W118,"小",X89:X118,"準")+SUMIFS(V132:V161,W132:W161,"小",X132:X161,"準")+SUMIFS(V175:V204,W175:W204,"小",X175:X204,"準")+SUMIFS(V218:V247,W218:W247,"小",X218:X247,"準")</f>
        <v>0</v>
      </c>
      <c r="BV12" s="115">
        <f>SUMIFS($H$13:$H$22,$J$13:$J$22,"中",$K$13:$K$22,"準")+SUMIFS($U$13:$U$22,$W$13:$W$22,"中",$X$13:$X$22,"準")+SUMIFS($H$46:$H$75,$J$46:$J$75,"中",$K$46:$K$75,"準")+SUMIFS($U$46:$U$75,$W$46:$W$75,"中",$X$46:$X$75,"準")+SUMIFS($H$89:$H$118,$J$89:$J$118,"中",$K$89:$K$118,"準")+SUMIFS($H$132:$H$161,$J$132:$J$161,"中",$K$132:$K$161,"準")+SUMIFS($H$175:$H$204,$J$175:$J$204,"中",$K$175:$K$204,"準")+SUMIFS($H$218:$H$247,$J$218:$J$247,"中",$K$218:$K$247,"準")+SUMIFS($U$89:$U$118,$W$89:$W$118,"中",$X$89:$X$118,"準")+SUMIFS($U$132:$U$161,$W$132:$W$161,"中",$X$132:$X$161,"準")+SUMIFS($U$175:$U$204,$W$175:$W$204,"中",$X$175:$X$204,"準")+SUMIFS($U$218:$U$247,$W$218:$W$247,"中",$X$218:$X$247,"準")</f>
        <v>0</v>
      </c>
      <c r="BW12" s="123">
        <f>SUMIFS($I$13:$I$22,$J$13:$J$22,"中",$K$13:$K$22,"準")+SUMIFS($V$13:$V$22,$W$13:$W$22,"中",$X$13:$X$22,"準")+SUMIFS($I$46:$I$75,$J$46:$J$75,"中",$K$46:$K$75,"準")+SUMIFS($V$46:$V$75,$W$46:$W$75,"中",$X$46:$X$75,"準")+SUMIFS($I$89:$I$118,$J$89:$J$118,"中",$K$89:$K$118,"準")+SUMIFS($I$132:$I$161,$J$132:$J$161,"中",$K$132:$K$161,"準")+SUMIFS($I$175:$I$204,$J$175:$J$204,"中",$K$175:$K$204,"準")+SUMIFS($I$218:$I$247,$J$218:$J$247,"中",$K$218:$K$247,"準")+SUMIFS($V$89:$V$118,$W$89:$W$118,"中",$X$89:$X$118,"準")+SUMIFS($V$132:$V$161,$W$132:$W$161,"中",$X$132:$X$161,"準")+SUMIFS($V$175:$V$204,$W$175:$W$204,"中",$X$175:$X$204,"準")+SUMIFS($V$218:$V$247,$W$218:$W$247,"中",$X$218:$X$247,"準")</f>
        <v>0</v>
      </c>
      <c r="BX12" s="136"/>
      <c r="BY12" s="136"/>
      <c r="BZ12" s="136"/>
      <c r="CA12" s="136"/>
      <c r="CC12" s="96" t="str">
        <f t="shared" si="7"/>
        <v>小泊/特</v>
      </c>
      <c r="CD12" s="99">
        <f>BT13</f>
        <v>0</v>
      </c>
      <c r="CE12" s="471">
        <f>IF(OR(BT13="",BT13=0),0,115)</f>
        <v>0</v>
      </c>
      <c r="CF12" s="471">
        <v>330</v>
      </c>
      <c r="CG12" s="476">
        <v>115</v>
      </c>
      <c r="CH12" s="96">
        <v>10</v>
      </c>
      <c r="CI12" s="231" t="e">
        <f t="shared" si="0"/>
        <v>#REF!</v>
      </c>
      <c r="CJ12" s="231" t="e">
        <f t="shared" si="1"/>
        <v>#REF!</v>
      </c>
      <c r="CK12" s="228" t="e">
        <f t="shared" si="2"/>
        <v>#REF!</v>
      </c>
    </row>
    <row r="13" spans="1:95" ht="26.1" customHeight="1">
      <c r="A13" s="339">
        <v>1</v>
      </c>
      <c r="B13" s="1598"/>
      <c r="C13" s="1599"/>
      <c r="D13" s="1599"/>
      <c r="E13" s="1599"/>
      <c r="F13" s="1599"/>
      <c r="G13" s="1600"/>
      <c r="H13" s="340"/>
      <c r="I13" s="341"/>
      <c r="J13" s="342"/>
      <c r="K13" s="498"/>
      <c r="L13" s="498"/>
      <c r="M13" s="498"/>
      <c r="N13" s="532">
        <v>11</v>
      </c>
      <c r="O13" s="1598"/>
      <c r="P13" s="1599"/>
      <c r="Q13" s="1599"/>
      <c r="R13" s="1599"/>
      <c r="S13" s="1599"/>
      <c r="T13" s="1600"/>
      <c r="U13" s="340"/>
      <c r="V13" s="341"/>
      <c r="W13" s="342"/>
      <c r="X13" s="498"/>
      <c r="Y13" s="498"/>
      <c r="Z13" s="342"/>
      <c r="AA13" s="339">
        <v>1</v>
      </c>
      <c r="AB13" s="1598" t="s">
        <v>647</v>
      </c>
      <c r="AC13" s="1599"/>
      <c r="AD13" s="1599"/>
      <c r="AE13" s="1599"/>
      <c r="AF13" s="1599"/>
      <c r="AG13" s="1600"/>
      <c r="AH13" s="340">
        <v>1</v>
      </c>
      <c r="AI13" s="341"/>
      <c r="AJ13" s="342" t="s">
        <v>568</v>
      </c>
      <c r="AK13" s="498"/>
      <c r="AL13" s="498"/>
      <c r="AM13" s="498"/>
      <c r="AN13" s="343">
        <v>11</v>
      </c>
      <c r="AO13" s="1598" t="s">
        <v>647</v>
      </c>
      <c r="AP13" s="1599"/>
      <c r="AQ13" s="1599"/>
      <c r="AR13" s="1599"/>
      <c r="AS13" s="1599"/>
      <c r="AT13" s="1600"/>
      <c r="AU13" s="340">
        <v>1</v>
      </c>
      <c r="AV13" s="341"/>
      <c r="AW13" s="342" t="s">
        <v>359</v>
      </c>
      <c r="AX13" s="498"/>
      <c r="AY13" s="498"/>
      <c r="AZ13" s="498"/>
      <c r="BA13" s="53">
        <v>1</v>
      </c>
      <c r="BB13" s="54">
        <f t="shared" ref="BB13:BB22" si="8">COUNTA(H13:I13)</f>
        <v>0</v>
      </c>
      <c r="BC13" s="50">
        <f t="shared" ref="BC13:BC22" si="9">COUNTA(K13)</f>
        <v>0</v>
      </c>
      <c r="BD13" s="55">
        <f t="shared" ref="BD13:BE22" si="10">BB13-COUNTA(H13)</f>
        <v>0</v>
      </c>
      <c r="BE13" s="55">
        <f t="shared" si="10"/>
        <v>0</v>
      </c>
      <c r="BF13" s="139" t="s">
        <v>328</v>
      </c>
      <c r="BG13" s="111">
        <f>COUNTIF(K13:$M$22,"特")</f>
        <v>0</v>
      </c>
      <c r="BH13" s="112">
        <f>COUNTIF(X13:$Z$22,"特")</f>
        <v>0</v>
      </c>
      <c r="BI13" s="111">
        <f>COUNTIF(K46:$M$75,"特")</f>
        <v>0</v>
      </c>
      <c r="BJ13" s="111">
        <f>COUNTIF(X46:$Z$75,"特")</f>
        <v>0</v>
      </c>
      <c r="BK13" s="111">
        <f>COUNTIF(K89:$M$118,"特")</f>
        <v>0</v>
      </c>
      <c r="BL13" s="111">
        <f>COUNTIF(X89:$Z$118,"特")</f>
        <v>0</v>
      </c>
      <c r="BM13" s="111">
        <f>COUNTIF(K132:$M$161,"特")</f>
        <v>0</v>
      </c>
      <c r="BN13" s="111">
        <f>COUNTIF(X132:$Z$161,"特")</f>
        <v>0</v>
      </c>
      <c r="BO13" s="111">
        <f>COUNTIF(K175:$M$204,"特")</f>
        <v>0</v>
      </c>
      <c r="BP13" s="111">
        <f>COUNTIF(X175:$Z$204,"特")</f>
        <v>0</v>
      </c>
      <c r="BQ13" s="111">
        <f>COUNTIF(K218:$M$247,"特")</f>
        <v>0</v>
      </c>
      <c r="BR13" s="113">
        <f>COUNTIF(X218:$Z$247,"特")</f>
        <v>0</v>
      </c>
      <c r="BS13" s="114">
        <f t="shared" ref="BS13:BS26" si="11">SUM(BG13:BR13)</f>
        <v>0</v>
      </c>
      <c r="BT13" s="115">
        <f>SUMIFS($H$13:$H$22,$J$13:$J$22,"小",$K$13:$K$22,"特")+SUMIFS($U$13:$U$22,$W$13:$W$22,"小",$X$13:$X$22,"特")+SUMIFS($H$46:$H$75,$J$46:$J$75,"小",$K$46:$K$75,"特")+SUMIFS($U$46:$U$75,$W$46:$W$75,"小",$X$46:$X$75,"特")+SUMIFS($H$89:$H$118,$J$89:$J$118,"小",$K$89:$K$118,"特")+SUMIFS($H$132:$H$161,$J$132:$J$161,"小",$K$132:$K$161,"特")+SUMIFS($H$175:$H$204,$J$175:$J$204,"小",$K$175:$K$204,"特")+SUMIFS($H$218:$H$247,$J$218:$J$247,"小",$K$218:$K$247,"特")+SUMIFS($U$89:$U$118,$W$89:$W$118,"小",$X$89:$X$118,"特")+SUMIFS($U$132:$U$161,$W$132:$W$161,"小",$X$132:$X$161,"特")+SUMIFS($U$175:$U$204,$W$175:$W$204,"小",$X$175:$X$204,"特")+SUMIFS($U$218:$U$247,$W$218:$W$247,"小",$X$218:$X$247,"特")</f>
        <v>0</v>
      </c>
      <c r="BU13" s="115">
        <f>SUMIFS($I$13:$I$22,$J$13:$J$22,"小",$K$13:$K$22,"特")+SUMIFS($V$13:$V$22,$W$13:$W$22,"小",$X$13:$X$22,"特")+SUMIFS($I$46:$I$75,$J$46:$J$75,"小",$K$46:$K$75,"特")+SUMIFS($V$46:$V$75,$W$46:$W$75,"小",$X$46:$X$75,"特")+SUMIFS($I$89:$I$118,$J$89:$J$118,"小",$K$89:$K$118,"特")+SUMIFS($I$132:$I$161,$J$132:$J$161,"小",$K$132:$K$161,"特")+SUMIFS($I$175:$I$204,$J$175:$J$204,"小",$K$175:$K$204,"特")+SUMIFS($I$218:$I$247,$J$218:$J$247,"小",$K$218:$K$247,"特")+SUMIFS($V$89:$V$118,$W$89:$W$118,"小",$X$89:$X$118,"特")+SUMIFS($V$132:$V$161,$W$132:$W$161,"小",$X$132:$X$161,"特")+SUMIFS($V$175:$V$204,$W$175:$W$204,"小",$X$175:$X$204,"特")+SUMIFS($V$218:$V$247,$W$218:$W$247,"小",$X$218:$X$247,"特")</f>
        <v>0</v>
      </c>
      <c r="BV13" s="115">
        <f>SUMIFS($H$13:$H$22,$J$13:$J$22,"中",$K$13:$K$22,"特")+SUMIFS($U$13:$U$22,$W$13:$W$22,"中",$X$13:$X$22,"特")+SUMIFS($H$46:$H$75,$J$46:$J$75,"中",$K$46:$K$75,"特")+SUMIFS($U$46:$U$75,$W$46:$W$75,"中",$X$46:$X$75,"特")+SUMIFS($H$89:$H$118,$J$89:$J$118,"中",$K$89:$K$118,"特")+SUMIFS($H$132:$H$161,$J$132:$J$161,"中",$K$132:$K$161,"特")+SUMIFS($H$175:$H$204,$J$175:$J$204,"中",$K$175:$K$204,"特")+SUMIFS($H$218:$H$247,$J$218:$J$247,"中",$K$218:$K$247,"特")+SUMIFS($U$89:$U$118,$W$89:$W$118,"中",$X$89:$X$118,"特")+SUMIFS($U$132:$U$161,$W$132:$W$161,"中",$X$132:$X$161,"特")+SUMIFS($U$175:$U$204,$W$175:$W$204,"中",$X$175:$X$204,"特")+SUMIFS($U$218:$U$247,$W$218:$W$247,"中",$X$218:$X$247,"特")</f>
        <v>0</v>
      </c>
      <c r="BW13" s="123">
        <f>SUMIFS($I$13:$I$22,$J$13:$J$22,"中",$K$13:$K$22,"特")+SUMIFS($V$13:$V$22,$W$13:$W$22,"中",$X$13:$X$22,"特")+SUMIFS($I$46:$I$75,$J$46:$J$75,"中",$K$46:$K$75,"特")+SUMIFS($V$46:$V$75,$W$46:$W$75,"中",$X$46:$X$75,"特")+SUMIFS($I$89:$I$118,$J$89:$J$118,"中",$K$89:$K$118,"特")+SUMIFS($I$132:$I$161,$J$132:$J$161,"中",$K$132:$K$161,"特")+SUMIFS($I$175:$I$204,$J$175:$J$204,"中",$K$175:$K$204,"特")+SUMIFS($I$218:$I$247,$J$218:$J$247,"中",$K$218:$K$247,"特")+SUMIFS($V$89:$V$118,$W$89:$W$118,"中",$X$89:$X$118,"特")+SUMIFS($V$132:$V$161,$W$132:$W$161,"中",$X$132:$X$161,"特")+SUMIFS($V$175:$V$204,$W$175:$W$204,"中",$X$175:$X$204,"特")+SUMIFS($V$218:$V$247,$W$218:$W$247,"中",$X$218:$X$247,"特")</f>
        <v>0</v>
      </c>
      <c r="BX13" s="136"/>
      <c r="BY13" s="136"/>
      <c r="BZ13" s="136"/>
      <c r="CA13" s="136"/>
      <c r="CC13" s="96" t="str">
        <f t="shared" si="7"/>
        <v>小泊/身</v>
      </c>
      <c r="CD13" s="99">
        <f>BT14</f>
        <v>0</v>
      </c>
      <c r="CE13" s="471">
        <f>IF(OR(BT14="",BT14=0),0,114)</f>
        <v>0</v>
      </c>
      <c r="CF13" s="471">
        <v>330</v>
      </c>
      <c r="CG13" s="476">
        <v>114</v>
      </c>
      <c r="CH13" s="96">
        <v>11</v>
      </c>
      <c r="CI13" s="231" t="e">
        <f t="shared" si="0"/>
        <v>#REF!</v>
      </c>
      <c r="CJ13" s="231" t="e">
        <f t="shared" si="1"/>
        <v>#REF!</v>
      </c>
      <c r="CK13" s="228" t="e">
        <f t="shared" si="2"/>
        <v>#REF!</v>
      </c>
    </row>
    <row r="14" spans="1:95" ht="26.1" customHeight="1">
      <c r="A14" s="339">
        <v>2</v>
      </c>
      <c r="B14" s="1598"/>
      <c r="C14" s="1599"/>
      <c r="D14" s="1599"/>
      <c r="E14" s="1599"/>
      <c r="F14" s="1599"/>
      <c r="G14" s="1600"/>
      <c r="H14" s="340"/>
      <c r="I14" s="341"/>
      <c r="J14" s="342"/>
      <c r="K14" s="498"/>
      <c r="L14" s="498"/>
      <c r="M14" s="533"/>
      <c r="N14" s="343">
        <v>12</v>
      </c>
      <c r="O14" s="1598"/>
      <c r="P14" s="1599"/>
      <c r="Q14" s="1599"/>
      <c r="R14" s="1599"/>
      <c r="S14" s="1599"/>
      <c r="T14" s="1600"/>
      <c r="U14" s="340"/>
      <c r="V14" s="341"/>
      <c r="W14" s="342"/>
      <c r="X14" s="498"/>
      <c r="Y14" s="498"/>
      <c r="Z14" s="342"/>
      <c r="AA14" s="339">
        <v>2</v>
      </c>
      <c r="AB14" s="1598" t="s">
        <v>648</v>
      </c>
      <c r="AC14" s="1599"/>
      <c r="AD14" s="1599"/>
      <c r="AE14" s="1599"/>
      <c r="AF14" s="1599"/>
      <c r="AG14" s="1600"/>
      <c r="AH14" s="340">
        <v>1</v>
      </c>
      <c r="AI14" s="341"/>
      <c r="AJ14" s="342" t="s">
        <v>553</v>
      </c>
      <c r="AK14" s="498"/>
      <c r="AL14" s="498"/>
      <c r="AM14" s="533"/>
      <c r="AN14" s="344">
        <v>12</v>
      </c>
      <c r="AO14" s="1598" t="s">
        <v>648</v>
      </c>
      <c r="AP14" s="1599"/>
      <c r="AQ14" s="1599"/>
      <c r="AR14" s="1599"/>
      <c r="AS14" s="1599"/>
      <c r="AT14" s="1600"/>
      <c r="AU14" s="340">
        <v>1</v>
      </c>
      <c r="AV14" s="341"/>
      <c r="AW14" s="342" t="s">
        <v>359</v>
      </c>
      <c r="AX14" s="498"/>
      <c r="AY14" s="498"/>
      <c r="AZ14" s="498"/>
      <c r="BA14" s="53">
        <v>2</v>
      </c>
      <c r="BB14" s="54">
        <f t="shared" si="8"/>
        <v>0</v>
      </c>
      <c r="BC14" s="50">
        <f t="shared" si="9"/>
        <v>0</v>
      </c>
      <c r="BD14" s="55">
        <f t="shared" si="10"/>
        <v>0</v>
      </c>
      <c r="BE14" s="55">
        <f t="shared" si="10"/>
        <v>0</v>
      </c>
      <c r="BF14" s="138" t="s">
        <v>329</v>
      </c>
      <c r="BG14" s="99">
        <f>COUNTIF($K$13:$M$22,"身")</f>
        <v>0</v>
      </c>
      <c r="BH14" s="98">
        <f>COUNTIF(X13:$Z$22,"身")</f>
        <v>0</v>
      </c>
      <c r="BI14" s="99">
        <f>COUNTIF(K46:$M$75,"身")</f>
        <v>0</v>
      </c>
      <c r="BJ14" s="99">
        <f>COUNTIF(X46:$Z$75,"身")</f>
        <v>0</v>
      </c>
      <c r="BK14" s="99">
        <f>COUNTIF(K89:$M$118,"身")</f>
        <v>0</v>
      </c>
      <c r="BL14" s="99">
        <f>COUNTIF(X89:$Z$118,"身")</f>
        <v>0</v>
      </c>
      <c r="BM14" s="99">
        <f>COUNTIF(K132:$M$161,"身")</f>
        <v>0</v>
      </c>
      <c r="BN14" s="99">
        <f>COUNTIF(X132:$Z$161,"身")</f>
        <v>0</v>
      </c>
      <c r="BO14" s="99">
        <f>COUNTIF(K175:$M$204,"身")</f>
        <v>0</v>
      </c>
      <c r="BP14" s="99">
        <f>COUNTIF(X175:$Z$204,"身")</f>
        <v>0</v>
      </c>
      <c r="BQ14" s="99">
        <f>COUNTIF(K218:$M$247,"身")</f>
        <v>0</v>
      </c>
      <c r="BR14" s="100">
        <f>COUNTIF(X218:$Z$247,"身")</f>
        <v>0</v>
      </c>
      <c r="BS14" s="101">
        <f t="shared" si="11"/>
        <v>0</v>
      </c>
      <c r="BT14" s="116">
        <f>SUMIFS($H$13:$H$22,$J$13:$J$22,"小",$K$13:$K$22,"身")+SUMIFS($U$13:$U$22,$W$13:$W$22,"小",$X$13:$X$22,"身")+SUMIFS($H$46:$H$75,$J$46:$J$75,"小",$K$46:$K$75,"身")+SUMIFS($U$46:$U$75,$W$46:$W$75,"小",$X$46:$X$75,"身")+SUMIFS($H$89:$H$118,$J$89:$J$118,"小",$K$89:$K$118,"身")+SUMIFS($H$132:$H$161,$J$132:$J$161,"小",$K$132:$K$161,"身")+SUMIFS($H$175:$H$204,$J$175:$J$204,"小",$K$175:$K$204,"身")+SUMIFS($H$218:$H$247,$J$218:$J$247,"小",$K$218:$K$247,"身")+SUMIFS($U$89:$U$118,$W$89:$W$118,"小",$X$89:$X$118,"身")+SUMIFS($U$132:$U$161,$W$132:$W$161,"小",$X$132:$X$161,"身")+SUMIFS($U$175:$U$204,$W$175:$W$204,"小",$X$175:$X$204,"身")+SUMIFS($U$218:$U$247,$W$218:$W$247,"小",$X$218:$X$247,"身")</f>
        <v>0</v>
      </c>
      <c r="BU14" s="116">
        <f>SUMIFS($I$13:$I$22,$J$13:$J$22,"小",$K$13:$K$22,"身")+SUMIFS($V$13:$V$22,$W$13:$W$22,"小",$X$13:$X$22,"身")+SUMIFS($I$46:$I$75,$J$46:$J$75,"小",$K$46:$K$75,"身")+SUMIFS($V$46:$V$75,$W$46:$W$75,"小",$X$46:$X$75,"身")+SUMIFS($I$89:$I$118,$J$89:$J$118,"小",$K$89:$K$118,"身")+SUMIFS($I$132:$I$161,$J$132:$J$161,"小",$K$132:$K$161,"身")+SUMIFS($I$175:$I$204,$J$175:$J$204,"小",$K$175:$K$204,"身")+SUMIFS($I$218:$I$247,$J$218:$J$247,"小",$K$218:$K$247,"身")+SUMIFS($V$89:$V$118,$W$89:$W$118,"小",$X$89:$X$118,"身")+SUMIFS($V$132:$V$161,$W$132:$W$161,"小",$X$132:$X$161,"身")+SUMIFS($V$175:$V$204,$W$175:$W$204,"小",$X$175:$X$204,"身")+SUMIFS($V$218:$V$247,$W$218:$W$247,"小",$X$218:$X$247,"身")</f>
        <v>0</v>
      </c>
      <c r="BV14" s="116">
        <f>SUMIFS($H$13:$H$22,$J$13:$J$22,"中",$K$13:$K$22,"身")+SUMIFS($U$13:$U$22,$W$13:$W$22,"中",$X$13:$X$22,"身")+SUMIFS($H$46:$H$75,$J$46:$J$75,"中",$K$46:$K$75,"身")+SUMIFS($U$46:$U$75,$W$46:$W$75,"中",$X$46:$X$75,"身")+SUMIFS($H$89:$H$118,$J$89:$J$118,"中",$K$89:$K$118,"身")+SUMIFS($H$132:$H$161,$J$132:$J$161,"中",$K$132:$K$161,"身")+SUMIFS($H$175:$H$204,$J$175:$J$204,"中",$K$175:$K$204,"身")+SUMIFS($H$218:$H$247,$J$218:$J$247,"中",$K$218:$K$247,"身")+SUMIFS($U$89:$U$118,$W$89:$W$118,"中",$X$89:$X$118,"身")+SUMIFS($U$132:$U$161,$W$132:$W$161,"中",$X$132:$X$161,"身")+SUMIFS($U$175:$U$204,$W$175:$W$204,"中",$X$175:$X$204,"身")+SUMIFS($U$218:$U$247,$W$218:$W$247,"中",$X$218:$X$247,"身")</f>
        <v>0</v>
      </c>
      <c r="BW14" s="124">
        <f>SUMIFS($I$13:$I$22,$J$13:$J$22,"中",$K$13:$K$22,"身")+SUMIFS($V$13:$V$22,$W$13:$W$22,"中",$X$13:$X$22,"身")+SUMIFS($I$46:$I$75,$J$46:$J$75,"中",$K$46:$K$75,"身")+SUMIFS($V$46:$V$75,$W$46:$W$75,"中",$X$46:$X$75,"身")+SUMIFS($I$89:$I$118,$J$89:$J$118,"中",$K$89:$K$118,"身")+SUMIFS($I$132:$I$161,$J$132:$J$161,"中",$K$132:$K$161,"身")+SUMIFS($I$175:$I$204,$J$175:$J$204,"中",$K$175:$K$204,"身")+SUMIFS($I$218:$I$247,$J$218:$J$247,"中",$K$218:$K$247,"身")+SUMIFS($V$89:$V$118,$W$89:$W$118,"中",$X$89:$X$118,"身")+SUMIFS($V$132:$V$161,$W$132:$W$161,"中",$X$132:$X$161,"身")+SUMIFS($V$175:$V$204,$W$175:$W$204,"中",$X$175:$X$204,"身")+SUMIFS($V$218:$V$247,$W$218:$W$247,"中",$X$218:$X$247,"身")</f>
        <v>0</v>
      </c>
      <c r="BX14" s="128"/>
      <c r="BY14" s="128"/>
      <c r="BZ14" s="128"/>
      <c r="CA14" s="128"/>
      <c r="CC14" s="96" t="str">
        <f t="shared" si="7"/>
        <v>小泊/療</v>
      </c>
      <c r="CD14" s="99">
        <f>BT15</f>
        <v>0</v>
      </c>
      <c r="CE14" s="471">
        <f>IF(OR(BT15="",BT15=0),0,113)</f>
        <v>0</v>
      </c>
      <c r="CF14" s="471">
        <v>330</v>
      </c>
      <c r="CG14" s="476">
        <v>113</v>
      </c>
      <c r="CH14" s="96">
        <v>12</v>
      </c>
      <c r="CI14" s="231" t="e">
        <f t="shared" si="0"/>
        <v>#REF!</v>
      </c>
      <c r="CJ14" s="231" t="e">
        <f t="shared" si="1"/>
        <v>#REF!</v>
      </c>
      <c r="CK14" s="228" t="e">
        <f t="shared" si="2"/>
        <v>#REF!</v>
      </c>
    </row>
    <row r="15" spans="1:95" ht="26.1" customHeight="1">
      <c r="A15" s="339">
        <v>3</v>
      </c>
      <c r="B15" s="1598"/>
      <c r="C15" s="1599"/>
      <c r="D15" s="1599"/>
      <c r="E15" s="1599"/>
      <c r="F15" s="1599"/>
      <c r="G15" s="1600"/>
      <c r="H15" s="340"/>
      <c r="I15" s="341"/>
      <c r="J15" s="342"/>
      <c r="K15" s="498"/>
      <c r="L15" s="498"/>
      <c r="M15" s="533"/>
      <c r="N15" s="343">
        <v>13</v>
      </c>
      <c r="O15" s="1598"/>
      <c r="P15" s="1599"/>
      <c r="Q15" s="1599"/>
      <c r="R15" s="1599"/>
      <c r="S15" s="1599"/>
      <c r="T15" s="1600"/>
      <c r="U15" s="340"/>
      <c r="V15" s="341"/>
      <c r="W15" s="342"/>
      <c r="X15" s="498"/>
      <c r="Y15" s="498"/>
      <c r="Z15" s="342"/>
      <c r="AA15" s="339">
        <v>3</v>
      </c>
      <c r="AB15" s="1598" t="s">
        <v>647</v>
      </c>
      <c r="AC15" s="1599"/>
      <c r="AD15" s="1599"/>
      <c r="AE15" s="1599"/>
      <c r="AF15" s="1599"/>
      <c r="AG15" s="1600"/>
      <c r="AH15" s="340">
        <v>1</v>
      </c>
      <c r="AI15" s="341"/>
      <c r="AJ15" s="342" t="s">
        <v>360</v>
      </c>
      <c r="AK15" s="498"/>
      <c r="AL15" s="498"/>
      <c r="AM15" s="533"/>
      <c r="AN15" s="344">
        <v>13</v>
      </c>
      <c r="AO15" s="1598" t="s">
        <v>647</v>
      </c>
      <c r="AP15" s="1599"/>
      <c r="AQ15" s="1599"/>
      <c r="AR15" s="1599"/>
      <c r="AS15" s="1599"/>
      <c r="AT15" s="1600"/>
      <c r="AU15" s="340">
        <v>1</v>
      </c>
      <c r="AV15" s="341"/>
      <c r="AW15" s="342" t="s">
        <v>360</v>
      </c>
      <c r="AX15" s="498"/>
      <c r="AY15" s="498"/>
      <c r="AZ15" s="498"/>
      <c r="BA15" s="53">
        <v>3</v>
      </c>
      <c r="BB15" s="54">
        <f t="shared" si="8"/>
        <v>0</v>
      </c>
      <c r="BC15" s="50">
        <f t="shared" si="9"/>
        <v>0</v>
      </c>
      <c r="BD15" s="55">
        <f t="shared" si="10"/>
        <v>0</v>
      </c>
      <c r="BE15" s="55">
        <f t="shared" si="10"/>
        <v>0</v>
      </c>
      <c r="BF15" s="138" t="s">
        <v>330</v>
      </c>
      <c r="BG15" s="99">
        <f>COUNTIF($K$13:$M$22,"療")</f>
        <v>0</v>
      </c>
      <c r="BH15" s="98">
        <f>COUNTIF($X$13:$Z$22,"療")</f>
        <v>0</v>
      </c>
      <c r="BI15" s="99">
        <f>COUNTIF($K$46:$M$75,"療")</f>
        <v>0</v>
      </c>
      <c r="BJ15" s="99">
        <f>COUNTIF($X$46:$Z$75,"療")</f>
        <v>0</v>
      </c>
      <c r="BK15" s="99">
        <f>COUNTIF($K$89:$M$118,"療")</f>
        <v>0</v>
      </c>
      <c r="BL15" s="99">
        <f>COUNTIF($X$89:$Z$118,"療")</f>
        <v>0</v>
      </c>
      <c r="BM15" s="99">
        <f>COUNTIF($K$132:$M$161,"療")</f>
        <v>0</v>
      </c>
      <c r="BN15" s="99">
        <f>COUNTIF($X$132:$Z$161,"療")</f>
        <v>0</v>
      </c>
      <c r="BO15" s="99">
        <f>COUNTIF($K$175:$M$204,"療")</f>
        <v>0</v>
      </c>
      <c r="BP15" s="99">
        <f>COUNTIF($X$175:$Z$204,"療")</f>
        <v>0</v>
      </c>
      <c r="BQ15" s="99">
        <f>COUNTIF($K$218:$M$247,"療")</f>
        <v>0</v>
      </c>
      <c r="BR15" s="100">
        <f>COUNTIF($X$218:$Z$247,"療")</f>
        <v>0</v>
      </c>
      <c r="BS15" s="101">
        <f t="shared" si="11"/>
        <v>0</v>
      </c>
      <c r="BT15" s="116">
        <f>SUMIFS($H$13:$H$22,$J$13:$J$22,"小",$K$13:$K$22,"療")+SUMIFS($U$13:$U$22,$W$13:$W$22,"小",$X$13:$X$22,"療")+SUMIFS($H$46:$H$75,$J$46:$J$75,"小",$K$46:$K$75,"療")+SUMIFS($U$46:$U$75,$W$46:$W$75,"小",$X$46:$X$75,"療")+SUMIFS($H$89:$H$118,$J$89:$J$118,"小",$K$89:$K$118,"療")+SUMIFS($H$132:$H$161,$J$132:$J$161,"小",$K$132:$K$161,"療")+SUMIFS($H$175:$H$204,$J$175:$J$204,"小",$K$175:$K$204,"療")+SUMIFS($H$218:$H$247,$J$218:$J$247,"小",$K$218:$K$247,"療")+SUMIFS($U$89:$U$118,$W$89:$W$118,"小",$X$89:$X$118,"療")+SUMIFS($U$132:$U$161,$W$132:$W$161,"小",$X$132:$X$161,"療")+SUMIFS($U$175:$U$204,$W$175:$W$204,"小",$X$175:$X$204,"療")+SUMIFS($U$218:$U$247,$W$218:$W$247,"小",$X$218:$X$247,"療")</f>
        <v>0</v>
      </c>
      <c r="BU15" s="116">
        <f>SUMIFS($I$13:$I$22,$J$13:$J$22,"小",$K$13:$K$22,"療")+SUMIFS($V$13:$V$22,$W$13:$W$22,"小",$X$13:$X$22,"療")+SUMIFS($I$46:$I$75,$J$46:$J$75,"小",$K$46:$K$75,"療")+SUMIFS($V$46:$V$75,$W$46:$W$75,"小",$X$46:$X$75,"療")+SUMIFS($I$89:$I$118,$J$89:$J$118,"小",$K$89:$K$118,"療")+SUMIFS($I$132:$I$161,$J$132:$J$161,"小",$K$132:$K$161,"療")+SUMIFS($I$175:$I$204,$J$175:$J$204,"小",$K$175:$K$204,"療")+SUMIFS($I$218:$I$247,$J$218:$J$247,"小",$K$218:$K$247,"療")+SUMIFS($V$89:$V$118,$W$89:$W$118,"小",$X$89:$X$118,"療")+SUMIFS($V$132:$V$161,$W$132:$W$161,"小",$X$132:$X$161,"療")+SUMIFS($V$175:$V$204,$W$175:$W$204,"小",$X$175:$X$204,"療")+SUMIFS($V$218:$V$247,$W$218:$W$247,"小",$X$218:$X$247,"療")</f>
        <v>0</v>
      </c>
      <c r="BV15" s="116">
        <f>SUMIFS($H$13:$H$22,$J$13:$J$22,"中",$K$13:$K$22,"療")+SUMIFS($U$13:$U$22,$W$13:$W$22,"中",$X$13:$X$22,"療")+SUMIFS($H$46:$H$75,$J$46:$J$75,"中",$K$46:$K$75,"療")+SUMIFS($U$46:$U$75,$W$46:$W$75,"中",$X$46:$X$75,"療")+SUMIFS($H$89:$H$118,$J$89:$J$118,"中",$K$89:$K$118,"療")+SUMIFS($H$132:$H$161,$J$132:$J$161,"中",$K$132:$K$161,"療")+SUMIFS($H$175:$H$204,$J$175:$J$204,"中",$K$175:$K$204,"療")+SUMIFS($H$218:$H$247,$J$218:$J$247,"中",$K$218:$K$247,"療")+SUMIFS($U$89:$U$118,$W$89:$W$118,"中",$X$89:$X$118,"療")+SUMIFS($U$132:$U$161,$W$132:$W$161,"中",$X$132:$X$161,"療")+SUMIFS($U$175:$U$204,$W$175:$W$204,"中",$X$175:$X$204,"療")+SUMIFS($U$218:$U$247,$W$218:$W$247,"中",$X$218:$X$247,"療")</f>
        <v>0</v>
      </c>
      <c r="BW15" s="124">
        <f>SUMIFS($I$13:$I$22,$J$13:$J$22,"中",$K$13:$K$22,"療")+SUMIFS($V$13:$V$22,$W$13:$W$22,"中",$X$13:$X$22,"療")+SUMIFS($I$46:$I$75,$J$46:$J$75,"中",$K$46:$K$75,"療")+SUMIFS($V$46:$V$75,$W$46:$W$75,"中",$X$46:$X$75,"療")+SUMIFS($I$89:$I$118,$J$89:$J$118,"中",$K$89:$K$118,"療")+SUMIFS($I$132:$I$161,$J$132:$J$161,"中",$K$132:$K$161,"療")+SUMIFS($I$175:$I$204,$J$175:$J$204,"中",$K$175:$K$204,"療")+SUMIFS($I$218:$I$247,$J$218:$J$247,"中",$K$218:$K$247,"療")+SUMIFS($V$89:$V$118,$W$89:$W$118,"中",$X$89:$X$118,"療")+SUMIFS($V$132:$V$161,$W$132:$W$161,"中",$X$132:$X$161,"療")+SUMIFS($V$175:$V$204,$W$175:$W$204,"中",$X$175:$X$204,"療")+SUMIFS($V$218:$V$247,$W$218:$W$247,"中",$X$218:$X$247,"療")</f>
        <v>0</v>
      </c>
      <c r="BX15" s="128"/>
      <c r="BY15" s="128"/>
      <c r="BZ15" s="128"/>
      <c r="CA15" s="128"/>
      <c r="CC15" s="96" t="str">
        <f t="shared" si="7"/>
        <v>小泊/精</v>
      </c>
      <c r="CD15" s="99">
        <f t="shared" ref="CD15:CD19" si="12">BT16</f>
        <v>0</v>
      </c>
      <c r="CE15" s="471">
        <f>IF(OR(BT16="",BT16=0),0,112)</f>
        <v>0</v>
      </c>
      <c r="CF15" s="471">
        <v>330</v>
      </c>
      <c r="CG15" s="476">
        <v>112</v>
      </c>
      <c r="CH15" s="96">
        <v>13</v>
      </c>
      <c r="CI15" s="231" t="e">
        <f t="shared" si="0"/>
        <v>#REF!</v>
      </c>
      <c r="CJ15" s="231" t="e">
        <f t="shared" si="1"/>
        <v>#REF!</v>
      </c>
      <c r="CK15" s="228" t="e">
        <f t="shared" si="2"/>
        <v>#REF!</v>
      </c>
    </row>
    <row r="16" spans="1:95" ht="26.1" customHeight="1">
      <c r="A16" s="339">
        <v>4</v>
      </c>
      <c r="B16" s="1598"/>
      <c r="C16" s="1599"/>
      <c r="D16" s="1599"/>
      <c r="E16" s="1599"/>
      <c r="F16" s="1599"/>
      <c r="G16" s="1600"/>
      <c r="H16" s="340"/>
      <c r="I16" s="341"/>
      <c r="J16" s="342"/>
      <c r="K16" s="498"/>
      <c r="L16" s="498"/>
      <c r="M16" s="533"/>
      <c r="N16" s="343">
        <v>14</v>
      </c>
      <c r="O16" s="1598"/>
      <c r="P16" s="1599"/>
      <c r="Q16" s="1599"/>
      <c r="R16" s="1599"/>
      <c r="S16" s="1599"/>
      <c r="T16" s="1600"/>
      <c r="U16" s="340"/>
      <c r="V16" s="341"/>
      <c r="W16" s="342"/>
      <c r="X16" s="498"/>
      <c r="Y16" s="498"/>
      <c r="Z16" s="342"/>
      <c r="AA16" s="339">
        <v>4</v>
      </c>
      <c r="AB16" s="1598" t="s">
        <v>648</v>
      </c>
      <c r="AC16" s="1599"/>
      <c r="AD16" s="1599"/>
      <c r="AE16" s="1599"/>
      <c r="AF16" s="1599"/>
      <c r="AG16" s="1600"/>
      <c r="AH16" s="340">
        <v>1</v>
      </c>
      <c r="AI16" s="341"/>
      <c r="AJ16" s="342" t="s">
        <v>568</v>
      </c>
      <c r="AK16" s="498"/>
      <c r="AL16" s="498"/>
      <c r="AM16" s="533"/>
      <c r="AN16" s="344">
        <v>14</v>
      </c>
      <c r="AO16" s="1598" t="s">
        <v>648</v>
      </c>
      <c r="AP16" s="1599"/>
      <c r="AQ16" s="1599"/>
      <c r="AR16" s="1599"/>
      <c r="AS16" s="1599"/>
      <c r="AT16" s="1600"/>
      <c r="AU16" s="340">
        <v>1</v>
      </c>
      <c r="AV16" s="341"/>
      <c r="AW16" s="342" t="s">
        <v>360</v>
      </c>
      <c r="AX16" s="498"/>
      <c r="AY16" s="498"/>
      <c r="AZ16" s="498"/>
      <c r="BA16" s="53">
        <v>4</v>
      </c>
      <c r="BB16" s="54">
        <f t="shared" si="8"/>
        <v>0</v>
      </c>
      <c r="BC16" s="50">
        <f t="shared" si="9"/>
        <v>0</v>
      </c>
      <c r="BD16" s="55">
        <f t="shared" si="10"/>
        <v>0</v>
      </c>
      <c r="BE16" s="55">
        <f t="shared" si="10"/>
        <v>0</v>
      </c>
      <c r="BF16" s="138" t="s">
        <v>331</v>
      </c>
      <c r="BG16" s="99">
        <f>COUNTIF($K$13:$M$22,"精")</f>
        <v>0</v>
      </c>
      <c r="BH16" s="98">
        <f>COUNTIF($X$13:$Z$22,"精")</f>
        <v>0</v>
      </c>
      <c r="BI16" s="99">
        <f>COUNTIF($K$46:$M$75,"精")</f>
        <v>0</v>
      </c>
      <c r="BJ16" s="99">
        <f>COUNTIF($X$46:$Z$75,"精")</f>
        <v>0</v>
      </c>
      <c r="BK16" s="99">
        <f>COUNTIF($K$89:$M$118,"精")</f>
        <v>0</v>
      </c>
      <c r="BL16" s="99">
        <f>COUNTIF($X$89:$Z$118,"精")</f>
        <v>0</v>
      </c>
      <c r="BM16" s="99">
        <f>COUNTIF($K$132:$M$161,"精")</f>
        <v>0</v>
      </c>
      <c r="BN16" s="99">
        <f>COUNTIF($X$132:$Z$161,"精")</f>
        <v>0</v>
      </c>
      <c r="BO16" s="99">
        <f>COUNTIF($K$175:$M$204,"精")</f>
        <v>0</v>
      </c>
      <c r="BP16" s="99">
        <f>COUNTIF($X$175:$Z$204,"精")</f>
        <v>0</v>
      </c>
      <c r="BQ16" s="99">
        <f>COUNTIF($K$218:$M$247,"精")</f>
        <v>0</v>
      </c>
      <c r="BR16" s="100">
        <f>COUNTIF($X$218:$Z$247,"精")</f>
        <v>0</v>
      </c>
      <c r="BS16" s="101">
        <f t="shared" si="11"/>
        <v>0</v>
      </c>
      <c r="BT16" s="116">
        <f>SUMIFS($H$13:$H$22,$J$13:$J$22,"小",$K$13:$K$22,"精")+SUMIFS($U$13:$U$22,$W$13:$W$22,"小",$X$13:$X$22,"精")+SUMIFS($H$46:$H$75,$J$46:$J$75,"小",$K$46:$K$75,"精")+SUMIFS($U$46:$U$75,$W$46:$W$75,"小",$X$46:$X$75,"精")+SUMIFS($H$89:$H$118,$J$89:$J$118,"小",$K$89:$K$118,"精")+SUMIFS($H$132:$H$161,$J$132:$J$161,"小",$K$132:$K$161,"精")+SUMIFS($H$175:$H$204,$J$175:$J$204,"小",$K$175:$K$204,"精")+SUMIFS($H$218:$H$247,$J$218:$J$247,"小",$K$218:$K$247,"精")+SUMIFS($U$89:$U$118,$W$89:$W$118,"小",$X$89:$X$118,"精")+SUMIFS($U$132:$U$161,$W$132:$W$161,"小",$X$132:$X$161,"精")+SUMIFS($U$175:$U$204,$W$175:$W$204,"小",$X$175:$X$204,"精")+SUMIFS($U$218:$U$247,$W$218:$W$247,"小",$X$218:$X$247,"精")</f>
        <v>0</v>
      </c>
      <c r="BU16" s="116">
        <f>SUMIFS($I$13:$I$22,$J$13:$J$22,"小",$K$13:$K$22,"精")+SUMIFS($V$13:$V$22,$W$13:$W$22,"小",$X$13:$X$22,"精")+SUMIFS($I$46:$I$75,$J$46:$J$75,"小",$K$46:$K$75,"精")+SUMIFS($V$46:$V$75,$W$46:$W$75,"小",$X$46:$X$75,"精")+SUMIFS($I$89:$I$118,$J$89:$J$118,"小",$K$89:$K$118,"精")+SUMIFS($I$132:$I$161,$J$132:$J$161,"小",$K$132:$K$161,"精")+SUMIFS($I$175:$I$204,$J$175:$J$204,"小",$K$175:$K$204,"精")+SUMIFS($I$218:$I$247,$J$218:$J$247,"小",$K$218:$K$247,"精")+SUMIFS($V$89:$V$118,$W$89:$W$118,"小",$X$89:$X$118,"精")+SUMIFS($V$132:$V$161,$W$132:$W$161,"小",$X$132:$X$161,"精")+SUMIFS($V$175:$V$204,$W$175:$W$204,"小",$X$175:$X$204,"精")+SUMIFS($V$218:$V$247,$W$218:$W$247,"小",$X$218:$X$247,"精")</f>
        <v>0</v>
      </c>
      <c r="BV16" s="116">
        <f>SUMIFS($H$13:$H$22,$J$13:$J$22,"中",$K$13:$K$22,"精")+SUMIFS($U$13:$U$22,$W$13:$W$22,"中",$X$13:$X$22,"精")+SUMIFS($H$46:$H$75,$J$46:$J$75,"中",$K$46:$K$75,"精")+SUMIFS($U$46:$U$75,$W$46:$W$75,"中",$X$46:$X$75,"精")+SUMIFS($H$89:$H$118,$J$89:$J$118,"中",$K$89:$K$118,"精")+SUMIFS($H$132:$H$161,$J$132:$J$161,"中",$K$132:$K$161,"精")+SUMIFS($H$175:$H$204,$J$175:$J$204,"中",$K$175:$K$204,"精")+SUMIFS($H$218:$H$247,$J$218:$J$247,"中",$K$218:$K$247,"精")+SUMIFS($U$89:$U$118,$W$89:$W$118,"中",$X$89:$X$118,"精")+SUMIFS($U$132:$U$161,$W$132:$W$161,"中",$X$132:$X$161,"精")+SUMIFS($U$175:$U$204,$W$175:$W$204,"中",$X$175:$X$204,"精")+SUMIFS($U$218:$U$247,$W$218:$W$247,"中",$X$218:$X$247,"精")</f>
        <v>0</v>
      </c>
      <c r="BW16" s="124">
        <f>SUMIFS($I$13:$I$22,$J$13:$J$22,"中",$K$13:$K$22,"精")+SUMIFS($V$13:$V$22,$W$13:$W$22,"中",$X$13:$X$22,"精")+SUMIFS($I$46:$I$75,$J$46:$J$75,"中",$K$46:$K$75,"精")+SUMIFS($V$46:$V$75,$W$46:$W$75,"中",$X$46:$X$75,"精")+SUMIFS($I$89:$I$118,$J$89:$J$118,"中",$K$89:$K$118,"精")+SUMIFS($I$132:$I$161,$J$132:$J$161,"中",$K$132:$K$161,"精")+SUMIFS($I$175:$I$204,$J$175:$J$204,"中",$K$175:$K$204,"精")+SUMIFS($I$218:$I$247,$J$218:$J$247,"中",$K$218:$K$247,"精")+SUMIFS($V$89:$V$118,$W$89:$W$118,"中",$X$89:$X$118,"精")+SUMIFS($V$132:$V$161,$W$132:$W$161,"中",$X$132:$X$161,"精")+SUMIFS($V$175:$V$204,$W$175:$W$204,"中",$X$175:$X$204,"精")+SUMIFS($V$218:$V$247,$W$218:$W$247,"中",$X$218:$X$247,"精")</f>
        <v>0</v>
      </c>
      <c r="BX16" s="128"/>
      <c r="BY16" s="128"/>
      <c r="BZ16" s="128"/>
      <c r="CA16" s="128"/>
      <c r="CC16" s="96" t="str">
        <f t="shared" si="7"/>
        <v>小泊/介添</v>
      </c>
      <c r="CD16" s="99">
        <f>BT17</f>
        <v>0</v>
      </c>
      <c r="CE16" s="471">
        <f>IF(OR(BT17="",BT17=0),0,111)</f>
        <v>0</v>
      </c>
      <c r="CF16" s="471">
        <v>330</v>
      </c>
      <c r="CG16" s="476">
        <v>111</v>
      </c>
      <c r="CH16" s="96">
        <v>14</v>
      </c>
      <c r="CI16" s="231" t="e">
        <f t="shared" si="0"/>
        <v>#REF!</v>
      </c>
      <c r="CJ16" s="231" t="e">
        <f t="shared" si="1"/>
        <v>#REF!</v>
      </c>
      <c r="CK16" s="228" t="e">
        <f t="shared" si="2"/>
        <v>#REF!</v>
      </c>
    </row>
    <row r="17" spans="1:89" ht="26.1" customHeight="1">
      <c r="A17" s="339">
        <v>5</v>
      </c>
      <c r="B17" s="1598"/>
      <c r="C17" s="1599"/>
      <c r="D17" s="1599"/>
      <c r="E17" s="1599"/>
      <c r="F17" s="1599"/>
      <c r="G17" s="1600"/>
      <c r="H17" s="340"/>
      <c r="I17" s="341"/>
      <c r="J17" s="342"/>
      <c r="K17" s="498"/>
      <c r="L17" s="498"/>
      <c r="M17" s="533"/>
      <c r="N17" s="343">
        <v>15</v>
      </c>
      <c r="O17" s="1598"/>
      <c r="P17" s="1599"/>
      <c r="Q17" s="1599"/>
      <c r="R17" s="1599"/>
      <c r="S17" s="1599"/>
      <c r="T17" s="1600"/>
      <c r="U17" s="340"/>
      <c r="V17" s="341"/>
      <c r="W17" s="342"/>
      <c r="X17" s="498"/>
      <c r="Y17" s="498"/>
      <c r="Z17" s="342"/>
      <c r="AA17" s="339">
        <v>5</v>
      </c>
      <c r="AB17" s="1598" t="s">
        <v>647</v>
      </c>
      <c r="AC17" s="1599"/>
      <c r="AD17" s="1599"/>
      <c r="AE17" s="1599"/>
      <c r="AF17" s="1599"/>
      <c r="AG17" s="1600"/>
      <c r="AH17" s="340"/>
      <c r="AI17" s="341">
        <v>1</v>
      </c>
      <c r="AJ17" s="342" t="s">
        <v>553</v>
      </c>
      <c r="AK17" s="498"/>
      <c r="AL17" s="498"/>
      <c r="AM17" s="533"/>
      <c r="AN17" s="344">
        <v>15</v>
      </c>
      <c r="AO17" s="1598" t="s">
        <v>647</v>
      </c>
      <c r="AP17" s="1599"/>
      <c r="AQ17" s="1599"/>
      <c r="AR17" s="1599"/>
      <c r="AS17" s="1599"/>
      <c r="AT17" s="1600"/>
      <c r="AU17" s="340">
        <v>1</v>
      </c>
      <c r="AV17" s="341"/>
      <c r="AW17" s="342" t="s">
        <v>360</v>
      </c>
      <c r="AX17" s="498"/>
      <c r="AY17" s="498"/>
      <c r="AZ17" s="498"/>
      <c r="BA17" s="53">
        <v>5</v>
      </c>
      <c r="BB17" s="54">
        <f t="shared" si="8"/>
        <v>0</v>
      </c>
      <c r="BC17" s="50">
        <f t="shared" si="9"/>
        <v>0</v>
      </c>
      <c r="BD17" s="55">
        <f t="shared" si="10"/>
        <v>0</v>
      </c>
      <c r="BE17" s="55">
        <f t="shared" si="10"/>
        <v>0</v>
      </c>
      <c r="BF17" s="140" t="s">
        <v>361</v>
      </c>
      <c r="BG17" s="132">
        <f>COUNTIF($K$13:$M$22,"介添")</f>
        <v>0</v>
      </c>
      <c r="BH17" s="135">
        <f>COUNTIF($X$13:$Z$22,"介添")</f>
        <v>0</v>
      </c>
      <c r="BI17" s="132">
        <f>COUNTIF($K$46:$M$75,"介添")</f>
        <v>0</v>
      </c>
      <c r="BJ17" s="132">
        <f>COUNTIF($X$46:$Z$75,"介添")</f>
        <v>0</v>
      </c>
      <c r="BK17" s="132">
        <f>COUNTIF($K$89:$M$118,"介添")</f>
        <v>0</v>
      </c>
      <c r="BL17" s="132">
        <f>COUNTIF($X$89:$Z$118,"介添")</f>
        <v>0</v>
      </c>
      <c r="BM17" s="132">
        <f>COUNTIF($K$132:$M$161,"介添")</f>
        <v>0</v>
      </c>
      <c r="BN17" s="132">
        <f>COUNTIF($X$132:$Z$161,"介添")</f>
        <v>0</v>
      </c>
      <c r="BO17" s="132">
        <f>COUNTIF($K$175:$M$204,"介添")</f>
        <v>0</v>
      </c>
      <c r="BP17" s="132">
        <f>COUNTIF($X$175:$Z$204,"介添")</f>
        <v>0</v>
      </c>
      <c r="BQ17" s="132">
        <f>COUNTIF($K$218:$M$247,"介添")</f>
        <v>0</v>
      </c>
      <c r="BR17" s="133">
        <f>COUNTIF($X$218:$Z$247,"介添")</f>
        <v>0</v>
      </c>
      <c r="BS17" s="134">
        <f t="shared" si="11"/>
        <v>0</v>
      </c>
      <c r="BT17" s="131"/>
      <c r="BU17" s="131"/>
      <c r="BV17" s="131"/>
      <c r="BW17" s="130"/>
      <c r="BX17" s="132">
        <f>SUMIFS($H$13:$H$22,$J$13:$J$22,"引",$K$13:$K$22,"介添")+SUMIFS($U$13:$U$22,$W$13:$W$22,"引",$X$13:$X$22,"介添")+SUMIFS($H$46:$H$75,$J$46:$J$75,"引",$K$46:$K$75,"介添")+SUMIFS($U$46:$U$75,$W$46:$W$75,"引",$X$46:$X$75,"介添")+SUMIFS($H$89:$H$118,$J$89:$J$118,"引",$K$89:$K$118,"介添")+SUMIFS($H$132:$H$161,$J$132:$J$161,"引",$K$132:$K$161,"介添")+SUMIFS($H$175:$H$204,$J$175:$J$204,"引",$K$175:$K$204,"介添")+SUMIFS($H$218:$H$247,$J$218:$J$247,"引",$K$218:$K$247,"介添")+SUMIFS($U$89:$U$118,$W$89:$W$118,"引",$X$89:$X$118,"介添")+SUMIFS($U$132:$U$161,$W$132:$W$161,"引",$X$132:$X$161,"介添")+SUMIFS($U$175:$U$204,$W$175:$W$204,"引",$X$175:$X$204,"介添")+SUMIFS($U$218:$U$247,$W$218:$W$247,"引",$X$218:$X$247,"介添")</f>
        <v>0</v>
      </c>
      <c r="BY17" s="132">
        <f>SUMIFS($I$13:$I$22,$J$13:$J$22,"引",$K$13:$K$22,"介添")+SUMIFS($V$13:$V$22,$W$13:$W$22,"引",$X$13:$X$22,"介添")+SUMIFS($I$46:$I$75,$J$46:$J$75,"引",$K$46:$K$75,"介添")+SUMIFS($V$46:$V$75,$W$46:$W$75,"引",$X$46:$X$75,"介添")+SUMIFS($I$89:$I$118,$J$89:$J$118,"引",$K$89:$K$118,"介添")+SUMIFS($I$132:$I$161,$J$132:$J$161,"引",$K$132:$K$161,"介添")+SUMIFS($I$175:$I$204,$J$175:$J$204,"引",$K$175:$K$204,"介添")+SUMIFS($I$218:$I$247,$J$218:$J$247,"引",$K$218:$K$247,"介添")+SUMIFS($V$89:$V$118,$W$89:$W$118,"引",$X$89:$X$118,"介添")+SUMIFS($V$132:$V$161,$W$132:$W$161,"引",$X$132:$X$161,"介添")+SUMIFS($V$175:$V$204,$W$175:$W$204,"引",$X$175:$X$204,"介添")+SUMIFS($V$218:$V$247,$W$218:$W$247,"引",$X$218:$X$247,"介添")</f>
        <v>0</v>
      </c>
      <c r="BZ17" s="147">
        <f>SUMIFS($H$13:$H$22,$J$13:$J$22,"一",$K$13:$K$22,"介添")+SUMIFS($U$13:$U$22,$W$13:$W$22,"一",$X$13:$X$22,"介添")+SUMIFS($H$46:$H$75,$J$46:$J$75,"一",$K$46:$K$75,"介添")+SUMIFS($U$46:$U$75,$W$46:$W$75,"一",$X$46:$X$75,"介添")+SUMIFS($H$89:$H$118,$J$89:$J$118,"一",$K$89:$K$118,"介添")+SUMIFS($H$132:$H$161,$J$132:$J$161,"一",$K$132:$K$161,"介添")+SUMIFS($H$175:$H$204,$J$175:$J$204,"一",$K$175:$K$204,"介添")+SUMIFS($H$218:$H$247,$J$218:$J$247,"一",$K$218:$K$247,"介添")+SUMIFS($U$89:$U$118,$W$89:$W$118,"一",$X$89:$X$118,"介添")+SUMIFS($U$132:$U$161,$W$132:$W$161,"一",$X$132:$X$161,"介添")+SUMIFS($U$175:$U$204,$W$175:$W$204,"一",$X$175:$X$204,"介添")+SUMIFS($U$218:$U$247,$W$218:$W$247,"一",$X$218:$X$247,"介添")</f>
        <v>0</v>
      </c>
      <c r="CA17" s="132">
        <f>SUMIFS($I$13:$I$22,$J$13:$J$22,"一",$K$13:$K$22,"介添")+SUMIFS($V$13:$V$22,$W$13:$W$22,"一",$X$13:$X$22,"介添")+SUMIFS($I$46:$I$75,$J$46:$J$75,"一",$K$46:$K$75,"介添")+SUMIFS($V$46:$V$75,$W$46:$W$75,"一",$X$46:$X$75,"介添")+SUMIFS($I$89:$I$118,$J$89:$J$118,"一",$K$89:$K$118,"介添")+SUMIFS($I$132:$I$161,$J$132:$J$161,"一",$K$132:$K$161,"介添")+SUMIFS($I$175:$I$204,$J$175:$J$204,"一",$K$175:$K$204,"介添")+SUMIFS($I$218:$I$247,$J$218:$J$247,"一",$K$218:$K$247,"介添")+SUMIFS($V$89:$V$118,$W$89:$W$118,"一",$X$89:$X$118,"介添")+SUMIFS($V$132:$V$161,$W$132:$W$161,"一",$X$132:$X$161,"介添")+SUMIFS($V$175:$V$204,$W$175:$W$204,"一",$X$175:$X$204,"介添")+SUMIFS($V$218:$V$247,$W$218:$W$247,"一",$X$218:$X$247,"介添")</f>
        <v>0</v>
      </c>
      <c r="CC17" s="96" t="str">
        <f t="shared" si="7"/>
        <v>小泊/準・特</v>
      </c>
      <c r="CD17" s="99">
        <f>BT18</f>
        <v>0</v>
      </c>
      <c r="CE17" s="471">
        <f>IF(OR(BT18="",BT18=0),0,110)</f>
        <v>0</v>
      </c>
      <c r="CF17" s="471">
        <v>330</v>
      </c>
      <c r="CG17" s="476">
        <v>110</v>
      </c>
      <c r="CH17" s="96">
        <v>15</v>
      </c>
      <c r="CI17" s="231" t="e">
        <f t="shared" si="0"/>
        <v>#REF!</v>
      </c>
      <c r="CJ17" s="231" t="e">
        <f t="shared" si="1"/>
        <v>#REF!</v>
      </c>
      <c r="CK17" s="228" t="e">
        <f t="shared" si="2"/>
        <v>#REF!</v>
      </c>
    </row>
    <row r="18" spans="1:89" ht="26.1" customHeight="1">
      <c r="A18" s="339">
        <v>6</v>
      </c>
      <c r="B18" s="1598"/>
      <c r="C18" s="1599"/>
      <c r="D18" s="1599"/>
      <c r="E18" s="1599"/>
      <c r="F18" s="1599"/>
      <c r="G18" s="1600"/>
      <c r="H18" s="340"/>
      <c r="I18" s="341"/>
      <c r="J18" s="342"/>
      <c r="K18" s="498"/>
      <c r="L18" s="498"/>
      <c r="M18" s="533"/>
      <c r="N18" s="343">
        <v>16</v>
      </c>
      <c r="O18" s="1598"/>
      <c r="P18" s="1599"/>
      <c r="Q18" s="1599"/>
      <c r="R18" s="1599"/>
      <c r="S18" s="1599"/>
      <c r="T18" s="1600"/>
      <c r="U18" s="340"/>
      <c r="V18" s="341"/>
      <c r="W18" s="342"/>
      <c r="X18" s="498"/>
      <c r="Y18" s="498"/>
      <c r="Z18" s="342"/>
      <c r="AA18" s="339">
        <v>6</v>
      </c>
      <c r="AB18" s="1598" t="s">
        <v>648</v>
      </c>
      <c r="AC18" s="1599"/>
      <c r="AD18" s="1599"/>
      <c r="AE18" s="1599"/>
      <c r="AF18" s="1599"/>
      <c r="AG18" s="1600"/>
      <c r="AH18" s="340"/>
      <c r="AI18" s="341">
        <v>1</v>
      </c>
      <c r="AJ18" s="342" t="s">
        <v>360</v>
      </c>
      <c r="AK18" s="498"/>
      <c r="AL18" s="498"/>
      <c r="AM18" s="533"/>
      <c r="AN18" s="344">
        <v>16</v>
      </c>
      <c r="AO18" s="1598" t="s">
        <v>648</v>
      </c>
      <c r="AP18" s="1599"/>
      <c r="AQ18" s="1599"/>
      <c r="AR18" s="1599"/>
      <c r="AS18" s="1599"/>
      <c r="AT18" s="1600"/>
      <c r="AU18" s="340">
        <v>1</v>
      </c>
      <c r="AV18" s="341"/>
      <c r="AW18" s="342" t="s">
        <v>360</v>
      </c>
      <c r="AX18" s="498"/>
      <c r="AY18" s="498"/>
      <c r="AZ18" s="498"/>
      <c r="BA18" s="53">
        <v>6</v>
      </c>
      <c r="BB18" s="54">
        <f t="shared" si="8"/>
        <v>0</v>
      </c>
      <c r="BC18" s="50">
        <f t="shared" si="9"/>
        <v>0</v>
      </c>
      <c r="BD18" s="55">
        <f t="shared" si="10"/>
        <v>0</v>
      </c>
      <c r="BE18" s="55">
        <f t="shared" si="10"/>
        <v>0</v>
      </c>
      <c r="BF18" s="139" t="s">
        <v>335</v>
      </c>
      <c r="BG18" s="111">
        <f>COUNTIF($K$13:$M$22,"準・特")</f>
        <v>0</v>
      </c>
      <c r="BH18" s="112">
        <f>COUNTIF($X$13:$Z$22,"準・特")</f>
        <v>0</v>
      </c>
      <c r="BI18" s="111">
        <f>COUNTIF($K$46:$M$75,"準・特")</f>
        <v>0</v>
      </c>
      <c r="BJ18" s="111">
        <f>COUNTIF($X$46:$Z$75,"準・特")</f>
        <v>0</v>
      </c>
      <c r="BK18" s="111">
        <f>COUNTIF($K$89:$M$118,"準・特")</f>
        <v>0</v>
      </c>
      <c r="BL18" s="111">
        <f>COUNTIF($X$89:$Z$118,"準・特")</f>
        <v>0</v>
      </c>
      <c r="BM18" s="111">
        <f>COUNTIF($K$132:$M$161,"準・特")</f>
        <v>0</v>
      </c>
      <c r="BN18" s="111">
        <f>COUNTIF($X$132:$Z$161,"準・特")</f>
        <v>0</v>
      </c>
      <c r="BO18" s="111">
        <f>COUNTIF($K$175:$M$204,"準・特")</f>
        <v>0</v>
      </c>
      <c r="BP18" s="111">
        <f>COUNTIF($X$175:$Z$204,"準・特")</f>
        <v>0</v>
      </c>
      <c r="BQ18" s="111">
        <f>COUNTIF($K$218:$M$247,"準・特")</f>
        <v>0</v>
      </c>
      <c r="BR18" s="113">
        <f>COUNTIF($X$218:$Z$247,"準・特")</f>
        <v>0</v>
      </c>
      <c r="BS18" s="114">
        <f t="shared" si="11"/>
        <v>0</v>
      </c>
      <c r="BT18" s="115">
        <f>SUMIFS($H$13:$H$22,$J$13:$J$22,"小",$K$13:$K$22,"準・特")+SUMIFS($U$13:$U$22,$W$13:$W$22,"小",$X$13:$X$22,"準・特")+SUMIFS($H$46:$H$75,$J$46:$J$75,"小",$K$46:$K$75,"準・特")+SUMIFS($U$46:$U$75,$W$46:$W$75,"小",$X$46:$X$75,"準・特")+SUMIFS($H$89:$H$118,$J$89:$J$118,"小",$K$89:$K$118,"準・特")+SUMIFS($H$132:$H$161,$J$132:$J$161,"小",$K$132:$K$161,"準・特")+SUMIFS($H$175:$H$204,$J$175:$J$204,"小",$K$175:$K$204,"準・特")+SUMIFS($H$218:$H$247,$J$218:$J$247,"小",$K$218:$K$247,"準・特")+SUMIFS($U$89:$U$118,$W$89:$W$118,"小",$X$89:$X$118,"準・特")+SUMIFS($U$132:$U$161,$W$132:$W$161,"小",$X$132:$X$161,"準・特")+SUMIFS($U$175:$U$204,$W$175:$W$204,"小",$X$175:$X$204,"準・特")+SUMIFS($U$218:$U$247,$W$218:$W$247,"小",$X$218:$X$247,"準・特")</f>
        <v>0</v>
      </c>
      <c r="BU18" s="115">
        <f>SUMIFS($I$13:$I$22,$J$13:$J$22,"小",$K$13:$K$22,"準・特")+SUMIFS($V$13:$V$22,$W$13:$W$22,"小",$X$13:$X$22,"準・特")+SUMIFS($I$46:$I$75,$J$46:$J$75,"小",$K$46:$K$75,"準・特")+SUMIFS($V$46:$V$75,$W$46:$W$75,"小",$X$46:$X$75,"準・特")+SUMIFS($I$89:$I$118,$J$89:$J$118,"小",$K$89:$K$118,"準・特")+SUMIFS($I$132:$I$161,$J$132:$J$161,"小",$K$132:$K$161,"準・特")+SUMIFS($I$175:$I$204,$J$175:$J$204,"小",$K$175:$K$204,"準・特")+SUMIFS($I$218:$I$247,$J$218:$J$247,"小",$K$218:$K$247,"準・特")+SUMIFS($V$89:$V$118,$W$89:$W$118,"小",$X$89:$X$118,"準・特")+SUMIFS($V$132:$V$161,$W$132:$W$161,"小",$X$132:$X$161,"準・特")+SUMIFS($V$175:$V$204,$W$175:$W$204,"小",$X$175:$X$204,"準・特")+SUMIFS($V$218:$V$247,$W$218:$W$247,"小",$X$218:$X$247,"準・特")</f>
        <v>0</v>
      </c>
      <c r="BV18" s="115">
        <f>SUMIFS($H$13:$H$22,$J$13:$J$22,"中",$K$13:$K$22,"準・特")+SUMIFS($U$13:$U$22,$W$13:$W$22,"中",$X$13:$X$22,"準・特")+SUMIFS($H$46:$H$75,$J$46:$J$75,"中",$K$46:$K$75,"準・特")+SUMIFS($U$46:$U$75,$W$46:$W$75,"中",$X$46:$X$75,"準・特")+SUMIFS($H$89:$H$118,$J$89:$J$118,"中",$K$89:$K$118,"準・特")+SUMIFS($H$132:$H$161,$J$132:$J$161,"中",$K$132:$K$161,"準・特")+SUMIFS($H$175:$H$204,$J$175:$J$204,"中",$K$175:$K$204,"準・特")+SUMIFS($H$218:$H$247,$J$218:$J$247,"中",$K$218:$K$247,"準・特")+SUMIFS($U$89:$U$118,$W$89:$W$118,"中",$X$89:$X$118,"準・特")+SUMIFS($U$132:$U$161,$W$132:$W$161,"中",$X$132:$X$161,"準・特")+SUMIFS($U$175:$U$204,$W$175:$W$204,"中",$X$175:$X$204,"準・特")+SUMIFS($U$218:$U$247,$W$218:$W$247,"中",$X$218:$X$247,"準・特")</f>
        <v>0</v>
      </c>
      <c r="BW18" s="123">
        <f>SUMIFS($I$13:$I$22,$J$13:$J$22,"中",$K$13:$K$22,"準・特")+SUMIFS($V$13:$V$22,$W$13:$W$22,"中",$X$13:$X$22,"準・特")+SUMIFS($I$46:$I$75,$J$46:$J$75,"中",$K$46:$K$75,"準・特")+SUMIFS($V$46:$V$75,$W$46:$W$75,"中",$X$46:$X$75,"準・特")+SUMIFS($I$89:$I$118,$J$89:$J$118,"中",$K$89:$K$118,"準・特")+SUMIFS($I$132:$I$161,$J$132:$J$161,"中",$K$132:$K$161,"準・特")+SUMIFS($I$175:$I$204,$J$175:$J$204,"中",$K$175:$K$204,"準・特")+SUMIFS($I$218:$I$247,$J$218:$J$247,"中",$K$218:$K$247,"準・特")+SUMIFS($V$89:$V$118,$W$89:$W$118,"中",$X$89:$X$118,"準・特")+SUMIFS($V$132:$V$161,$W$132:$W$161,"中",$X$132:$X$161,"準・特")+SUMIFS($V$175:$V$204,$W$175:$W$204,"中",$X$175:$X$204,"準・特")+SUMIFS($V$218:$V$247,$W$218:$W$247,"中",$X$218:$X$247,"準・特")</f>
        <v>0</v>
      </c>
      <c r="BX18" s="136"/>
      <c r="BY18" s="136"/>
      <c r="BZ18" s="136"/>
      <c r="CA18" s="136"/>
      <c r="CC18" s="96" t="str">
        <f t="shared" si="7"/>
        <v>小泊/準・身</v>
      </c>
      <c r="CD18" s="99">
        <f t="shared" si="12"/>
        <v>0</v>
      </c>
      <c r="CE18" s="471">
        <f>IF(OR(BT19="",BT19=0),0,109)</f>
        <v>0</v>
      </c>
      <c r="CF18" s="471">
        <v>330</v>
      </c>
      <c r="CG18" s="476">
        <v>109</v>
      </c>
      <c r="CI18" s="470"/>
    </row>
    <row r="19" spans="1:89" ht="26.1" customHeight="1">
      <c r="A19" s="339">
        <v>7</v>
      </c>
      <c r="B19" s="1598"/>
      <c r="C19" s="1599"/>
      <c r="D19" s="1599"/>
      <c r="E19" s="1599"/>
      <c r="F19" s="1599"/>
      <c r="G19" s="1600"/>
      <c r="H19" s="340"/>
      <c r="I19" s="341"/>
      <c r="J19" s="342"/>
      <c r="K19" s="498"/>
      <c r="L19" s="498"/>
      <c r="M19" s="533"/>
      <c r="N19" s="343">
        <v>17</v>
      </c>
      <c r="O19" s="1598"/>
      <c r="P19" s="1599"/>
      <c r="Q19" s="1599"/>
      <c r="R19" s="1599"/>
      <c r="S19" s="1599"/>
      <c r="T19" s="1600"/>
      <c r="U19" s="340"/>
      <c r="V19" s="341"/>
      <c r="W19" s="342"/>
      <c r="X19" s="498"/>
      <c r="Y19" s="498"/>
      <c r="Z19" s="342"/>
      <c r="AA19" s="339">
        <v>7</v>
      </c>
      <c r="AB19" s="1598" t="s">
        <v>647</v>
      </c>
      <c r="AC19" s="1599"/>
      <c r="AD19" s="1599"/>
      <c r="AE19" s="1599"/>
      <c r="AF19" s="1599"/>
      <c r="AG19" s="1600"/>
      <c r="AH19" s="340">
        <v>1</v>
      </c>
      <c r="AI19" s="341"/>
      <c r="AJ19" s="342" t="s">
        <v>360</v>
      </c>
      <c r="AK19" s="498"/>
      <c r="AL19" s="498"/>
      <c r="AM19" s="533"/>
      <c r="AN19" s="344">
        <v>17</v>
      </c>
      <c r="AO19" s="1598" t="s">
        <v>647</v>
      </c>
      <c r="AP19" s="1599"/>
      <c r="AQ19" s="1599"/>
      <c r="AR19" s="1599"/>
      <c r="AS19" s="1599"/>
      <c r="AT19" s="1600"/>
      <c r="AU19" s="340">
        <v>1</v>
      </c>
      <c r="AV19" s="341"/>
      <c r="AW19" s="342" t="s">
        <v>360</v>
      </c>
      <c r="AX19" s="498"/>
      <c r="AY19" s="498"/>
      <c r="AZ19" s="498"/>
      <c r="BA19" s="53">
        <v>7</v>
      </c>
      <c r="BB19" s="54">
        <f t="shared" si="8"/>
        <v>0</v>
      </c>
      <c r="BC19" s="50">
        <f t="shared" si="9"/>
        <v>0</v>
      </c>
      <c r="BD19" s="55">
        <f t="shared" si="10"/>
        <v>0</v>
      </c>
      <c r="BE19" s="55">
        <f t="shared" si="10"/>
        <v>0</v>
      </c>
      <c r="BF19" s="138" t="s">
        <v>336</v>
      </c>
      <c r="BG19" s="99">
        <f>COUNTIF($K$13:$M$22,"準・身")</f>
        <v>0</v>
      </c>
      <c r="BH19" s="98">
        <f>COUNTIF($X$13:$Z$22,"準・身")</f>
        <v>0</v>
      </c>
      <c r="BI19" s="99">
        <f>COUNTIF($K$46:$M$75,"準・身")</f>
        <v>0</v>
      </c>
      <c r="BJ19" s="99">
        <f>COUNTIF($X$46:$Z$75,"準・身")</f>
        <v>0</v>
      </c>
      <c r="BK19" s="99">
        <f>COUNTIF($K$89:$M$118,"準・身")</f>
        <v>0</v>
      </c>
      <c r="BL19" s="99">
        <f>COUNTIF($X$89:$Z$118,"準・身")</f>
        <v>0</v>
      </c>
      <c r="BM19" s="99">
        <f>COUNTIF($K$132:$M$161,"準・身")</f>
        <v>0</v>
      </c>
      <c r="BN19" s="99">
        <f>COUNTIF($X$132:$Z$161,"準・身")</f>
        <v>0</v>
      </c>
      <c r="BO19" s="99">
        <f>COUNTIF($K$175:$M$204,"準・身")</f>
        <v>0</v>
      </c>
      <c r="BP19" s="99">
        <f>COUNTIF($X$175:$Z$204,"準・身")</f>
        <v>0</v>
      </c>
      <c r="BQ19" s="99">
        <f>COUNTIF($K$218:$M$247,"準・身")</f>
        <v>0</v>
      </c>
      <c r="BR19" s="100">
        <f>COUNTIF($X$218:$Z$247,"準・身")</f>
        <v>0</v>
      </c>
      <c r="BS19" s="101">
        <f t="shared" si="11"/>
        <v>0</v>
      </c>
      <c r="BT19" s="116">
        <f>SUMIFS($H$13:$H$22,$J$13:$J$22,"小",$K$13:$K$22,"準・身")+SUMIFS($U$13:$U$22,$W$13:$W$22,"小",$X$13:$X$22,"準・身")+SUMIFS($H$46:$H$75,$J$46:$J$75,"小",$K$46:$K$75,"準・身")+SUMIFS($U$46:$U$75,$W$46:$W$75,"小",$X$46:$X$75,"準・身")+SUMIFS($H$89:$H$118,$J$89:$J$118,"小",$K$89:$K$118,"準・身")+SUMIFS($H$132:$H$161,$J$132:$J$161,"小",$K$132:$K$161,"準・身")+SUMIFS($H$175:$H$204,$J$175:$J$204,"小",$K$175:$K$204,"準・身")+SUMIFS($H$218:$H$247,$J$218:$J$247,"小",$K$218:$K$247,"準・身")+SUMIFS($U$89:$U$118,$W$89:$W$118,"小",$X$89:$X$118,"準・身")+SUMIFS($U$132:$U$161,$W$132:$W$161,"小",$X$132:$X$161,"準・身")+SUMIFS($U$175:$U$204,$W$175:$W$204,"小",$X$175:$X$204,"準・身")+SUMIFS($U$218:$U$247,$W$218:$W$247,"小",$X$218:$X$247,"準・身")</f>
        <v>0</v>
      </c>
      <c r="BU19" s="116">
        <f>SUMIFS($I$13:$I$22,$J$13:$J$22,"小",$K$13:$K$22,"準・身")+SUMIFS($V$13:$V$22,$W$13:$W$22,"小",$X$13:$X$22,"準・身")+SUMIFS($I$46:$I$75,$J$46:$J$75,"小",$K$46:$K$75,"準・身")+SUMIFS($V$46:$V$75,$W$46:$W$75,"小",$X$46:$X$75,"準・身")+SUMIFS($I$89:$I$118,$J$89:$J$118,"小",$K$89:$K$118,"準・身")+SUMIFS($I$132:$I$161,$J$132:$J$161,"小",$K$132:$K$161,"準・身")+SUMIFS($I$175:$I$204,$J$175:$J$204,"小",$K$175:$K$204,"準・身")+SUMIFS($I$218:$I$247,$J$218:$J$247,"小",$K$218:$K$247,"準・身")+SUMIFS($V$89:$V$118,$W$89:$W$118,"小",$X$89:$X$118,"準・身")+SUMIFS($V$132:$V$161,$W$132:$W$161,"小",$X$132:$X$161,"準・身")+SUMIFS($V$175:$V$204,$W$175:$W$204,"小",$X$175:$X$204,"準・身")+SUMIFS($V$218:$V$247,$W$218:$W$247,"小",$X$218:$X$247,"準・身")</f>
        <v>0</v>
      </c>
      <c r="BV19" s="116">
        <f>SUMIFS($H$13:$H$22,$J$13:$J$22,"中",$K$13:$K$22,"準・身")+SUMIFS($U$13:$U$22,$W$13:$W$22,"中",$X$13:$X$22,"準・身")+SUMIFS($H$46:$H$75,$J$46:$J$75,"中",$K$46:$K$75,"準・身")+SUMIFS($U$46:$U$75,$W$46:$W$75,"中",$X$46:$X$75,"準・身")+SUMIFS($H$89:$H$118,$J$89:$J$118,"中",$K$89:$K$118,"準・身")+SUMIFS($H$132:$H$161,$J$132:$J$161,"中",$K$132:$K$161,"準・身")+SUMIFS($H$175:$H$204,$J$175:$J$204,"中",$K$175:$K$204,"準・身")+SUMIFS($H$218:$H$247,$J$218:$J$247,"中",$K$218:$K$247,"準・身")+SUMIFS($U$89:$U$118,$W$89:$W$118,"中",$X$89:$X$118,"準・身")+SUMIFS($U$132:$U$161,$W$132:$W$161,"中",$X$132:$X$161,"準・身")+SUMIFS($U$175:$U$204,$W$175:$W$204,"中",$X$175:$X$204,"準・身")+SUMIFS($U$218:$U$247,$W$218:$W$247,"中",$X$218:$X$247,"準・身")</f>
        <v>0</v>
      </c>
      <c r="BW19" s="124">
        <f>SUMIFS($I$13:$I$22,$J$13:$J$22,"中",$K$13:$K$22,"準・身")+SUMIFS($V$13:$V$22,$W$13:$W$22,"中",$X$13:$X$22,"準・身")+SUMIFS($I$46:$I$75,$J$46:$J$75,"中",$K$46:$K$75,"準・身")+SUMIFS($V$46:$V$75,$W$46:$W$75,"中",$X$46:$X$75,"準・身")+SUMIFS($I$89:$I$118,$J$89:$J$118,"中",$K$89:$K$118,"準・身")+SUMIFS($I$132:$I$161,$J$132:$J$161,"中",$K$132:$K$161,"準・身")+SUMIFS($I$175:$I$204,$J$175:$J$204,"中",$K$175:$K$204,"準・身")+SUMIFS($I$218:$I$247,$J$218:$J$247,"中",$K$218:$K$247,"準・身")+SUMIFS($V$89:$V$118,$W$89:$W$118,"中",$X$89:$X$118,"準・身")+SUMIFS($V$132:$V$161,$W$132:$W$161,"中",$X$132:$X$161,"準・身")+SUMIFS($V$175:$V$204,$W$175:$W$204,"中",$X$175:$X$204,"準・身")+SUMIFS($V$218:$V$247,$W$218:$W$247,"中",$X$218:$X$247,"準・身")</f>
        <v>0</v>
      </c>
      <c r="BX19" s="128"/>
      <c r="BY19" s="128"/>
      <c r="BZ19" s="128"/>
      <c r="CA19" s="128"/>
      <c r="CC19" s="96" t="str">
        <f t="shared" si="7"/>
        <v>小泊/準・療</v>
      </c>
      <c r="CD19" s="99">
        <f t="shared" si="12"/>
        <v>0</v>
      </c>
      <c r="CE19" s="471">
        <f>IF(OR(BT20="",BT20=0),0,108)</f>
        <v>0</v>
      </c>
      <c r="CF19" s="471">
        <v>330</v>
      </c>
      <c r="CG19" s="476">
        <v>108</v>
      </c>
    </row>
    <row r="20" spans="1:89" ht="26.1" customHeight="1">
      <c r="A20" s="339">
        <v>8</v>
      </c>
      <c r="B20" s="1598"/>
      <c r="C20" s="1599"/>
      <c r="D20" s="1599"/>
      <c r="E20" s="1599"/>
      <c r="F20" s="1599"/>
      <c r="G20" s="1600"/>
      <c r="H20" s="340"/>
      <c r="I20" s="341"/>
      <c r="J20" s="342"/>
      <c r="K20" s="498"/>
      <c r="L20" s="498"/>
      <c r="M20" s="533"/>
      <c r="N20" s="343">
        <v>18</v>
      </c>
      <c r="O20" s="1598"/>
      <c r="P20" s="1599"/>
      <c r="Q20" s="1599"/>
      <c r="R20" s="1599"/>
      <c r="S20" s="1599"/>
      <c r="T20" s="1600"/>
      <c r="U20" s="340"/>
      <c r="V20" s="341"/>
      <c r="W20" s="342"/>
      <c r="X20" s="498"/>
      <c r="Y20" s="498"/>
      <c r="Z20" s="342"/>
      <c r="AA20" s="339">
        <v>8</v>
      </c>
      <c r="AB20" s="1598" t="s">
        <v>648</v>
      </c>
      <c r="AC20" s="1599"/>
      <c r="AD20" s="1599"/>
      <c r="AE20" s="1599"/>
      <c r="AF20" s="1599"/>
      <c r="AG20" s="1600"/>
      <c r="AH20" s="340">
        <v>1</v>
      </c>
      <c r="AI20" s="341"/>
      <c r="AJ20" s="342" t="s">
        <v>359</v>
      </c>
      <c r="AK20" s="498"/>
      <c r="AL20" s="498"/>
      <c r="AM20" s="533"/>
      <c r="AN20" s="344">
        <v>18</v>
      </c>
      <c r="AO20" s="1598" t="s">
        <v>648</v>
      </c>
      <c r="AP20" s="1599"/>
      <c r="AQ20" s="1599"/>
      <c r="AR20" s="1599"/>
      <c r="AS20" s="1599"/>
      <c r="AT20" s="1600"/>
      <c r="AU20" s="340">
        <v>1</v>
      </c>
      <c r="AV20" s="341"/>
      <c r="AW20" s="342" t="s">
        <v>360</v>
      </c>
      <c r="AX20" s="498"/>
      <c r="AY20" s="498"/>
      <c r="AZ20" s="498"/>
      <c r="BA20" s="53">
        <v>8</v>
      </c>
      <c r="BB20" s="54">
        <f t="shared" si="8"/>
        <v>0</v>
      </c>
      <c r="BC20" s="50">
        <f t="shared" si="9"/>
        <v>0</v>
      </c>
      <c r="BD20" s="55">
        <f t="shared" si="10"/>
        <v>0</v>
      </c>
      <c r="BE20" s="55">
        <f t="shared" si="10"/>
        <v>0</v>
      </c>
      <c r="BF20" s="138" t="s">
        <v>337</v>
      </c>
      <c r="BG20" s="99">
        <f>COUNTIF($K$13:$M$22,"準・療")</f>
        <v>0</v>
      </c>
      <c r="BH20" s="98">
        <f>COUNTIF($X$13:$Z$22,"準・療")</f>
        <v>0</v>
      </c>
      <c r="BI20" s="99">
        <f>COUNTIF($K$46:$M$75,"準・療")</f>
        <v>0</v>
      </c>
      <c r="BJ20" s="99">
        <f>COUNTIF($X$46:$Z$75,"準・療")</f>
        <v>0</v>
      </c>
      <c r="BK20" s="99">
        <f>COUNTIF($K$89:$M$118,"準・療")</f>
        <v>0</v>
      </c>
      <c r="BL20" s="99">
        <f>COUNTIF($X$89:$Z$118,"準・療")</f>
        <v>0</v>
      </c>
      <c r="BM20" s="99">
        <f>COUNTIF($K$132:$M$161,"準・療")</f>
        <v>0</v>
      </c>
      <c r="BN20" s="99">
        <f>COUNTIF($X$132:$Z$161,"準・療")</f>
        <v>0</v>
      </c>
      <c r="BO20" s="99">
        <f>COUNTIF($K$175:$M$204,"準・療")</f>
        <v>0</v>
      </c>
      <c r="BP20" s="99">
        <f>COUNTIF($X$175:$Z$204,"準・療")</f>
        <v>0</v>
      </c>
      <c r="BQ20" s="99">
        <f>COUNTIF($K$218:$M$247,"準・療")</f>
        <v>0</v>
      </c>
      <c r="BR20" s="100">
        <f>COUNTIF($X$218:$Z$247,"準・療")</f>
        <v>0</v>
      </c>
      <c r="BS20" s="101">
        <f t="shared" si="11"/>
        <v>0</v>
      </c>
      <c r="BT20" s="116">
        <f>SUMIFS($H$13:$H$22,$J$13:$J$22,"小",$K$13:$K$22,"準・療")+SUMIFS($U$13:$U$22,$W$13:$W$22,"小",$X$13:$X$22,"準・療")+SUMIFS($H$46:$H$75,$J$46:$J$75,"小",$K$46:$K$75,"準・療")+SUMIFS($U$46:$U$75,$W$46:$W$75,"小",$X$46:$X$75,"準・療")+SUMIFS($H$89:$H$118,$J$89:$J$118,"小",$K$89:$K$118,"準・療")+SUMIFS($H$132:$H$161,$J$132:$J$161,"小",$K$132:$K$161,"準・療")+SUMIFS($H$175:$H$204,$J$175:$J$204,"小",$K$175:$K$204,"準・療")+SUMIFS($H$218:$H$247,$J$218:$J$247,"小",$K$218:$K$247,"準・療")+SUMIFS($U$89:$U$118,$W$89:$W$118,"小",$X$89:$X$118,"準・療")+SUMIFS($U$132:$U$161,$W$132:$W$161,"小",$X$132:$X$161,"準・療")+SUMIFS($U$175:$U$204,$W$175:$W$204,"小",$X$175:$X$204,"準・療")+SUMIFS($U$218:$U$247,$W$218:$W$247,"小",$X$218:$X$247,"準・療")</f>
        <v>0</v>
      </c>
      <c r="BU20" s="116">
        <f>SUMIFS($I$13:$I$22,$J$13:$J$22,"小",$K$13:$K$22,"準・身")+SUMIFS($V$13:$V$22,$W$13:$W$22,"小",$X$13:$X$22,"準・身")+SUMIFS($I$46:$I$75,$J$46:$J$75,"小",$K$46:$K$75,"準・身")+SUMIFS($V$46:$V$75,$W$46:$W$75,"小",$X$46:$X$75,"準・療")+SUMIFS($I$89:$I$118,$J$89:$J$118,"小",$K$89:$K$118,"準・療")+SUMIFS($I$132:$I$161,$J$132:$J$161,"小",$K$132:$K$161,"準・療")+SUMIFS($I$175:$I$204,$J$175:$J$204,"小",$K$175:$K$204,"準・療")+SUMIFS($I$218:$I$247,$J$218:$J$247,"小",$K$218:$K$247,"準・療")+SUMIFS($V$89:$V$118,$W$89:$W$118,"小",$X$89:$X$118,"準・療")+SUMIFS($V$132:$V$161,$W$132:$W$161,"小",$X$132:$X$161,"準・療")+SUMIFS($V$175:$V$204,$W$175:$W$204,"小",$X$175:$X$204,"準・療")+SUMIFS($V$218:$V$247,$W$218:$W$247,"小",$X$218:$X$247,"準・療")</f>
        <v>0</v>
      </c>
      <c r="BV20" s="116">
        <f>SUMIFS($H$13:$H$22,$J$13:$J$22,"中",$K$13:$K$22,"準・身")+SUMIFS($U$13:$U$22,$W$13:$W$22,"中",$X$13:$X$22,"準・身")+SUMIFS($H$46:$H$75,$J$46:$J$75,"中",$K$46:$K$75,"準・身")+SUMIFS($U$46:$U$75,$W$46:$W$75,"中",$X$46:$X$75,"準・療")+SUMIFS($H$89:$H$118,$J$89:$J$118,"中",$K$89:$K$118,"準・療")+SUMIFS($H$132:$H$161,$J$132:$J$161,"中",$K$132:$K$161,"準・療")+SUMIFS($H$175:$H$204,$J$175:$J$204,"中",$K$175:$K$204,"準・療")+SUMIFS($H$218:$H$247,$J$218:$J$247,"中",$K$218:$K$247,"準・療")+SUMIFS($U$89:$U$118,$W$89:$W$118,"中",$X$89:$X$118,"準・療")+SUMIFS($U$132:$U$161,$W$132:$W$161,"中",$X$132:$X$161,"準・療")+SUMIFS($U$175:$U$204,$W$175:$W$204,"中",$X$175:$X$204,"準・療")+SUMIFS($U$218:$U$247,$W$218:$W$247,"中",$X$218:$X$247,"準・療")</f>
        <v>0</v>
      </c>
      <c r="BW20" s="124">
        <f>SUMIFS($I$13:$I$22,$J$13:$J$22,"中",$K$13:$K$22,"準・身")+SUMIFS($V$13:$V$22,$W$13:$W$22,"中",$X$13:$X$22,"準・身")+SUMIFS($I$46:$I$75,$J$46:$J$75,"中",$K$46:$K$75,"準・身")+SUMIFS($V$46:$V$75,$W$46:$W$75,"中",$X$46:$X$75,"準・療")+SUMIFS($I$89:$I$118,$J$89:$J$118,"中",$K$89:$K$118,"準・療")+SUMIFS($I$132:$I$161,$J$132:$J$161,"中",$K$132:$K$161,"準・療")+SUMIFS($I$175:$I$204,$J$175:$J$204,"中",$K$175:$K$204,"準・療")+SUMIFS($I$218:$I$247,$J$218:$J$247,"中",$K$218:$K$247,"準・療")+SUMIFS($V$89:$V$118,$W$89:$W$118,"中",$X$89:$X$118,"準・療")+SUMIFS($V$132:$V$161,$W$132:$W$161,"中",$X$132:$X$161,"準・療")+SUMIFS($V$175:$V$204,$W$175:$W$204,"中",$X$175:$X$204,"準・療")+SUMIFS($V$218:$V$247,$W$218:$W$247,"中",$X$218:$X$247,"準・療")</f>
        <v>0</v>
      </c>
      <c r="BX20" s="128"/>
      <c r="BY20" s="128"/>
      <c r="BZ20" s="128"/>
      <c r="CA20" s="128"/>
      <c r="CC20" s="96" t="str">
        <f t="shared" si="7"/>
        <v>小泊/準・精</v>
      </c>
      <c r="CD20" s="99">
        <f t="shared" ref="CD20:CD25" si="13">BT21</f>
        <v>0</v>
      </c>
      <c r="CE20" s="471">
        <f>IF(OR(BT21="",BT21=0),0,107)</f>
        <v>0</v>
      </c>
      <c r="CF20" s="471">
        <v>330</v>
      </c>
      <c r="CG20" s="476">
        <v>107</v>
      </c>
    </row>
    <row r="21" spans="1:89" ht="26.1" customHeight="1">
      <c r="A21" s="339">
        <v>9</v>
      </c>
      <c r="B21" s="1598"/>
      <c r="C21" s="1599"/>
      <c r="D21" s="1599"/>
      <c r="E21" s="1599"/>
      <c r="F21" s="1599"/>
      <c r="G21" s="1600"/>
      <c r="H21" s="340"/>
      <c r="I21" s="341"/>
      <c r="J21" s="342"/>
      <c r="K21" s="498"/>
      <c r="L21" s="498"/>
      <c r="M21" s="533"/>
      <c r="N21" s="343">
        <v>19</v>
      </c>
      <c r="O21" s="1598"/>
      <c r="P21" s="1599"/>
      <c r="Q21" s="1599"/>
      <c r="R21" s="1599"/>
      <c r="S21" s="1599"/>
      <c r="T21" s="1600"/>
      <c r="U21" s="340"/>
      <c r="V21" s="341"/>
      <c r="W21" s="342"/>
      <c r="X21" s="498"/>
      <c r="Y21" s="498"/>
      <c r="Z21" s="342"/>
      <c r="AA21" s="339">
        <v>9</v>
      </c>
      <c r="AB21" s="1598" t="s">
        <v>647</v>
      </c>
      <c r="AC21" s="1599"/>
      <c r="AD21" s="1599"/>
      <c r="AE21" s="1599"/>
      <c r="AF21" s="1599"/>
      <c r="AG21" s="1600"/>
      <c r="AH21" s="340">
        <v>1</v>
      </c>
      <c r="AI21" s="341"/>
      <c r="AJ21" s="342" t="s">
        <v>359</v>
      </c>
      <c r="AK21" s="498"/>
      <c r="AL21" s="498"/>
      <c r="AM21" s="533"/>
      <c r="AN21" s="344">
        <v>19</v>
      </c>
      <c r="AO21" s="1598" t="s">
        <v>647</v>
      </c>
      <c r="AP21" s="1599"/>
      <c r="AQ21" s="1599"/>
      <c r="AR21" s="1599"/>
      <c r="AS21" s="1599"/>
      <c r="AT21" s="1600"/>
      <c r="AU21" s="340">
        <v>1</v>
      </c>
      <c r="AV21" s="341"/>
      <c r="AW21" s="342" t="s">
        <v>360</v>
      </c>
      <c r="AX21" s="498"/>
      <c r="AY21" s="498"/>
      <c r="AZ21" s="498"/>
      <c r="BA21" s="53">
        <v>9</v>
      </c>
      <c r="BB21" s="54">
        <f t="shared" si="8"/>
        <v>0</v>
      </c>
      <c r="BC21" s="50">
        <f t="shared" si="9"/>
        <v>0</v>
      </c>
      <c r="BD21" s="55">
        <f t="shared" si="10"/>
        <v>0</v>
      </c>
      <c r="BE21" s="56">
        <f t="shared" si="10"/>
        <v>0</v>
      </c>
      <c r="BF21" s="138" t="s">
        <v>338</v>
      </c>
      <c r="BG21" s="99">
        <f>COUNTIF($K$13:$M$22,"準・精")</f>
        <v>0</v>
      </c>
      <c r="BH21" s="98">
        <f>COUNTIF($X$13:$Z$22,"準・精")</f>
        <v>0</v>
      </c>
      <c r="BI21" s="99">
        <f>COUNTIF($K$46:$M$75,"準・精")</f>
        <v>0</v>
      </c>
      <c r="BJ21" s="99">
        <f>COUNTIF($X$46:$Z$75,"準・精")</f>
        <v>0</v>
      </c>
      <c r="BK21" s="99">
        <f>COUNTIF($K$89:$M$118,"準・精")</f>
        <v>0</v>
      </c>
      <c r="BL21" s="99">
        <f>COUNTIF($X$89:$Z$118,"準・精")</f>
        <v>0</v>
      </c>
      <c r="BM21" s="99">
        <f>COUNTIF($K$132:$M$161,"準・精")</f>
        <v>0</v>
      </c>
      <c r="BN21" s="99">
        <f>COUNTIF($X$132:$Z$161,"準・精")</f>
        <v>0</v>
      </c>
      <c r="BO21" s="99">
        <f>COUNTIF($K$175:$M$204,"準・精")</f>
        <v>0</v>
      </c>
      <c r="BP21" s="99">
        <f>COUNTIF($X$175:$Z$204,"準・精")</f>
        <v>0</v>
      </c>
      <c r="BQ21" s="99">
        <f>COUNTIF($K$218:$M$247,"準・精")</f>
        <v>0</v>
      </c>
      <c r="BR21" s="100">
        <f>COUNTIF($X$218:$Z$247,"準・精")</f>
        <v>0</v>
      </c>
      <c r="BS21" s="101">
        <f t="shared" si="11"/>
        <v>0</v>
      </c>
      <c r="BT21" s="116">
        <f>SUMIFS($H$13:$H$22,$J$13:$J$22,"小",$K$13:$K$22,"準・精")+SUMIFS($U$13:$U$22,$W$13:$W$22,"小",$X$13:$X$22,"準・精")+SUMIFS($H$46:$H$75,$J$46:$J$75,"小",$K$46:$K$75,"準・精")+SUMIFS($U$46:$U$75,$W$46:$W$75,"小",$X$46:$X$75,"準・精")+SUMIFS($H$89:$H$118,$J$89:$J$118,"小",$K$89:$K$118,"準・精")+SUMIFS($H$132:$H$161,$J$132:$J$161,"小",$K$132:$K$161,"準・精")+SUMIFS($H$175:$H$204,$J$175:$J$204,"小",$K$175:$K$204,"準・精")+SUMIFS($H$218:$H$247,$J$218:$J$247,"小",$K$218:$K$247,"準・精")+SUMIFS($U$89:$U$118,$W$89:$W$118,"小",$X$89:$X$118,"準・精")+SUMIFS($U$132:$U$161,$W$132:$W$161,"小",$X$132:$X$161,"準・精")+SUMIFS($U$175:$U$204,$W$175:$W$204,"小",$X$175:$X$204,"準・精")+SUMIFS($U$218:$U$247,$W$218:$W$247,"小",$X$218:$X$247,"準・精")</f>
        <v>0</v>
      </c>
      <c r="BU21" s="116">
        <f>SUMIFS($I$13:$I$22,$J$13:$J$22,"小",$K$13:$K$22,"準・精")+SUMIFS($V$13:$V$22,$W$13:$W$22,"小",$X$13:$X$22,"準・精")+SUMIFS($I$46:$I$75,$J$46:$J$75,"小",$K$46:$K$75,"準・精")+SUMIFS($V$46:$V$75,$W$46:$W$75,"小",$X$46:$X$75,"準・精")+SUMIFS($I$89:$I$118,$J$89:$J$118,"小",$K$89:$K$118,"準・精")+SUMIFS($I$132:$I$161,$J$132:$J$161,"小",$K$132:$K$161,"準・精")+SUMIFS($I$175:$I$204,$J$175:$J$204,"小",$K$175:$K$204,"準・精")+SUMIFS($I$218:$I$247,$J$218:$J$247,"小",$K$218:$K$247,"準・精")+SUMIFS($V$89:$V$118,$W$89:$W$118,"小",$X$89:$X$118,"準・精")+SUMIFS($V$132:$V$161,$W$132:$W$161,"小",$X$132:$X$161,"準・精")+SUMIFS($V$175:$V$204,$W$175:$W$204,"小",$X$175:$X$204,"準・精")+SUMIFS($V$218:$V$247,$W$218:$W$247,"小",$X$218:$X$247,"準・精")</f>
        <v>0</v>
      </c>
      <c r="BV21" s="116">
        <f>SUMIFS($H$13:$H$22,$J$13:$J$22,"中",$K$13:$K$22,"準・精")+SUMIFS($U$13:$U$22,$W$13:$W$22,"中",$X$13:$X$22,"準・精")+SUMIFS($H$46:$H$75,$J$46:$J$75,"中",$K$46:$K$75,"準・精")+SUMIFS($U$46:$U$75,$W$46:$W$75,"中",$X$46:$X$75,"準・精")+SUMIFS($H$89:$H$118,$J$89:$J$118,"中",$K$89:$K$118,"準・精")+SUMIFS($H$132:$H$161,$J$132:$J$161,"中",$K$132:$K$161,"準・精")+SUMIFS($H$175:$H$204,$J$175:$J$204,"中",$K$175:$K$204,"準・精")+SUMIFS($H$218:$H$247,$J$218:$J$247,"中",$K$218:$K$247,"準・精")+SUMIFS($U$89:$U$118,$W$89:$W$118,"中",$X$89:$X$118,"準・精")+SUMIFS($U$132:$U$161,$W$132:$W$161,"中",$X$132:$X$161,"準・精")+SUMIFS($U$175:$U$204,$W$175:$W$204,"中",$X$175:$X$204,"準・精")+SUMIFS($U$218:$U$247,$W$218:$W$247,"中",$X$218:$X$247,"準・精")</f>
        <v>0</v>
      </c>
      <c r="BW21" s="124">
        <f>SUMIFS($I$13:$I$22,$J$13:$J$22,"中",$K$13:$K$22,"準・精")+SUMIFS($V$13:$V$22,$W$13:$W$22,"中",$X$13:$X$22,"準・精")+SUMIFS($I$46:$I$75,$J$46:$J$75,"中",$K$46:$K$75,"準・精")+SUMIFS($V$46:$V$75,$W$46:$W$75,"中",$X$46:$X$75,"準・精")+SUMIFS($I$89:$I$118,$J$89:$J$118,"中",$K$89:$K$118,"準・精")+SUMIFS($I$132:$I$161,$J$132:$J$161,"中",$K$132:$K$161,"準・精")+SUMIFS($I$175:$I$204,$J$175:$J$204,"中",$K$175:$K$204,"準・精")+SUMIFS($I$218:$I$247,$J$218:$J$247,"中",$K$218:$K$247,"準・精")+SUMIFS($V$89:$V$118,$W$89:$W$118,"中",$X$89:$X$118,"準・精")+SUMIFS($V$132:$V$161,$W$132:$W$161,"中",$X$132:$X$161,"準・精")+SUMIFS($V$175:$V$204,$W$175:$W$204,"中",$X$175:$X$204,"準・精")+SUMIFS($V$218:$V$247,$W$218:$W$247,"中",$X$218:$X$247,"準・精")</f>
        <v>0</v>
      </c>
      <c r="BX21" s="128"/>
      <c r="BY21" s="128"/>
      <c r="BZ21" s="128"/>
      <c r="CA21" s="128"/>
      <c r="CC21" s="96" t="str">
        <f t="shared" si="7"/>
        <v>小泊/特・身</v>
      </c>
      <c r="CD21" s="99">
        <f t="shared" si="13"/>
        <v>0</v>
      </c>
      <c r="CE21" s="471">
        <f>IF(OR(BT22="",BT22=0),0,106)</f>
        <v>0</v>
      </c>
      <c r="CF21" s="471">
        <v>330</v>
      </c>
      <c r="CG21" s="476">
        <v>106</v>
      </c>
    </row>
    <row r="22" spans="1:89" ht="26.1" customHeight="1">
      <c r="A22" s="339">
        <v>10</v>
      </c>
      <c r="B22" s="1598"/>
      <c r="C22" s="1599"/>
      <c r="D22" s="1599"/>
      <c r="E22" s="1599"/>
      <c r="F22" s="1599"/>
      <c r="G22" s="1600"/>
      <c r="H22" s="340"/>
      <c r="I22" s="341"/>
      <c r="J22" s="342"/>
      <c r="K22" s="498"/>
      <c r="L22" s="498"/>
      <c r="M22" s="533"/>
      <c r="N22" s="343">
        <v>20</v>
      </c>
      <c r="O22" s="1598"/>
      <c r="P22" s="1599"/>
      <c r="Q22" s="1599"/>
      <c r="R22" s="1599"/>
      <c r="S22" s="1599"/>
      <c r="T22" s="1600"/>
      <c r="U22" s="340"/>
      <c r="V22" s="341"/>
      <c r="W22" s="342"/>
      <c r="X22" s="498"/>
      <c r="Y22" s="498"/>
      <c r="Z22" s="342"/>
      <c r="AA22" s="339">
        <v>10</v>
      </c>
      <c r="AB22" s="1598" t="s">
        <v>648</v>
      </c>
      <c r="AC22" s="1599"/>
      <c r="AD22" s="1599"/>
      <c r="AE22" s="1599"/>
      <c r="AF22" s="1599"/>
      <c r="AG22" s="1600"/>
      <c r="AH22" s="340">
        <v>1</v>
      </c>
      <c r="AI22" s="341"/>
      <c r="AJ22" s="342" t="s">
        <v>359</v>
      </c>
      <c r="AK22" s="498" t="s">
        <v>546</v>
      </c>
      <c r="AL22" s="498" t="s">
        <v>548</v>
      </c>
      <c r="AM22" s="533"/>
      <c r="AN22" s="344">
        <v>20</v>
      </c>
      <c r="AO22" s="1598" t="s">
        <v>648</v>
      </c>
      <c r="AP22" s="1599"/>
      <c r="AQ22" s="1599"/>
      <c r="AR22" s="1599"/>
      <c r="AS22" s="1599"/>
      <c r="AT22" s="1600"/>
      <c r="AU22" s="340">
        <v>1</v>
      </c>
      <c r="AV22" s="341"/>
      <c r="AW22" s="342" t="s">
        <v>360</v>
      </c>
      <c r="AX22" s="498"/>
      <c r="AY22" s="498"/>
      <c r="AZ22" s="498"/>
      <c r="BA22" s="53">
        <v>10</v>
      </c>
      <c r="BB22" s="54">
        <f t="shared" si="8"/>
        <v>0</v>
      </c>
      <c r="BC22" s="50">
        <f t="shared" si="9"/>
        <v>0</v>
      </c>
      <c r="BD22" s="55">
        <f t="shared" si="10"/>
        <v>0</v>
      </c>
      <c r="BE22" s="56">
        <f t="shared" si="10"/>
        <v>0</v>
      </c>
      <c r="BF22" s="138" t="s">
        <v>339</v>
      </c>
      <c r="BG22" s="99">
        <f>COUNTIF($K$13:$M$22,"特・身")</f>
        <v>0</v>
      </c>
      <c r="BH22" s="98">
        <f>COUNTIF($X$13:$Z$22,"準・身")</f>
        <v>0</v>
      </c>
      <c r="BI22" s="99">
        <f>COUNTIF($K$46:$M$75,"準・身")</f>
        <v>0</v>
      </c>
      <c r="BJ22" s="99">
        <f>COUNTIF($X$46:$Z$75,"準・身")</f>
        <v>0</v>
      </c>
      <c r="BK22" s="99">
        <f>COUNTIF($K$89:$M$118,"準・身")</f>
        <v>0</v>
      </c>
      <c r="BL22" s="99">
        <f>COUNTIF($X$89:$Z$118,"準・身")</f>
        <v>0</v>
      </c>
      <c r="BM22" s="99">
        <f>COUNTIF($K$132:$M$161,"準・身")</f>
        <v>0</v>
      </c>
      <c r="BN22" s="99">
        <f>COUNTIF($X$132:$Z$161,"準・身")</f>
        <v>0</v>
      </c>
      <c r="BO22" s="99">
        <f>COUNTIF($K$175:$M$204,"準・身")</f>
        <v>0</v>
      </c>
      <c r="BP22" s="99">
        <f>COUNTIF($X$175:$Z$204,"準・身")</f>
        <v>0</v>
      </c>
      <c r="BQ22" s="99">
        <f>COUNTIF($K$218:$M$247,"準・身")</f>
        <v>0</v>
      </c>
      <c r="BR22" s="100">
        <f>COUNTIF($X$218:$Z$247,"準・身")</f>
        <v>0</v>
      </c>
      <c r="BS22" s="101">
        <f t="shared" si="11"/>
        <v>0</v>
      </c>
      <c r="BT22" s="116">
        <f>SUMIFS($H$13:$H$22,$J$13:$J$22,"小",$K$13:$K$22,"特・身")+SUMIFS($U$13:$U$22,$W$13:$W$22,"小",$X$13:$X$22,"特・身")+SUMIFS($H$46:$H$75,$J$46:$J$75,"小",$K$46:$K$75,"特・身")+SUMIFS($U$46:$U$75,$W$46:$W$75,"小",$X$46:$X$75,"特・身")+SUMIFS($H$89:$H$118,$J$89:$J$118,"小",$K$89:$K$118,"特・身")+SUMIFS($H$132:$H$161,$J$132:$J$161,"小",$K$132:$K$161,"特・身")+SUMIFS($H$175:$H$204,$J$175:$J$204,"小",$K$175:$K$204,"特・身")+SUMIFS($H$218:$H$247,$J$218:$J$247,"小",$K$218:$K$247,"特・身")+SUMIFS($U$89:$U$118,$W$89:$W$118,"小",$X$89:$X$118,"特・身")+SUMIFS($U$132:$U$161,$W$132:$W$161,"小",$X$132:$X$161,"特・身")+SUMIFS($U$175:$U$204,$W$175:$W$204,"小",$X$175:$X$204,"特・身")+SUMIFS($U$218:$U$247,$W$218:$W$247,"小",$X$218:$X$247,"特・身")</f>
        <v>0</v>
      </c>
      <c r="BU22" s="116">
        <f>SUMIFS($I$13:$I$22,$J$13:$J$22,"小",$K$13:$K$22,"特・身")+SUMIFS($V$13:$V$22,$W$13:$W$22,"小",$X$13:$X$22,"特・身")+SUMIFS($I$46:$I$75,$J$46:$J$75,"小",$K$46:$K$75,"特・身")+SUMIFS($V$46:$V$75,$W$46:$W$75,"小",$X$46:$X$75,"特・身")+SUMIFS($I$89:$I$118,$J$89:$J$118,"小",$K$89:$K$118,"特・身")+SUMIFS($I$132:$I$161,$J$132:$J$161,"小",$K$132:$K$161,"特・身")+SUMIFS($I$175:$I$204,$J$175:$J$204,"小",$K$175:$K$204,"特・身")+SUMIFS($I$218:$I$247,$J$218:$J$247,"小",$K$218:$K$247,"特・身")+SUMIFS($V$89:$V$118,$W$89:$W$118,"小",$X$89:$X$118,"特・身")+SUMIFS($V$132:$V$161,$W$132:$W$161,"小",$X$132:$X$161,"特・身")+SUMIFS($V$175:$V$204,$W$175:$W$204,"小",$X$175:$X$204,"特・身")+SUMIFS($V$218:$V$247,$W$218:$W$247,"小",$X$218:$X$247,"特・身")</f>
        <v>0</v>
      </c>
      <c r="BV22" s="116">
        <f>SUMIFS($H$13:$H$22,$J$13:$J$22,"中",$K$13:$K$22,"特・身")+SUMIFS($U$13:$U$22,$W$13:$W$22,"中",$X$13:$X$22,"特・身")+SUMIFS($H$46:$H$75,$J$46:$J$75,"中",$K$46:$K$75,"特・身")+SUMIFS($U$46:$U$75,$W$46:$W$75,"中",$X$46:$X$75,"特・身")+SUMIFS($H$89:$H$118,$J$89:$J$118,"中",$K$89:$K$118,"特・身")+SUMIFS($H$132:$H$161,$J$132:$J$161,"中",$K$132:$K$161,"特・身")+SUMIFS($H$175:$H$204,$J$175:$J$204,"中",$K$175:$K$204,"特・身")+SUMIFS($H$218:$H$247,$J$218:$J$247,"中",$K$218:$K$247,"特・身")+SUMIFS($U$89:$U$118,$W$89:$W$118,"中",$X$89:$X$118,"特・身")+SUMIFS($U$132:$U$161,$W$132:$W$161,"中",$X$132:$X$161,"特・身")+SUMIFS($U$175:$U$204,$W$175:$W$204,"中",$X$175:$X$204,"特・身")+SUMIFS($U$218:$U$247,$W$218:$W$247,"中",$X$218:$X$247,"特・身")</f>
        <v>0</v>
      </c>
      <c r="BW22" s="124">
        <f>SUMIFS($I$13:$I$22,$J$13:$J$22,"中",$K$13:$K$22,"特・身")+SUMIFS($V$13:$V$22,$W$13:$W$22,"中",$X$13:$X$22,"特・身")+SUMIFS($I$46:$I$75,$J$46:$J$75,"中",$K$46:$K$75,"特・身")+SUMIFS($V$46:$V$75,$W$46:$W$75,"中",$X$46:$X$75,"特・身")+SUMIFS($I$89:$I$118,$J$89:$J$118,"中",$K$89:$K$118,"特・身")+SUMIFS($I$132:$I$161,$J$132:$J$161,"中",$K$132:$K$161,"特・身")+SUMIFS($I$175:$I$204,$J$175:$J$204,"中",$K$175:$K$204,"特・身")+SUMIFS($I$218:$I$247,$J$218:$J$247,"中",$K$218:$K$247,"特・身")+SUMIFS($V$89:$V$118,$W$89:$W$118,"中",$X$89:$X$118,"特・身")+SUMIFS($V$132:$V$161,$W$132:$W$161,"中",$X$132:$X$161,"特・身")+SUMIFS($V$175:$V$204,$W$175:$W$204,"中",$X$175:$X$204,"特・身")+SUMIFS($V$218:$V$247,$W$218:$W$247,"中",$X$218:$X$247,"特・身")</f>
        <v>0</v>
      </c>
      <c r="BX22" s="128"/>
      <c r="BY22" s="128"/>
      <c r="BZ22" s="128"/>
      <c r="CA22" s="128"/>
      <c r="CC22" s="96" t="str">
        <f t="shared" si="7"/>
        <v>小泊/特・療</v>
      </c>
      <c r="CD22" s="99">
        <f t="shared" si="13"/>
        <v>0</v>
      </c>
      <c r="CE22" s="471">
        <f>IF(OR(BT23="",BT23=0),0,105)</f>
        <v>0</v>
      </c>
      <c r="CF22" s="471">
        <v>330</v>
      </c>
      <c r="CG22" s="476">
        <v>105</v>
      </c>
    </row>
    <row r="23" spans="1:89" ht="26.1" customHeight="1">
      <c r="A23" s="345"/>
      <c r="B23" s="346"/>
      <c r="C23" s="346"/>
      <c r="D23" s="346"/>
      <c r="E23" s="346"/>
      <c r="F23" s="346"/>
      <c r="G23" s="346"/>
      <c r="H23" s="468">
        <f>COUNTA(H13:H22,U13:U22,H46:H75,U46:U75,H89:H118,U89:U118,H132:H161,U132:U161,H175:H204,U175:U204,H218:H247,U218:U247)</f>
        <v>0</v>
      </c>
      <c r="I23" s="469">
        <f>COUNTA(I13:I22,V13:V22,I46:I75,V46:V75,I89:I118,V89:V118,I132:I161,V132:V161,I175:I204,V175:V204,I218:I247,V218:V247)</f>
        <v>0</v>
      </c>
      <c r="J23" s="347"/>
      <c r="K23" s="347"/>
      <c r="L23" s="348"/>
      <c r="M23" s="348"/>
      <c r="N23" s="345"/>
      <c r="O23" s="346"/>
      <c r="P23" s="346"/>
      <c r="Q23" s="346"/>
      <c r="R23" s="346"/>
      <c r="S23" s="346"/>
      <c r="T23" s="346"/>
      <c r="U23" s="347"/>
      <c r="V23" s="347"/>
      <c r="W23" s="347"/>
      <c r="X23" s="347"/>
      <c r="Y23" s="348"/>
      <c r="Z23" s="348"/>
      <c r="AA23" s="345"/>
      <c r="AB23" s="346"/>
      <c r="AC23" s="346"/>
      <c r="AD23" s="346"/>
      <c r="AE23" s="346"/>
      <c r="AF23" s="346"/>
      <c r="AG23" s="346"/>
      <c r="AH23" s="468">
        <f>COUNTA(AH13:AH22,AU13:AU22,AH46:AH75,AU46:AU75,AH89:AH118,AU89:AU118,AH132:AH161,AU132:AU161,AH175:AH204,AU175:AU204,AH218:AH247,AU218:AU247)</f>
        <v>18</v>
      </c>
      <c r="AI23" s="469">
        <f>COUNTA(AI13:AI22,AV13:AV22,AI46:AI75,AV46:AV75,AI89:AI118,AV89:AV118,AI132:AI161,AV132:AV161,AI175:AI204,AV175:AV204,AI218:AI247,AV218:AV247)</f>
        <v>2</v>
      </c>
      <c r="AJ23" s="347"/>
      <c r="AK23" s="347"/>
      <c r="AL23" s="348"/>
      <c r="AM23" s="348"/>
      <c r="AN23" s="345"/>
      <c r="AO23" s="346"/>
      <c r="AP23" s="346"/>
      <c r="AQ23" s="346"/>
      <c r="AR23" s="346"/>
      <c r="AS23" s="346"/>
      <c r="AT23" s="346"/>
      <c r="AU23" s="347"/>
      <c r="AV23" s="347"/>
      <c r="AW23" s="347"/>
      <c r="AX23" s="347"/>
      <c r="AY23" s="348"/>
      <c r="AZ23" s="348"/>
      <c r="BA23" s="53">
        <v>11</v>
      </c>
      <c r="BB23" s="54">
        <f t="shared" ref="BB23:BB26" si="14">COUNTA(U13:V13)</f>
        <v>0</v>
      </c>
      <c r="BC23" s="50">
        <f t="shared" ref="BC23:BC26" si="15">COUNTA(X13)</f>
        <v>0</v>
      </c>
      <c r="BD23" s="55">
        <f t="shared" ref="BD23:BE26" si="16">BB23-COUNTA(U13)</f>
        <v>0</v>
      </c>
      <c r="BE23" s="56">
        <f t="shared" si="16"/>
        <v>0</v>
      </c>
      <c r="BF23" s="138" t="s">
        <v>340</v>
      </c>
      <c r="BG23" s="99">
        <f>COUNTIF($K$13:$M$22,"特・療")</f>
        <v>0</v>
      </c>
      <c r="BH23" s="98">
        <f>COUNTIF($X$13:$Z$22,"特・療")</f>
        <v>0</v>
      </c>
      <c r="BI23" s="99">
        <f>COUNTIF($K$46:$M$75,"特・療")</f>
        <v>0</v>
      </c>
      <c r="BJ23" s="99">
        <f>COUNTIF($X$46:$Z$75,"特・療")</f>
        <v>0</v>
      </c>
      <c r="BK23" s="99">
        <f>COUNTIF($K$89:$M$118,"特・療")</f>
        <v>0</v>
      </c>
      <c r="BL23" s="99">
        <f>COUNTIF($X$89:$Z$118,"特・療")</f>
        <v>0</v>
      </c>
      <c r="BM23" s="99">
        <f>COUNTIF($K$132:$M$161,"特・療")</f>
        <v>0</v>
      </c>
      <c r="BN23" s="99">
        <f>COUNTIF($X$132:$Z$161,"特・療")</f>
        <v>0</v>
      </c>
      <c r="BO23" s="99">
        <f>COUNTIF($K$175:$M$204,"特・療")</f>
        <v>0</v>
      </c>
      <c r="BP23" s="99">
        <f>COUNTIF($X$175:$Z$204,"特・療")</f>
        <v>0</v>
      </c>
      <c r="BQ23" s="99">
        <f>COUNTIF($K$218:$M$247,"特・療")</f>
        <v>0</v>
      </c>
      <c r="BR23" s="100">
        <f>COUNTIF($X$218:$Z$247,"特・療")</f>
        <v>0</v>
      </c>
      <c r="BS23" s="101">
        <f t="shared" si="11"/>
        <v>0</v>
      </c>
      <c r="BT23" s="116">
        <f>SUMIFS($H$13:$H$22,$J$13:$J$22,"小",$K$13:$K$22,"特・療")+SUMIFS($U$13:$U$22,$W$13:$W$22,"小",$X$13:$X$22,"特・療")+SUMIFS($H$46:$H$75,$J$46:$J$75,"小",$K$46:$K$75,"特・療")+SUMIFS($U$46:$U$75,$W$46:$W$75,"小",$X$46:$X$75,"特・療")+SUMIFS($H$89:$H$118,$J$89:$J$118,"小",$K$89:$K$118,"特・療")+SUMIFS($H$132:$H$161,$J$132:$J$161,"小",$K$132:$K$161,"特・療")+SUMIFS($H$175:$H$204,$J$175:$J$204,"小",$K$175:$K$204,"特・療")+SUMIFS($H$218:$H$247,$J$218:$J$247,"小",$K$218:$K$247,"特・療")+SUMIFS($U$89:$U$118,$W$89:$W$118,"小",$X$89:$X$118,"特・療")+SUMIFS($U$132:$U$161,$W$132:$W$161,"小",$X$132:$X$161,"特・療")+SUMIFS($U$175:$U$204,$W$175:$W$204,"小",$X$175:$X$204,"特・療")+SUMIFS($U$218:$U$247,$W$218:$W$247,"小",$X$218:$X$247,"特・療")</f>
        <v>0</v>
      </c>
      <c r="BU23" s="116">
        <f>SUMIFS($I$13:$I$22,$J$13:$J$22,"小",$K$13:$K$22,"特・療")+SUMIFS($V$13:$V$22,$W$13:$W$22,"小",$X$13:$X$22,"特・療")+SUMIFS($I$46:$I$75,$J$46:$J$75,"小",$K$46:$K$75,"特・療")+SUMIFS($V$46:$V$75,$W$46:$W$75,"小",$X$46:$X$75,"特・療")+SUMIFS($I$89:$I$118,$J$89:$J$118,"小",$K$89:$K$118,"特・療")+SUMIFS($I$132:$I$161,$J$132:$J$161,"小",$K$132:$K$161,"特・療")+SUMIFS($I$175:$I$204,$J$175:$J$204,"小",$K$175:$K$204,"特・療")+SUMIFS($I$218:$I$247,$J$218:$J$247,"小",$K$218:$K$247,"特・療")+SUMIFS($V$89:$V$118,$W$89:$W$118,"小",$X$89:$X$118,"特・療")+SUMIFS($V$132:$V$161,$W$132:$W$161,"小",$X$132:$X$161,"特・療")+SUMIFS($V$175:$V$204,$W$175:$W$204,"小",$X$175:$X$204,"特・療")+SUMIFS($V$218:$V$247,$W$218:$W$247,"小",$X$218:$X$247,"特・療")</f>
        <v>0</v>
      </c>
      <c r="BV23" s="116">
        <f>SUMIFS($H$13:$H$22,$J$13:$J$22,"中",$K$13:$K$22,"特・療")+SUMIFS($U$13:$U$22,$W$13:$W$22,"中",$X$13:$X$22,"特・療")+SUMIFS($H$46:$H$75,$J$46:$J$75,"中",$K$46:$K$75,"特・療")+SUMIFS($U$46:$U$75,$W$46:$W$75,"中",$X$46:$X$75,"特・療")+SUMIFS($H$89:$H$118,$J$89:$J$118,"中",$K$89:$K$118,"特・療")+SUMIFS($H$132:$H$161,$J$132:$J$161,"中",$K$132:$K$161,"特・療")+SUMIFS($H$175:$H$204,$J$175:$J$204,"中",$K$175:$K$204,"特・療")+SUMIFS($H$218:$H$247,$J$218:$J$247,"中",$K$218:$K$247,"特・療")+SUMIFS($U$89:$U$118,$W$89:$W$118,"中",$X$89:$X$118,"特・療")+SUMIFS($U$132:$U$161,$W$132:$W$161,"中",$X$132:$X$161,"特・療")+SUMIFS($U$175:$U$204,$W$175:$W$204,"中",$X$175:$X$204,"特・療")+SUMIFS($U$218:$U$247,$W$218:$W$247,"中",$X$218:$X$247,"特・療")</f>
        <v>0</v>
      </c>
      <c r="BW23" s="124">
        <f>SUMIFS($I$13:$I$22,$J$13:$J$22,"中",$K$13:$K$22,"特・療")+SUMIFS($V$13:$V$22,$W$13:$W$22,"中",$X$13:$X$22,"特・療")+SUMIFS($I$46:$I$75,$J$46:$J$75,"中",$K$46:$K$75,"特・療")+SUMIFS($V$46:$V$75,$W$46:$W$75,"中",$X$46:$X$75,"特・療")+SUMIFS($I$89:$I$118,$J$89:$J$118,"中",$K$89:$K$118,"特・療")+SUMIFS($I$132:$I$161,$J$132:$J$161,"中",$K$132:$K$161,"特・療")+SUMIFS($I$175:$I$204,$J$175:$J$204,"中",$K$175:$K$204,"特・療")+SUMIFS($I$218:$I$247,$J$218:$J$247,"中",$K$218:$K$247,"特・療")+SUMIFS($V$89:$V$118,$W$89:$W$118,"中",$X$89:$X$118,"特・療")+SUMIFS($V$132:$V$161,$W$132:$W$161,"中",$X$132:$X$161,"特・療")+SUMIFS($V$175:$V$204,$W$175:$W$204,"中",$X$175:$X$204,"特・療")+SUMIFS($V$218:$V$247,$W$218:$W$247,"中",$X$218:$X$247,"特・療")</f>
        <v>0</v>
      </c>
      <c r="BX23" s="128"/>
      <c r="BY23" s="128"/>
      <c r="BZ23" s="128"/>
      <c r="CA23" s="128"/>
      <c r="CC23" s="96" t="str">
        <f t="shared" si="7"/>
        <v>小泊/特・精</v>
      </c>
      <c r="CD23" s="99">
        <f t="shared" si="13"/>
        <v>0</v>
      </c>
      <c r="CE23" s="471">
        <f>IF(OR(BT24="",BT24=0),0,104)</f>
        <v>0</v>
      </c>
      <c r="CF23" s="471">
        <v>330</v>
      </c>
      <c r="CG23" s="476">
        <v>104</v>
      </c>
    </row>
    <row r="24" spans="1:89" s="2" customFormat="1" ht="24" customHeight="1">
      <c r="A24" s="1593" t="s">
        <v>526</v>
      </c>
      <c r="B24" s="1593"/>
      <c r="C24" s="1593"/>
      <c r="D24" s="1593"/>
      <c r="E24" s="1593"/>
      <c r="F24" s="1593"/>
      <c r="G24" s="1593"/>
      <c r="H24" s="1593"/>
      <c r="I24" s="1593"/>
      <c r="J24" s="1593"/>
      <c r="K24" s="1593"/>
      <c r="L24" s="1593"/>
      <c r="M24" s="1593"/>
      <c r="N24" s="608"/>
      <c r="O24" s="609" t="s">
        <v>564</v>
      </c>
      <c r="P24" s="609" t="s">
        <v>565</v>
      </c>
      <c r="Q24" s="609" t="s">
        <v>566</v>
      </c>
      <c r="R24" s="609" t="s">
        <v>360</v>
      </c>
      <c r="S24" s="609" t="s">
        <v>359</v>
      </c>
      <c r="T24" s="609" t="s">
        <v>567</v>
      </c>
      <c r="U24" s="609" t="s">
        <v>553</v>
      </c>
      <c r="V24" s="609" t="s">
        <v>568</v>
      </c>
      <c r="W24" s="609" t="s">
        <v>620</v>
      </c>
      <c r="X24" s="609" t="s">
        <v>621</v>
      </c>
      <c r="Y24" s="609" t="s">
        <v>362</v>
      </c>
      <c r="Z24" s="606"/>
      <c r="AA24" s="1593" t="s">
        <v>526</v>
      </c>
      <c r="AB24" s="1593"/>
      <c r="AC24" s="1593"/>
      <c r="AD24" s="1593"/>
      <c r="AE24" s="1593"/>
      <c r="AF24" s="1593"/>
      <c r="AG24" s="1593"/>
      <c r="AH24" s="1593"/>
      <c r="AI24" s="1593"/>
      <c r="AJ24" s="1593"/>
      <c r="AK24" s="1593"/>
      <c r="AL24" s="1593"/>
      <c r="AM24" s="1593"/>
      <c r="AN24" s="608"/>
      <c r="AO24" s="609" t="s">
        <v>564</v>
      </c>
      <c r="AP24" s="609" t="s">
        <v>565</v>
      </c>
      <c r="AQ24" s="609" t="s">
        <v>566</v>
      </c>
      <c r="AR24" s="609" t="s">
        <v>360</v>
      </c>
      <c r="AS24" s="609" t="s">
        <v>359</v>
      </c>
      <c r="AT24" s="609" t="s">
        <v>567</v>
      </c>
      <c r="AU24" s="609" t="s">
        <v>553</v>
      </c>
      <c r="AV24" s="609" t="s">
        <v>568</v>
      </c>
      <c r="AW24" s="609" t="s">
        <v>620</v>
      </c>
      <c r="AX24" s="609" t="s">
        <v>621</v>
      </c>
      <c r="AY24" s="609" t="s">
        <v>362</v>
      </c>
      <c r="AZ24" s="606"/>
      <c r="BA24" s="53">
        <v>12</v>
      </c>
      <c r="BB24" s="54">
        <f t="shared" si="14"/>
        <v>0</v>
      </c>
      <c r="BC24" s="50">
        <f t="shared" si="15"/>
        <v>0</v>
      </c>
      <c r="BD24" s="55">
        <f t="shared" si="16"/>
        <v>0</v>
      </c>
      <c r="BE24" s="56">
        <f t="shared" si="16"/>
        <v>0</v>
      </c>
      <c r="BF24" s="141" t="s">
        <v>341</v>
      </c>
      <c r="BG24" s="99">
        <f>COUNTIF($K$13:$M$22,"特・精")</f>
        <v>0</v>
      </c>
      <c r="BH24" s="98">
        <f>COUNTIF($X$13:$Z$22,"特・精")</f>
        <v>0</v>
      </c>
      <c r="BI24" s="99">
        <f>COUNTIF($K$46:$M$75,"特・精")</f>
        <v>0</v>
      </c>
      <c r="BJ24" s="99">
        <f>COUNTIF($X$46:$Z$75,"特・精")</f>
        <v>0</v>
      </c>
      <c r="BK24" s="99">
        <f>COUNTIF($K$89:$M$118,"特・精")</f>
        <v>0</v>
      </c>
      <c r="BL24" s="99">
        <f>COUNTIF($X$89:$Z$118,"特・精")</f>
        <v>0</v>
      </c>
      <c r="BM24" s="99">
        <f>COUNTIF($K$132:$M$161,"特・精")</f>
        <v>0</v>
      </c>
      <c r="BN24" s="99">
        <f>COUNTIF($X$132:$Z$161,"特・精")</f>
        <v>0</v>
      </c>
      <c r="BO24" s="99">
        <f>COUNTIF($K$175:$M$204,"特・精")</f>
        <v>0</v>
      </c>
      <c r="BP24" s="99">
        <f>COUNTIF($X$175:$Z$204,"特・精")</f>
        <v>0</v>
      </c>
      <c r="BQ24" s="99">
        <f>COUNTIF($K$218:$M$247,"特・精")</f>
        <v>0</v>
      </c>
      <c r="BR24" s="100">
        <f>COUNTIF($X$218:$Z$247,"特・精")</f>
        <v>0</v>
      </c>
      <c r="BS24" s="101">
        <f t="shared" si="11"/>
        <v>0</v>
      </c>
      <c r="BT24" s="116">
        <f>SUMIFS($H$13:$H$22,$J$13:$J$22,"小",$K$13:$K$22,"特・精")+SUMIFS($U$13:$U$22,$W$13:$W$22,"小",$X$13:$X$22,"特・精")+SUMIFS($H$46:$H$75,$J$46:$J$75,"小",$K$46:$K$75,"特・精")+SUMIFS($U$46:$U$75,$W$46:$W$75,"小",$X$46:$X$75,"特・精")+SUMIFS($H$89:$H$118,$J$89:$J$118,"小",$K$89:$K$118,"特・精")+SUMIFS($H$132:$H$161,$J$132:$J$161,"小",$K$132:$K$161,"特・精")+SUMIFS($H$175:$H$204,$J$175:$J$204,"小",$K$175:$K$204,"特・精")+SUMIFS($H$218:$H$247,$J$218:$J$247,"小",$K$218:$K$247,"特・精")+SUMIFS($U$89:$U$118,$W$89:$W$118,"小",$X$89:$X$118,"特・精")+SUMIFS($U$132:$U$161,$W$132:$W$161,"小",$X$132:$X$161,"特・精")+SUMIFS($U$175:$U$204,$W$175:$W$204,"小",$X$175:$X$204,"特・精")+SUMIFS($U$218:$U$247,$W$218:$W$247,"小",$X$218:$X$247,"特・精")</f>
        <v>0</v>
      </c>
      <c r="BU24" s="116">
        <f>SUMIFS($I$13:$I$22,$J$13:$J$22,"小",$K$13:$K$22,"特・精")+SUMIFS($V$13:$V$22,$W$13:$W$22,"小",$X$13:$X$22,"特・精")+SUMIFS($I$46:$I$75,$J$46:$J$75,"小",$K$46:$K$75,"特・精")+SUMIFS($V$46:$V$75,$W$46:$W$75,"小",$X$46:$X$75,"特・精")+SUMIFS($I$89:$I$118,$J$89:$J$118,"小",$K$89:$K$118,"特・精")+SUMIFS($I$132:$I$161,$J$132:$J$161,"小",$K$132:$K$161,"特・精")+SUMIFS($I$175:$I$204,$J$175:$J$204,"小",$K$175:$K$204,"特・精")+SUMIFS($I$218:$I$247,$J$218:$J$247,"小",$K$218:$K$247,"特・精")+SUMIFS($V$89:$V$118,$W$89:$W$118,"小",$X$89:$X$118,"特・精")+SUMIFS($V$132:$V$161,$W$132:$W$161,"小",$X$132:$X$161,"特・精")+SUMIFS($V$175:$V$204,$W$175:$W$204,"小",$X$175:$X$204,"特・精")+SUMIFS($V$218:$V$247,$W$218:$W$247,"小",$X$218:$X$247,"特・精")</f>
        <v>0</v>
      </c>
      <c r="BV24" s="116">
        <f>SUMIFS($H$13:$H$22,$J$13:$J$22,"中",$K$13:$K$22,"特・精")+SUMIFS($U$13:$U$22,$W$13:$W$22,"中",$X$13:$X$22,"特・精")+SUMIFS($H$46:$H$75,$J$46:$J$75,"中",$K$46:$K$75,"特・精")+SUMIFS($U$46:$U$75,$W$46:$W$75,"中",$X$46:$X$75,"特・精")+SUMIFS($H$89:$H$118,$J$89:$J$118,"中",$K$89:$K$118,"特・精")+SUMIFS($H$132:$H$161,$J$132:$J$161,"中",$K$132:$K$161,"特・精")+SUMIFS($H$175:$H$204,$J$175:$J$204,"中",$K$175:$K$204,"特・精")+SUMIFS($H$218:$H$247,$J$218:$J$247,"中",$K$218:$K$247,"特・精")+SUMIFS($U$89:$U$118,$W$89:$W$118,"中",$X$89:$X$118,"特・精")+SUMIFS($U$132:$U$161,$W$132:$W$161,"中",$X$132:$X$161,"特・精")+SUMIFS($U$175:$U$204,$W$175:$W$204,"中",$X$175:$X$204,"特・精")+SUMIFS($U$218:$U$247,$W$218:$W$247,"中",$X$218:$X$247,"特・精")</f>
        <v>0</v>
      </c>
      <c r="BW24" s="124">
        <f>SUMIFS($I$13:$I$22,$J$13:$J$22,"中",$K$13:$K$22,"特・精")+SUMIFS($V$13:$V$22,$W$13:$W$22,"中",$X$13:$X$22,"特・精")+SUMIFS($I$46:$I$75,$J$46:$J$75,"中",$K$46:$K$75,"特・精")+SUMIFS($V$46:$V$75,$W$46:$W$75,"中",$X$46:$X$75,"特・精")+SUMIFS($I$89:$I$118,$J$89:$J$118,"中",$K$89:$K$118,"特・精")+SUMIFS($I$132:$I$161,$J$132:$J$161,"中",$K$132:$K$161,"特・精")+SUMIFS($I$175:$I$204,$J$175:$J$204,"中",$K$175:$K$204,"特・精")+SUMIFS($I$218:$I$247,$J$218:$J$247,"中",$K$218:$K$247,"特・精")+SUMIFS($V$89:$V$118,$W$89:$W$118,"中",$X$89:$X$118,"特・精")+SUMIFS($V$132:$V$161,$W$132:$W$161,"中",$X$132:$X$161,"特・精")+SUMIFS($V$175:$V$204,$W$175:$W$204,"中",$X$175:$X$204,"特・精")+SUMIFS($V$218:$V$247,$W$218:$W$247,"中",$X$218:$X$247,"特・精")</f>
        <v>0</v>
      </c>
      <c r="BX24" s="129"/>
      <c r="BY24" s="129"/>
      <c r="BZ24" s="129"/>
      <c r="CA24" s="129"/>
      <c r="CC24" s="96" t="str">
        <f t="shared" si="7"/>
        <v>小泊/身・療</v>
      </c>
      <c r="CD24" s="99">
        <f t="shared" si="13"/>
        <v>0</v>
      </c>
      <c r="CE24" s="471">
        <f>IF(OR(BT25="",BT25=0),0,103)</f>
        <v>0</v>
      </c>
      <c r="CF24" s="471">
        <v>330</v>
      </c>
      <c r="CG24" s="476">
        <v>103</v>
      </c>
      <c r="CI24" s="233"/>
      <c r="CJ24" s="233"/>
    </row>
    <row r="25" spans="1:89" s="2" customFormat="1" ht="24" customHeight="1">
      <c r="A25" s="1593"/>
      <c r="B25" s="1593"/>
      <c r="C25" s="1593"/>
      <c r="D25" s="1593"/>
      <c r="E25" s="1593"/>
      <c r="F25" s="1593"/>
      <c r="G25" s="1593"/>
      <c r="H25" s="1593"/>
      <c r="I25" s="1593"/>
      <c r="J25" s="1593"/>
      <c r="K25" s="1593"/>
      <c r="L25" s="1593"/>
      <c r="M25" s="1593"/>
      <c r="N25" s="609" t="s">
        <v>387</v>
      </c>
      <c r="O25" s="956">
        <f>SUMIFS($H13:$H22,$J13:$J22,"幼①")+SUMIFS($U13:$U22,$W13:$W22,"幼①")+SUMIFS($H46:$H75,$J46:$J75,"幼①")+SUMIFS($U46:$U75,$W46:$W75,"幼①")+SUMIFS($H89:$H118,$J89:$J118,"幼①")+SUMIFS($U89:$U118,$W89:$W118,"幼①")+SUMIFS($H132:$H161,$J132:$J161,"幼①")+SUMIFS($U132:$U161,$W132:$W161,"幼①")</f>
        <v>0</v>
      </c>
      <c r="P25" s="956">
        <f>SUMIFS($H13:$H22,$J13:$J22,"幼②")+SUMIFS($U13:$U22,$W13:$W22,"幼②")+SUMIFS($H46:$H75,$J46:$J75,"幼②")+SUMIFS($U46:$U75,$W46:$W75,"幼②")+SUMIFS($H89:$H118,$J89:$J118,"幼②")+SUMIFS($U89:$U118,$W89:$W118,"幼②")+SUMIFS($H132:$H161,$J132:$J161,"幼②")+SUMIFS($U132:$U161,$W132:$W161,"幼②")</f>
        <v>0</v>
      </c>
      <c r="Q25" s="956">
        <f>SUMIFS($H13:$H22,$J13:$J22,"幼③")+SUMIFS($U13:$U22,$W13:$W22,"幼③")+SUMIFS($H46:$H75,$J46:$J75,"幼③")+SUMIFS($U46:$U75,$W46:$W75,"幼③")+SUMIFS($H89:$H118,$J89:$J118,"幼③")+SUMIFS($U89:$U118,$W89:$W118,"幼③")+SUMIFS($H132:$H161,$J132:$J161,"幼③")+SUMIFS($U132:$U161,$W132:$W161,"幼③")</f>
        <v>0</v>
      </c>
      <c r="R25" s="956">
        <f>SUMIFS($H13:$H22,$J13:$J22,"小")+SUMIFS($U13:$U22,$W13:$W22,"小")+SUMIFS($H46:$H75,$J46:$J75,"小")+SUMIFS($U46:$U75,$W46:$W75,"小")+SUMIFS($H89:$H118,$J89:$J118,"小")+SUMIFS($U89:$U118,$W89:$W118,"小")+SUMIFS($H132:$H161,$J132:$J161,"小")+SUMIFS($U132:$U161,$W132:$W161,"小")</f>
        <v>0</v>
      </c>
      <c r="S25" s="956">
        <f>SUMIFS($H13:$H22,$J13:$J22,"中")+SUMIFS($U13:$U22,$W13:$W22,"中")+SUMIFS($H46:$H75,$J46:$J75,"中")+SUMIFS($U46:$U75,$W46:$W75,"中")+SUMIFS($H89:$H118,$J89:$J118,"中")+SUMIFS($U89:$U118,$W89:$W118,"中")+SUMIFS($H132:$H161,$J132:$J161,"中")+SUMIFS($U132:$U161,$W132:$W161,"中")</f>
        <v>0</v>
      </c>
      <c r="T25" s="956">
        <f>SUMIFS($H13:$H22,$J13:$J22,"高")+SUMIFS($U13:$U22,$W13:$W22,"高")+SUMIFS($H46:$H75,$J46:$J75,"高")+SUMIFS($U46:$U75,$W46:$W75,"高")+SUMIFS($H89:$H118,$J89:$J118,"高")+SUMIFS($U89:$U118,$W89:$W118,"高")+SUMIFS($H132:$H161,$J132:$J161,"高")+SUMIFS($U132:$U161,$W132:$W161,"高")</f>
        <v>0</v>
      </c>
      <c r="U25" s="956">
        <f>SUMIFS($H13:$H22,$J13:$J22,"引①")+SUMIFS($U13:$U22,$W13:$W22,"引①")+SUMIFS($H46:$H75,$J46:$J75,"引①")+SUMIFS($U46:$U75,$W46:$W75,"引①")+SUMIFS($H89:$H118,$J89:$J118,"引①")+SUMIFS($U89:$U118,$W89:$W118,"引①")+SUMIFS($H132:$H161,$J132:$J161,"引①")+SUMIFS($U132:$U161,$W132:$W161,"引①")</f>
        <v>0</v>
      </c>
      <c r="V25" s="956">
        <f>SUMIFS($H13:$H22,$J13:$J22,"引②")+SUMIFS($U13:$U22,$W13:$W22,"引②")+SUMIFS($H46:$H75,$J46:$J75,"引②")+SUMIFS($U46:$U75,$W46:$W75,"引②")+SUMIFS($H89:$H118,$J89:$J118,"引②")+SUMIFS($U89:$U118,$W89:$W118,"引②")+SUMIFS($H132:$H161,$J132:$J161,"引②")+SUMIFS($U132:$U161,$W132:$W161,"引②")</f>
        <v>0</v>
      </c>
      <c r="W25" s="956">
        <f>SUMIFS($H13:$H22,$J13:$J22,"一①")+SUMIFS($U13:$U22,$W13:$W22,"一①")+SUMIFS($H46:$H75,$J46:$J75,"一①")+SUMIFS($U46:$U75,$W46:$W75,"一①")+SUMIFS($H89:$H118,$J89:$J118,"一①")+SUMIFS($U89:$U118,$W89:$W118,"一①")+SUMIFS($H132:$H161,$J132:$J161,"一①")+SUMIFS($U132:$U161,$W132:$W161,"一①")</f>
        <v>0</v>
      </c>
      <c r="X25" s="956">
        <f>SUMIFS($H13:$H22,$J13:$J22,"一②")+SUMIFS($U13:$U22,$W13:$W22,"一②")+SUMIFS($H46:$H75,$J46:$J75,"一②")+SUMIFS($U46:$U75,$W46:$W75,"一②")+SUMIFS($H89:$H118,$J89:$J118,"一②")+SUMIFS($U89:$U118,$W89:$W118,"一②")+SUMIFS($H132:$H161,$J132:$J161,"一②")+SUMIFS($U132:$U161,$W132:$W161,"一②")</f>
        <v>0</v>
      </c>
      <c r="Y25" s="956">
        <f>SUM(O25:X25)</f>
        <v>0</v>
      </c>
      <c r="Z25" s="606"/>
      <c r="AA25" s="1593"/>
      <c r="AB25" s="1593"/>
      <c r="AC25" s="1593"/>
      <c r="AD25" s="1593"/>
      <c r="AE25" s="1593"/>
      <c r="AF25" s="1593"/>
      <c r="AG25" s="1593"/>
      <c r="AH25" s="1593"/>
      <c r="AI25" s="1593"/>
      <c r="AJ25" s="1593"/>
      <c r="AK25" s="1593"/>
      <c r="AL25" s="1593"/>
      <c r="AM25" s="1593"/>
      <c r="AN25" s="609" t="s">
        <v>387</v>
      </c>
      <c r="AO25" s="609">
        <f>SUMIFS($H13:$H22,$J13:$J22,"幼①")+SUMIFS($U13:$U22,$W13:$W22,"幼①")+SUMIFS($H46:$H75,$J46:$J75,"幼①")+SUMIFS($U46:$U75,$W46:$W75,"幼①")+SUMIFS($H89:$H118,$J89:$J118,"幼①")+SUMIFS($U89:$U118,$W89:$W118,"幼①")+SUMIFS($H132:$H161,$J132:$J161,"幼①")+SUMIFS($U132:$U161,$W132:$W161,"幼①")</f>
        <v>0</v>
      </c>
      <c r="AP25" s="609">
        <f>SUMIFS($H13:$H22,$J13:$J22,"幼②")+SUMIFS($U13:$U22,$W13:$W22,"幼②")+SUMIFS($H46:$H75,$J46:$J75,"幼②")+SUMIFS($U46:$U75,$W46:$W75,"幼②")+SUMIFS($H89:$H118,$J89:$J118,"幼②")+SUMIFS($U89:$U118,$W89:$W118,"幼②")+SUMIFS($H132:$H161,$J132:$J161,"幼②")+SUMIFS($U132:$U161,$W132:$W161,"幼②")</f>
        <v>0</v>
      </c>
      <c r="AQ25" s="609">
        <f>SUMIFS($H13:$H22,$J13:$J22,"幼③")+SUMIFS($U13:$U22,$W13:$W22,"幼③")+SUMIFS($H46:$H75,$J46:$J75,"幼③")+SUMIFS($U46:$U75,$W46:$W75,"幼③")+SUMIFS($H89:$H118,$J89:$J118,"幼③")+SUMIFS($U89:$U118,$W89:$W118,"幼③")+SUMIFS($H132:$H161,$J132:$J161,"幼③")+SUMIFS($U132:$U161,$W132:$W161,"幼③")</f>
        <v>0</v>
      </c>
      <c r="AR25" s="609">
        <v>100</v>
      </c>
      <c r="AS25" s="609">
        <f>SUMIFS($H13:$H22,$J13:$J22,"中")+SUMIFS($U13:$U22,$W13:$W22,"中")+SUMIFS($H46:$H75,$J46:$J75,"中")+SUMIFS($U46:$U75,$W46:$W75,"中")+SUMIFS($H89:$H118,$J89:$J118,"中")+SUMIFS($U89:$U118,$W89:$W118,"中")+SUMIFS($H132:$H161,$J132:$J161,"中")+SUMIFS($U132:$U161,$W132:$W161,"中")</f>
        <v>0</v>
      </c>
      <c r="AT25" s="609">
        <f>SUMIFS($H13:$H22,$J13:$J22,"高")+SUMIFS($U13:$U22,$W13:$W22,"高")+SUMIFS($H46:$H75,$J46:$J75,"高")+SUMIFS($U46:$U75,$W46:$W75,"高")+SUMIFS($H89:$H118,$J89:$J118,"高")+SUMIFS($U89:$U118,$W89:$W118,"高")+SUMIFS($H132:$H161,$J132:$J161,"高")+SUMIFS($U132:$U161,$W132:$W161,"高")</f>
        <v>0</v>
      </c>
      <c r="AU25" s="609">
        <v>11</v>
      </c>
      <c r="AV25" s="609">
        <f>SUMIFS($H13:$H22,$J13:$J22,"引②")+SUMIFS($U13:$U22,$W13:$W22,"引②")+SUMIFS($H46:$H75,$J46:$J75,"引②")+SUMIFS($U46:$U75,$W46:$W75,"引②")+SUMIFS($H89:$H118,$J89:$J118,"引②")+SUMIFS($U89:$U118,$W89:$W118,"引②")+SUMIFS($H132:$H161,$J132:$J161,"引②")+SUMIFS($U132:$U161,$W132:$W161,"引②")</f>
        <v>0</v>
      </c>
      <c r="AW25" s="609">
        <f>SUMIFS($H13:$H22,$J13:$J22,"一①")+SUMIFS($U13:$U22,$W13:$W22,"一①")+SUMIFS($H46:$H75,$J46:$J75,"一①")+SUMIFS($U46:$U75,$W46:$W75,"一①")+SUMIFS($H89:$H118,$J89:$J118,"一①")+SUMIFS($U89:$U118,$W89:$W118,"一①")+SUMIFS($H132:$H161,$J132:$J161,"一①")+SUMIFS($U132:$U161,$W132:$W161,"一①")</f>
        <v>0</v>
      </c>
      <c r="AX25" s="609">
        <f>SUMIFS($H13:$H22,$J13:$J22,"一②")+SUMIFS($U13:$U22,$W13:$W22,"一②")+SUMIFS($H46:$H75,$J46:$J75,"一②")+SUMIFS($U46:$U75,$W46:$W75,"一②")+SUMIFS($H89:$H118,$J89:$J118,"一②")+SUMIFS($U89:$U118,$W89:$W118,"一②")+SUMIFS($H132:$H161,$J132:$J161,"一②")+SUMIFS($U132:$U161,$W132:$W161,"一②")</f>
        <v>0</v>
      </c>
      <c r="AY25" s="609">
        <v>111</v>
      </c>
      <c r="AZ25" s="606"/>
      <c r="BA25" s="53">
        <v>13</v>
      </c>
      <c r="BB25" s="54">
        <f t="shared" si="14"/>
        <v>0</v>
      </c>
      <c r="BC25" s="50">
        <f t="shared" si="15"/>
        <v>0</v>
      </c>
      <c r="BD25" s="55">
        <f t="shared" si="16"/>
        <v>0</v>
      </c>
      <c r="BE25" s="56">
        <f t="shared" si="16"/>
        <v>0</v>
      </c>
      <c r="BF25" s="141" t="s">
        <v>342</v>
      </c>
      <c r="BG25" s="99">
        <f>COUNTIF($K$13:$M$22,"身・療")</f>
        <v>0</v>
      </c>
      <c r="BH25" s="98">
        <f>COUNTIF($X$13:$Z$22,"身・療")</f>
        <v>0</v>
      </c>
      <c r="BI25" s="99">
        <f>COUNTIF($K$46:$M$75,"身・療")</f>
        <v>0</v>
      </c>
      <c r="BJ25" s="99">
        <f>COUNTIF($X$46:$Z$75,"身・療")</f>
        <v>0</v>
      </c>
      <c r="BK25" s="99">
        <f>COUNTIF($K$89:$M$118,"身・療")</f>
        <v>0</v>
      </c>
      <c r="BL25" s="99">
        <f>COUNTIF($X$89:$Z$118,"身・療")</f>
        <v>0</v>
      </c>
      <c r="BM25" s="99">
        <f>COUNTIF($K$132:$M$161,"身・療")</f>
        <v>0</v>
      </c>
      <c r="BN25" s="99">
        <f>COUNTIF($X$132:$Z$161,"身・療")</f>
        <v>0</v>
      </c>
      <c r="BO25" s="99">
        <f>COUNTIF($K$175:$M$204,"身・療")</f>
        <v>0</v>
      </c>
      <c r="BP25" s="99">
        <f>COUNTIF($X$175:$Z$204,"身・療")</f>
        <v>0</v>
      </c>
      <c r="BQ25" s="99">
        <f>COUNTIF($K$218:$M$247,"身・療")</f>
        <v>0</v>
      </c>
      <c r="BR25" s="100">
        <f>COUNTIF($X$218:$Z$247,"身・療")</f>
        <v>0</v>
      </c>
      <c r="BS25" s="101">
        <f t="shared" si="11"/>
        <v>0</v>
      </c>
      <c r="BT25" s="116">
        <f>SUMIFS($H$13:$H$22,$J$13:$J$22,"小",$K$13:$K$22,"身・療")+SUMIFS($U$13:$U$22,$W$13:$W$22,"小",$X$13:$X$22,"身・療")+SUMIFS($H$46:$H$75,$J$46:$J$75,"小",$K$46:$K$75,"身・療")+SUMIFS($U$46:$U$75,$W$46:$W$75,"小",$X$46:$X$75,"身・療")+SUMIFS($H$89:$H$118,$J$89:$J$118,"小",$K$89:$K$118,"身・療")+SUMIFS($H$132:$H$161,$J$132:$J$161,"小",$K$132:$K$161,"身・療")+SUMIFS($H$175:$H$204,$J$175:$J$204,"小",$K$175:$K$204,"身・療")+SUMIFS($H$218:$H$247,$J$218:$J$247,"小",$K$218:$K$247,"身・療")+SUMIFS($U$89:$U$118,$W$89:$W$118,"小",$X$89:$X$118,"身・療")+SUMIFS($U$132:$U$161,$W$132:$W$161,"小",$X$132:$X$161,"身・療")+SUMIFS($U$175:$U$204,$W$175:$W$204,"小",$X$175:$X$204,"身・療")+SUMIFS($U$218:$U$247,$W$218:$W$247,"小",$X$218:$X$247,"身・療")</f>
        <v>0</v>
      </c>
      <c r="BU25" s="116">
        <f>SUMIFS($I$13:$I$22,$J$13:$J$22,"小",$K$13:$K$22,"身・療")+SUMIFS($V$13:$V$22,$W$13:$W$22,"小",$X$13:$X$22,"身・療")+SUMIFS($I$46:$I$75,$J$46:$J$75,"小",$K$46:$K$75,"身・療")+SUMIFS($V$46:$V$75,$W$46:$W$75,"小",$X$46:$X$75,"身・療")+SUMIFS($I$89:$I$118,$J$89:$J$118,"小",$K$89:$K$118,"身・療")+SUMIFS($I$132:$I$161,$J$132:$J$161,"小",$K$132:$K$161,"身・療")+SUMIFS($I$175:$I$204,$J$175:$J$204,"小",$K$175:$K$204,"身・療")+SUMIFS($I$218:$I$247,$J$218:$J$247,"小",$K$218:$K$247,"身・療")+SUMIFS($V$89:$V$118,$W$89:$W$118,"小",$X$89:$X$118,"身・療")+SUMIFS($V$132:$V$161,$W$132:$W$161,"小",$X$132:$X$161,"身・療")+SUMIFS($V$175:$V$204,$W$175:$W$204,"小",$X$175:$X$204,"身・療")+SUMIFS($V$218:$V$247,$W$218:$W$247,"小",$X$218:$X$247,"身・療")</f>
        <v>0</v>
      </c>
      <c r="BV25" s="116">
        <f>SUMIFS($H$13:$H$22,$J$13:$J$22,"中",$K$13:$K$22,"身・療")+SUMIFS($U$13:$U$22,$W$13:$W$22,"中",$X$13:$X$22,"身・療")+SUMIFS($H$46:$H$75,$J$46:$J$75,"中",$K$46:$K$75,"身・療")+SUMIFS($U$46:$U$75,$W$46:$W$75,"中",$X$46:$X$75,"身・療")+SUMIFS($H$89:$H$118,$J$89:$J$118,"中",$K$89:$K$118,"身・療")+SUMIFS($H$132:$H$161,$J$132:$J$161,"中",$K$132:$K$161,"身・療")+SUMIFS($H$175:$H$204,$J$175:$J$204,"中",$K$175:$K$204,"身・療")+SUMIFS($H$218:$H$247,$J$218:$J$247,"中",$K$218:$K$247,"身・療")+SUMIFS($U$89:$U$118,$W$89:$W$118,"中",$X$89:$X$118,"身・療")+SUMIFS($U$132:$U$161,$W$132:$W$161,"中",$X$132:$X$161,"身・療")+SUMIFS($U$175:$U$204,$W$175:$W$204,"中",$X$175:$X$204,"身・療")+SUMIFS($U$218:$U$247,$W$218:$W$247,"中",$X$218:$X$247,"身・療")</f>
        <v>0</v>
      </c>
      <c r="BW25" s="124">
        <f>SUMIFS($I$13:$I$22,$J$13:$J$22,"中",$K$13:$K$22,"身・療")+SUMIFS($V$13:$V$22,$W$13:$W$22,"中",$X$13:$X$22,"身・療")+SUMIFS($I$46:$I$75,$J$46:$J$75,"中",$K$46:$K$75,"身・療")+SUMIFS($V$46:$V$75,$W$46:$W$75,"中",$X$46:$X$75,"身・療")+SUMIFS($I$89:$I$118,$J$89:$J$118,"中",$K$89:$K$118,"身・療")+SUMIFS($I$132:$I$161,$J$132:$J$161,"中",$K$132:$K$161,"身・療")+SUMIFS($I$175:$I$204,$J$175:$J$204,"中",$K$175:$K$204,"身・療")+SUMIFS($I$218:$I$247,$J$218:$J$247,"中",$K$218:$K$247,"身・療")+SUMIFS($V$89:$V$118,$W$89:$W$118,"中",$X$89:$X$118,"身・療")+SUMIFS($V$132:$V$161,$W$132:$W$161,"中",$X$132:$X$161,"身・療")+SUMIFS($V$175:$V$204,$W$175:$W$204,"中",$X$175:$X$204,"身・療")+SUMIFS($V$218:$V$247,$W$218:$W$247,"中",$X$218:$X$247,"身・療")</f>
        <v>0</v>
      </c>
      <c r="BX25" s="129"/>
      <c r="BY25" s="129"/>
      <c r="BZ25" s="129"/>
      <c r="CA25" s="129"/>
      <c r="CC25" s="96" t="str">
        <f t="shared" si="7"/>
        <v>小泊/身・精</v>
      </c>
      <c r="CD25" s="99">
        <f t="shared" si="13"/>
        <v>0</v>
      </c>
      <c r="CE25" s="471">
        <f>IF(OR(BT26="",BT26=0),0,102)</f>
        <v>0</v>
      </c>
      <c r="CF25" s="471">
        <v>330</v>
      </c>
      <c r="CG25" s="476">
        <v>102</v>
      </c>
      <c r="CI25" s="233"/>
      <c r="CJ25" s="233"/>
    </row>
    <row r="26" spans="1:89" s="2" customFormat="1" ht="24" customHeight="1">
      <c r="A26" s="1594" t="s">
        <v>619</v>
      </c>
      <c r="B26" s="1594"/>
      <c r="C26" s="1594"/>
      <c r="D26" s="1594"/>
      <c r="E26" s="1594"/>
      <c r="F26" s="1594"/>
      <c r="G26" s="1594"/>
      <c r="H26" s="1594"/>
      <c r="I26" s="1594"/>
      <c r="J26" s="1594"/>
      <c r="K26" s="1594"/>
      <c r="L26" s="1594"/>
      <c r="M26" s="1594"/>
      <c r="N26" s="609" t="s">
        <v>622</v>
      </c>
      <c r="O26" s="956">
        <f>SUMIFS($I13:$I22,$J13:$J22,"幼①")+SUMIFS($V13:$V22,$W13:$W22,"幼①")+SUMIFS($I46:$I75,$J46:$J75,"幼①")+SUMIFS($V46:$V75,$W46:$W75,"幼①")+SUMIFS($I89:$I118,$J89:$J118,"幼①")+SUMIFS($V89:$V118,$W89:$W118,"幼①")+SUMIFS($I132:$I161,$J132:$J161,"幼①")+SUMIFS($V132:$V161,$W132:$W161,"幼①")</f>
        <v>0</v>
      </c>
      <c r="P26" s="956">
        <f>SUMIFS($I13:$I22,$J13:$J22,"幼②")+SUMIFS($V13:$V22,$W13:$W22,"幼②")+SUMIFS($I46:$I75,$J46:$J75,"幼②")+SUMIFS($V46:$V75,$W46:$W75,"幼②")+SUMIFS($I89:$I118,$J89:$J118,"幼②")+SUMIFS($V89:$V118,$W89:$W118,"幼②")+SUMIFS($I132:$I161,$J132:$J161,"幼②")+SUMIFS($V132:$V161,$W132:$W161,"幼②")</f>
        <v>0</v>
      </c>
      <c r="Q26" s="956">
        <f>SUMIFS($I13:$I22,$J13:$J22,"幼③")+SUMIFS($V13:$V22,$W13:$W22,"幼③")+SUMIFS($I46:$I75,$J46:$J75,"幼③")+SUMIFS($V46:$V75,$W46:$W75,"幼③")+SUMIFS($I89:$I118,$J89:$J118,"幼③")+SUMIFS($V89:$V118,$W89:$W118,"幼③")+SUMIFS($I132:$I161,$J132:$J161,"幼③")+SUMIFS($V132:$V161,$W132:$W161,"幼③")</f>
        <v>0</v>
      </c>
      <c r="R26" s="956">
        <f>SUMIFS($I13:$I22,$J13:$J22,"小")+SUMIFS($V13:$V22,$W13:$W22,"小")+SUMIFS($I46:$I75,$J46:$J75,"小")+SUMIFS($V46:$V75,$W46:$W75,"小")+SUMIFS($I89:$I118,$J89:$J118,"小")+SUMIFS($V89:$V118,$W89:$W118,"小")+SUMIFS($I132:$I161,$J132:$J161,"小")+SUMIFS($V132:$V161,$W132:$W161,"小")</f>
        <v>0</v>
      </c>
      <c r="S26" s="956">
        <f>SUMIFS($I13:$I22,$J13:$J22,"中")+SUMIFS($V13:$V22,$W13:$W22,"中")+SUMIFS($I46:$I75,$J46:$J75,"中")+SUMIFS($V46:$V75,$W46:$W75,"中")+SUMIFS($I89:$I118,$J89:$J118,"中")+SUMIFS($V89:$V118,$W89:$W118,"中")+SUMIFS($I132:$I161,$J132:$J161,"中")+SUMIFS($V132:$V161,$W132:$W161,"中")</f>
        <v>0</v>
      </c>
      <c r="T26" s="956">
        <f>SUMIFS($I13:$I22,$J13:$J22,"高")+SUMIFS($V13:$V22,$W13:$W22,"高")+SUMIFS($I46:$I75,$J46:$J75,"高")+SUMIFS($V46:$V75,$W46:$W75,"高")+SUMIFS($I89:$I118,$J89:$J118,"高")+SUMIFS($V89:$V118,$W89:$W118,"高")+SUMIFS($I132:$I161,$J132:$J161,"高")+SUMIFS($V132:$V161,$W132:$W161,"高")</f>
        <v>0</v>
      </c>
      <c r="U26" s="956">
        <f>SUMIFS($I13:$I22,$J13:$J22,"引①")+SUMIFS($V13:$V22,$W13:$W22,"引①")+SUMIFS($I46:$I75,$J46:$J75,"引①")+SUMIFS($V46:$V75,$W46:$W75,"引①")+SUMIFS($I89:$I118,$J89:$J118,"引①")+SUMIFS($V89:$V118,$W89:$W118,"引①")+SUMIFS($I132:$I161,$J132:$J161,"引①")+SUMIFS($V132:$V161,$W132:$W161,"引①")</f>
        <v>0</v>
      </c>
      <c r="V26" s="956">
        <f>SUMIFS($I13:$I22,$J13:$J22,"引②")+SUMIFS($V13:$V22,$W13:$W22,"引②")+SUMIFS($I46:$I75,$J46:$J75,"引②")+SUMIFS($V46:$V75,$W46:$W75,"引②")+SUMIFS($I89:$I118,$J89:$J118,"引②")+SUMIFS($V89:$V118,$W89:$W118,"引②")+SUMIFS($I132:$I161,$J132:$J161,"引②")+SUMIFS($V132:$V161,$W132:$W161,"引②")</f>
        <v>0</v>
      </c>
      <c r="W26" s="956">
        <f>SUMIFS($I13:$I22,$J13:$J22,"一①")+SUMIFS($V13:$V22,$W13:$W22,"一①")+SUMIFS($I46:$I75,$J46:$J75,"一①")+SUMIFS($V46:$V75,$W46:$W75,"一①")+SUMIFS($I89:$I118,$J89:$J118,"一①")+SUMIFS($V89:$V118,$W89:$W118,"一①")+SUMIFS($I132:$I161,$J132:$J161,"一①")+SUMIFS($V132:$V161,$W132:$W161,"一①")</f>
        <v>0</v>
      </c>
      <c r="X26" s="956">
        <f>SUMIFS($I13:$I22,$J13:$J22,"一②")+SUMIFS($V13:$V22,$W13:$W22,"一②")+SUMIFS($I46:$I75,$J46:$J75,"一②")+SUMIFS($V46:$V75,$W46:$W75,"一②")+SUMIFS($I89:$I118,$J89:$J118,"一②")+SUMIFS($V89:$V118,$W89:$W118,"一②")+SUMIFS($I132:$I161,$J132:$J161,"一②")+SUMIFS($V132:$V161,$W132:$W161,"一②")</f>
        <v>0</v>
      </c>
      <c r="Y26" s="609">
        <f>SUM(O26:X26)</f>
        <v>0</v>
      </c>
      <c r="Z26" s="607"/>
      <c r="AA26" s="1594" t="s">
        <v>619</v>
      </c>
      <c r="AB26" s="1594"/>
      <c r="AC26" s="1594"/>
      <c r="AD26" s="1594"/>
      <c r="AE26" s="1594"/>
      <c r="AF26" s="1594"/>
      <c r="AG26" s="1594"/>
      <c r="AH26" s="1594"/>
      <c r="AI26" s="1594"/>
      <c r="AJ26" s="1594"/>
      <c r="AK26" s="1594"/>
      <c r="AL26" s="1594"/>
      <c r="AM26" s="1594"/>
      <c r="AN26" s="609" t="s">
        <v>622</v>
      </c>
      <c r="AO26" s="609">
        <f>SUMIFS($I13:$I22,$J13:$J22,"幼①")+SUMIFS($V13:$V22,$W13:$W22,"幼①")+SUMIFS($I46:$I75,$J46:$J75,"幼①")+SUMIFS($V46:$V75,$W46:$W75,"幼①")+SUMIFS($I89:$I118,$J89:$J118,"幼①")+SUMIFS($V89:$V118,$W89:$W118,"幼①")+SUMIFS($I132:$I161,$J132:$J161,"幼①")+SUMIFS($V132:$V161,$W132:$W161,"幼①")</f>
        <v>0</v>
      </c>
      <c r="AP26" s="609">
        <f>SUMIFS($I13:$I22,$J13:$J22,"幼②")+SUMIFS($V13:$V22,$W13:$W22,"幼②")+SUMIFS($I46:$I75,$J46:$J75,"幼②")+SUMIFS($V46:$V75,$W46:$W75,"幼②")+SUMIFS($I89:$I118,$J89:$J118,"幼②")+SUMIFS($V89:$V118,$W89:$W118,"幼②")+SUMIFS($I132:$I161,$J132:$J161,"幼②")+SUMIFS($V132:$V161,$W132:$W161,"幼②")</f>
        <v>0</v>
      </c>
      <c r="AQ26" s="609">
        <f>SUMIFS($I13:$I22,$J13:$J22,"幼③")+SUMIFS($V13:$V22,$W13:$W22,"幼③")+SUMIFS($I46:$I75,$J46:$J75,"幼③")+SUMIFS($V46:$V75,$W46:$W75,"幼③")+SUMIFS($I89:$I118,$J89:$J118,"幼③")+SUMIFS($V89:$V118,$W89:$W118,"幼③")+SUMIFS($I132:$I161,$J132:$J161,"幼③")+SUMIFS($V132:$V161,$W132:$W161,"幼③")</f>
        <v>0</v>
      </c>
      <c r="AR26" s="609">
        <f>SUMIFS($I13:$I22,$J13:$J22,"小")+SUMIFS($V13:$V22,$W13:$W22,"小")+SUMIFS($I46:$I75,$J46:$J75,"小")+SUMIFS($V46:$V75,$W46:$W75,"小")+SUMIFS($I89:$I118,$J89:$J118,"小")+SUMIFS($V89:$V118,$W89:$W118,"小")+SUMIFS($I132:$I161,$J132:$J161,"小")+SUMIFS($V132:$V161,$W132:$W161,"小")</f>
        <v>0</v>
      </c>
      <c r="AS26" s="609">
        <f>SUMIFS($I13:$I22,$J13:$J22,"中")+SUMIFS($V13:$V22,$W13:$W22,"中")+SUMIFS($I46:$I75,$J46:$J75,"中")+SUMIFS($V46:$V75,$W46:$W75,"中")+SUMIFS($I89:$I118,$J89:$J118,"中")+SUMIFS($V89:$V118,$W89:$W118,"中")+SUMIFS($I132:$I161,$J132:$J161,"中")+SUMIFS($V132:$V161,$W132:$W161,"中")</f>
        <v>0</v>
      </c>
      <c r="AT26" s="609">
        <f>SUMIFS($I13:$I22,$J13:$J22,"高")+SUMIFS($V13:$V22,$W13:$W22,"高")+SUMIFS($I46:$I75,$J46:$J75,"高")+SUMIFS($V46:$V75,$W46:$W75,"高")+SUMIFS($I89:$I118,$J89:$J118,"高")+SUMIFS($V89:$V118,$W89:$W118,"高")+SUMIFS($I132:$I161,$J132:$J161,"高")+SUMIFS($V132:$V161,$W132:$W161,"高")</f>
        <v>0</v>
      </c>
      <c r="AU26" s="609">
        <f>SUMIFS($I13:$I22,$J13:$J22,"引①")+SUMIFS($V13:$V22,$W13:$W22,"引①")+SUMIFS($I46:$I75,$J46:$J75,"引①")+SUMIFS($V46:$V75,$W46:$W75,"引①")+SUMIFS($I89:$I118,$J89:$J118,"引①")+SUMIFS($V89:$V118,$W89:$W118,"引①")+SUMIFS($I132:$I161,$J132:$J161,"引①")+SUMIFS($V132:$V161,$W132:$W161,"引①")</f>
        <v>0</v>
      </c>
      <c r="AV26" s="609">
        <f>SUMIFS($I13:$I22,$J13:$J22,"引②")+SUMIFS($V13:$V22,$W13:$W22,"引②")+SUMIFS($I46:$I75,$J46:$J75,"引②")+SUMIFS($V46:$V75,$W46:$W75,"引②")+SUMIFS($I89:$I118,$J89:$J118,"引②")+SUMIFS($V89:$V118,$W89:$W118,"引②")+SUMIFS($I132:$I161,$J132:$J161,"引②")+SUMIFS($V132:$V161,$W132:$W161,"引②")</f>
        <v>0</v>
      </c>
      <c r="AW26" s="609">
        <f>SUMIFS($I13:$I22,$J13:$J22,"一①")+SUMIFS($V13:$V22,$W13:$W22,"一①")+SUMIFS($I46:$I75,$J46:$J75,"一①")+SUMIFS($V46:$V75,$W46:$W75,"一①")+SUMIFS($I89:$I118,$J89:$J118,"一①")+SUMIFS($V89:$V118,$W89:$W118,"一①")+SUMIFS($I132:$I161,$J132:$J161,"一①")+SUMIFS($V132:$V161,$W132:$W161,"一①")</f>
        <v>0</v>
      </c>
      <c r="AX26" s="609">
        <f>SUMIFS($I13:$I22,$J13:$J22,"一②")+SUMIFS($V13:$V22,$W13:$W22,"一②")+SUMIFS($I46:$I75,$J46:$J75,"一②")+SUMIFS($V46:$V75,$W46:$W75,"一②")+SUMIFS($I89:$I118,$J89:$J118,"一②")+SUMIFS($V89:$V118,$W89:$W118,"一②")+SUMIFS($I132:$I161,$J132:$J161,"一②")+SUMIFS($V132:$V161,$W132:$W161,"一②")</f>
        <v>0</v>
      </c>
      <c r="AY26" s="609">
        <f>SUM(AO26:AX26)</f>
        <v>0</v>
      </c>
      <c r="AZ26" s="607"/>
      <c r="BA26" s="53">
        <v>14</v>
      </c>
      <c r="BB26" s="54">
        <f t="shared" si="14"/>
        <v>0</v>
      </c>
      <c r="BC26" s="50">
        <f t="shared" si="15"/>
        <v>0</v>
      </c>
      <c r="BD26" s="55">
        <f t="shared" si="16"/>
        <v>0</v>
      </c>
      <c r="BE26" s="56">
        <f t="shared" si="16"/>
        <v>0</v>
      </c>
      <c r="BF26" s="141" t="s">
        <v>343</v>
      </c>
      <c r="BG26" s="99">
        <f>COUNTIF($K$13:$M$22,"身・精")</f>
        <v>0</v>
      </c>
      <c r="BH26" s="98">
        <f>COUNTIF($X$13:$Z$22,"身・精")</f>
        <v>0</v>
      </c>
      <c r="BI26" s="99">
        <f>COUNTIF($K$46:$M$75,"身・精")</f>
        <v>0</v>
      </c>
      <c r="BJ26" s="99">
        <f>COUNTIF($X$46:$Z$75,"身・精")</f>
        <v>0</v>
      </c>
      <c r="BK26" s="99">
        <f>COUNTIF($K$89:$M$118,"身・精")</f>
        <v>0</v>
      </c>
      <c r="BL26" s="99">
        <f>COUNTIF($X$89:$Z$118,"身・精")</f>
        <v>0</v>
      </c>
      <c r="BM26" s="99">
        <f>COUNTIF($K$132:$M$161,"身・精")</f>
        <v>0</v>
      </c>
      <c r="BN26" s="99">
        <f>COUNTIF($X$132:$Z$161,"身・精")</f>
        <v>0</v>
      </c>
      <c r="BO26" s="99">
        <f>COUNTIF($K$175:$M$204,"身・精")</f>
        <v>0</v>
      </c>
      <c r="BP26" s="99">
        <f>COUNTIF($X$175:$Z$204,"身・精")</f>
        <v>0</v>
      </c>
      <c r="BQ26" s="99">
        <f>COUNTIF($K$218:$M$247,"身・精")</f>
        <v>0</v>
      </c>
      <c r="BR26" s="100">
        <f>COUNTIF($X$218:$Z$247,"身・精")</f>
        <v>0</v>
      </c>
      <c r="BS26" s="101">
        <f t="shared" si="11"/>
        <v>0</v>
      </c>
      <c r="BT26" s="116">
        <f>SUMIFS($H$13:$H$22,$J$13:$J$22,"小",$K$13:$K$22,"身・精")+SUMIFS($U$13:$U$22,$W$13:$W$22,"小",$X$13:$X$22,"身・精")+SUMIFS($H$46:$H$75,$J$46:$J$75,"小",$K$46:$K$75,"身・精")+SUMIFS($U$46:$U$75,$W$46:$W$75,"小",$X$46:$X$75,"身・精")+SUMIFS($H$89:$H$118,$J$89:$J$118,"小",$K$89:$K$118,"身・精")+SUMIFS($H$132:$H$161,$J$132:$J$161,"小",$K$132:$K$161,"身・精")+SUMIFS($H$175:$H$204,$J$175:$J$204,"小",$K$175:$K$204,"身・精")+SUMIFS($H$218:$H$247,$J$218:$J$247,"小",$K$218:$K$247,"身・精")+SUMIFS($U$89:$U$118,$W$89:$W$118,"小",$X$89:$X$118,"身・精")+SUMIFS($U$132:$U$161,$W$132:$W$161,"小",$X$132:$X$161,"身・精")+SUMIFS($U$175:$U$204,$W$175:$W$204,"小",$X$175:$X$204,"身・精")+SUMIFS($U$218:$U$247,$W$218:$W$247,"小",$X$218:$X$247,"身・精")</f>
        <v>0</v>
      </c>
      <c r="BU26" s="116">
        <f>SUMIFS($I$13:$I$22,$J$13:$J$22,"小",$K$13:$K$22,"身・精")+SUMIFS($V$13:$V$22,$W$13:$W$22,"小",$X$13:$X$22,"身・精")+SUMIFS($I$46:$I$75,$J$46:$J$75,"小",$K$46:$K$75,"身・精")+SUMIFS($V$46:$V$75,$W$46:$W$75,"小",$X$46:$X$75,"身・精")+SUMIFS($I$89:$I$118,$J$89:$J$118,"小",$K$89:$K$118,"身・精")+SUMIFS($I$132:$I$161,$J$132:$J$161,"小",$K$132:$K$161,"身・精")+SUMIFS($I$175:$I$204,$J$175:$J$204,"小",$K$175:$K$204,"身・精")+SUMIFS($I$218:$I$247,$J$218:$J$247,"小",$K$218:$K$247,"身・精")+SUMIFS($V$89:$V$118,$W$89:$W$118,"小",$X$89:$X$118,"身・精")+SUMIFS($V$132:$V$161,$W$132:$W$161,"小",$X$132:$X$161,"身・精")+SUMIFS($V$175:$V$204,$W$175:$W$204,"小",$X$175:$X$204,"身・精")+SUMIFS($V$218:$V$247,$W$218:$W$247,"小",$X$218:$X$247,"身・精")</f>
        <v>0</v>
      </c>
      <c r="BV26" s="116">
        <f>SUMIFS($H$13:$H$22,$J$13:$J$22,"中",$K$13:$K$22,"身・精")+SUMIFS($U$13:$U$22,$W$13:$W$22,"中",$X$13:$X$22,"身・精")+SUMIFS($H$46:$H$75,$J$46:$J$75,"中",$K$46:$K$75,"身・精")+SUMIFS($U$46:$U$75,$W$46:$W$75,"中",$X$46:$X$75,"身・精")+SUMIFS($H$89:$H$118,$J$89:$J$118,"中",$K$89:$K$118,"身・精")+SUMIFS($H$132:$H$161,$J$132:$J$161,"中",$K$132:$K$161,"身・精")+SUMIFS($H$175:$H$204,$J$175:$J$204,"中",$K$175:$K$204,"身・精")+SUMIFS($H$218:$H$247,$J$218:$J$247,"中",$K$218:$K$247,"身・精")+SUMIFS($U$89:$U$118,$W$89:$W$118,"中",$X$89:$X$118,"身・精")+SUMIFS($U$132:$U$161,$W$132:$W$161,"中",$X$132:$X$161,"身・精")+SUMIFS($U$175:$U$204,$W$175:$W$204,"中",$X$175:$X$204,"身・精")+SUMIFS($U$218:$U$247,$W$218:$W$247,"中",$X$218:$X$247,"身・精")</f>
        <v>0</v>
      </c>
      <c r="BW26" s="124">
        <f>SUMIFS($I$13:$I$22,$J$13:$J$22,"中",$K$13:$K$22,"身・精")+SUMIFS($V$13:$V$22,$W$13:$W$22,"中",$X$13:$X$22,"身・精")+SUMIFS($I$46:$I$75,$J$46:$J$75,"中",$K$46:$K$75,"身・精")+SUMIFS($V$46:$V$75,$W$46:$W$75,"中",$X$46:$X$75,"身・精")+SUMIFS($I$89:$I$118,$J$89:$J$118,"中",$K$89:$K$118,"身・精")+SUMIFS($I$132:$I$161,$J$132:$J$161,"中",$K$132:$K$161,"身・精")+SUMIFS($I$175:$I$204,$J$175:$J$204,"中",$K$175:$K$204,"身・精")+SUMIFS($I$218:$I$247,$J$218:$J$247,"中",$K$218:$K$247,"身・精")+SUMIFS($V$89:$V$118,$W$89:$W$118,"中",$X$89:$X$118,"身・精")+SUMIFS($V$132:$V$161,$W$132:$W$161,"中",$X$132:$X$161,"身・精")+SUMIFS($V$175:$V$204,$W$175:$W$204,"中",$X$175:$X$204,"身・精")+SUMIFS($V$218:$V$247,$W$218:$W$247,"中",$X$218:$X$247,"身・精")</f>
        <v>0</v>
      </c>
      <c r="BX26" s="129"/>
      <c r="BY26" s="129"/>
      <c r="BZ26" s="129"/>
      <c r="CA26" s="129"/>
      <c r="CC26" s="96" t="e">
        <f>$BT$11&amp;#REF!</f>
        <v>#REF!</v>
      </c>
      <c r="CD26" s="99" t="e">
        <f>#REF!</f>
        <v>#REF!</v>
      </c>
      <c r="CE26" s="471" t="e">
        <f>IF(OR(#REF!="",#REF!=0),0,101)</f>
        <v>#REF!</v>
      </c>
      <c r="CF26" s="471">
        <v>330</v>
      </c>
      <c r="CG26" s="476">
        <v>101</v>
      </c>
      <c r="CI26" s="233"/>
      <c r="CJ26" s="233"/>
    </row>
    <row r="27" spans="1:89" s="2" customFormat="1" ht="24" customHeight="1">
      <c r="A27" s="1594"/>
      <c r="B27" s="1594"/>
      <c r="C27" s="1594"/>
      <c r="D27" s="1594"/>
      <c r="E27" s="1594"/>
      <c r="F27" s="1594"/>
      <c r="G27" s="1594"/>
      <c r="H27" s="1594"/>
      <c r="I27" s="1594"/>
      <c r="J27" s="1594"/>
      <c r="K27" s="1594"/>
      <c r="L27" s="1594"/>
      <c r="M27" s="1594"/>
      <c r="N27" s="586"/>
      <c r="O27" s="585"/>
      <c r="P27" s="585"/>
      <c r="Q27" s="586"/>
      <c r="R27" s="586"/>
      <c r="S27" s="586"/>
      <c r="T27" s="586"/>
      <c r="U27" s="586"/>
      <c r="V27" s="586"/>
      <c r="W27" s="586"/>
      <c r="X27" s="586"/>
      <c r="Y27" s="586"/>
      <c r="Z27" s="586"/>
      <c r="AA27" s="1594"/>
      <c r="AB27" s="1594"/>
      <c r="AC27" s="1594"/>
      <c r="AD27" s="1594"/>
      <c r="AE27" s="1594"/>
      <c r="AF27" s="1594"/>
      <c r="AG27" s="1594"/>
      <c r="AH27" s="1594"/>
      <c r="AI27" s="1594"/>
      <c r="AJ27" s="1594"/>
      <c r="AK27" s="1594"/>
      <c r="AL27" s="1594"/>
      <c r="AM27" s="1594"/>
      <c r="AN27" s="586"/>
      <c r="AO27" s="585"/>
      <c r="AP27" s="585"/>
      <c r="AQ27" s="586"/>
      <c r="AR27" s="586"/>
      <c r="AS27" s="586"/>
      <c r="AT27" s="586"/>
      <c r="AU27" s="586"/>
      <c r="AV27" s="586"/>
      <c r="AW27" s="586"/>
      <c r="AX27" s="586"/>
      <c r="AY27" s="586"/>
      <c r="AZ27" s="586"/>
      <c r="BA27" s="53"/>
      <c r="BB27" s="54"/>
      <c r="BC27" s="50"/>
      <c r="BD27" s="55"/>
      <c r="BE27" s="56"/>
      <c r="BF27" s="141"/>
      <c r="BG27" s="99"/>
      <c r="BH27" s="98"/>
      <c r="BI27" s="99"/>
      <c r="BJ27" s="99"/>
      <c r="BK27" s="99"/>
      <c r="BL27" s="99"/>
      <c r="BM27" s="99"/>
      <c r="BN27" s="99"/>
      <c r="BO27" s="99"/>
      <c r="BP27" s="99"/>
      <c r="BQ27" s="99"/>
      <c r="BR27" s="102"/>
      <c r="BS27" s="103"/>
      <c r="BT27" s="119"/>
      <c r="BU27" s="119"/>
      <c r="BV27" s="119"/>
      <c r="BW27" s="125"/>
      <c r="BX27" s="129"/>
      <c r="BY27" s="129"/>
      <c r="BZ27" s="129"/>
      <c r="CA27" s="129"/>
      <c r="CC27" s="96"/>
      <c r="CD27" s="99"/>
      <c r="CE27" s="471"/>
      <c r="CF27" s="471"/>
      <c r="CG27" s="476"/>
      <c r="CI27" s="233"/>
      <c r="CJ27" s="233"/>
    </row>
    <row r="28" spans="1:89" s="107" customFormat="1" ht="20.100000000000001" customHeight="1" thickBot="1">
      <c r="A28" s="1651" t="s">
        <v>112</v>
      </c>
      <c r="B28" s="1651"/>
      <c r="C28" s="1651"/>
      <c r="D28" s="1651"/>
      <c r="E28" s="1651"/>
      <c r="F28" s="1651"/>
      <c r="G28" s="1651"/>
      <c r="H28" s="1651"/>
      <c r="I28" s="1651"/>
      <c r="J28" s="1651"/>
      <c r="K28" s="1651"/>
      <c r="L28" s="1651"/>
      <c r="M28" s="1651"/>
      <c r="N28" s="1651"/>
      <c r="O28" s="1651"/>
      <c r="P28" s="1651"/>
      <c r="Q28" s="1651"/>
      <c r="R28" s="1651"/>
      <c r="S28" s="1651"/>
      <c r="T28" s="1651"/>
      <c r="U28" s="1651"/>
      <c r="V28" s="2"/>
      <c r="W28" s="2"/>
      <c r="X28" s="2"/>
      <c r="Y28" s="2"/>
      <c r="Z28" s="513"/>
      <c r="AA28" s="1651" t="s">
        <v>112</v>
      </c>
      <c r="AB28" s="1651"/>
      <c r="AC28" s="1651"/>
      <c r="AD28" s="1651"/>
      <c r="AE28" s="1651"/>
      <c r="AF28" s="1651"/>
      <c r="AG28" s="1651"/>
      <c r="AH28" s="1651"/>
      <c r="AI28" s="1651"/>
      <c r="AJ28" s="1651"/>
      <c r="AK28" s="1651"/>
      <c r="AL28" s="1651"/>
      <c r="AM28" s="1651"/>
      <c r="AN28" s="1651"/>
      <c r="AO28" s="1651"/>
      <c r="AP28" s="1651"/>
      <c r="AQ28" s="1651"/>
      <c r="AR28" s="1651"/>
      <c r="AS28" s="1651"/>
      <c r="AT28" s="1651"/>
      <c r="AU28" s="1651"/>
      <c r="AV28" s="2"/>
      <c r="AW28" s="2"/>
      <c r="AX28" s="2"/>
      <c r="AY28" s="2"/>
      <c r="AZ28" s="513"/>
      <c r="BA28" s="258">
        <v>25</v>
      </c>
      <c r="BB28" s="54">
        <f t="shared" ref="BB28:BB53" si="17">COUNTA(H50:I50)</f>
        <v>0</v>
      </c>
      <c r="BC28" s="50">
        <f t="shared" ref="BC28:BC53" si="18">COUNTA(K50)</f>
        <v>0</v>
      </c>
      <c r="BD28" s="55">
        <f t="shared" ref="BD28:BE53" si="19">BB28-COUNTA(H50)</f>
        <v>0</v>
      </c>
      <c r="BE28" s="259">
        <f t="shared" si="19"/>
        <v>0</v>
      </c>
      <c r="BF28" s="141" t="s">
        <v>366</v>
      </c>
      <c r="BG28" s="99">
        <f>COUNTIF($K$13:$M$22,"特・療・精")</f>
        <v>0</v>
      </c>
      <c r="BH28" s="98">
        <f>COUNTIF($X$13:$Z$22,"特・療・精")</f>
        <v>0</v>
      </c>
      <c r="BI28" s="99">
        <f>COUNTIF($K$46:$M$75,"特・療・精")</f>
        <v>0</v>
      </c>
      <c r="BJ28" s="99">
        <f>COUNTIF($X$46:$Z$75,"特・療・精")</f>
        <v>0</v>
      </c>
      <c r="BK28" s="99">
        <f>COUNTIF($K$89:$M$118,"特・療・精")</f>
        <v>0</v>
      </c>
      <c r="BL28" s="99">
        <f>COUNTIF($X$89:$Z$118,"特・療・精")</f>
        <v>0</v>
      </c>
      <c r="BM28" s="99">
        <f>COUNTIF($K$132:$M$161,"特・療・精")</f>
        <v>0</v>
      </c>
      <c r="BN28" s="99">
        <f>COUNTIF($X$132:$Z$161,"特・療・精")</f>
        <v>0</v>
      </c>
      <c r="BO28" s="99">
        <f>COUNTIF($K$175:$M$204,"特・療・精")</f>
        <v>0</v>
      </c>
      <c r="BP28" s="99">
        <f>COUNTIF($X$175:$Z$204,"特・療・精")</f>
        <v>0</v>
      </c>
      <c r="BQ28" s="99">
        <f>COUNTIF($K$218:$M$247,"特・療・精")</f>
        <v>0</v>
      </c>
      <c r="BR28" s="102">
        <f>COUNTIF($X$218:$Z$247,"特・療・精")</f>
        <v>0</v>
      </c>
      <c r="BS28" s="103">
        <f>SUM(BG28:BR28)</f>
        <v>0</v>
      </c>
      <c r="BT28" s="119">
        <f>SUMIFS($H$13:$H$22,$J$13:$J$22,"小",$K$13:$K$22,"特・療・精")+SUMIFS($U$13:$U$22,$W$13:$W$22,"小",$X$13:$X$22,"特・療・精")+SUMIFS($H$46:$H$75,$J$46:$J$75,"小",$K$46:$K$75,"特・療・精")+SUMIFS($U$46:$U$75,$W$46:$W$75,"小",$X$46:$X$75,"特・療・精")+SUMIFS($H$89:$H$118,$J$89:$J$118,"小",$K$89:$K$118,"特・療・精")+SUMIFS($H$132:$H$161,$J$132:$J$161,"小",$K$132:$K$161,"特・療・精")+SUMIFS($H$175:$H$204,$J$175:$J$204,"小",$K$175:$K$204,"特・療・精")+SUMIFS($H$218:$H$247,$J$218:$J$247,"小",$K$218:$K$247,"特・療・精")+SUMIFS($U$89:$U$118,$W$89:$W$118,"小",$X$89:$X$118,"特・療・精")+SUMIFS($U$132:$U$161,$W$132:$W$161,"小",$X$132:$X$161,"特・療・精")+SUMIFS($U$175:$U$204,$W$175:$W$204,"小",$X$175:$X$204,"特・療・精")+SUMIFS($U$218:$U$247,$W$218:$W$247,"小",$X$218:$X$247,"特・療・精")</f>
        <v>0</v>
      </c>
      <c r="BU28" s="119">
        <f>SUMIFS($I$13:$I$22,$J$13:$J$22,"小",$K$13:$K$22,"特・療・精")+SUMIFS($V$13:$V$22,$W$13:$W$22,"小",$X$13:$X$22,"特・療・精")+SUMIFS($I$46:$I$75,$J$46:$J$75,"小",$K$46:$K$75,"特・療・精")+SUMIFS($V$46:$V$75,$W$46:$W$75,"小",$X$46:$X$75,"特・療・精")+SUMIFS($I$89:$I$118,$J$89:$J$118,"小",$K$89:$K$118,"特・療・精")+SUMIFS($I$132:$I$161,$J$132:$J$161,"小",$K$132:$K$161,"特・療・精")+SUMIFS($I$175:$I$204,$J$175:$J$204,"小",$K$175:$K$204,"特・療・精")+SUMIFS($I$218:$I$247,$J$218:$J$247,"小",$K$218:$K$247,"特・療・精")+SUMIFS($V$89:$V$118,$W$89:$W$118,"小",$X$89:$X$118,"特・療・精")+SUMIFS($V$132:$V$161,$W$132:$W$161,"小",$X$132:$X$161,"特・療・精")+SUMIFS($V$175:$V$204,$W$175:$W$204,"小",$X$175:$X$204,"特・療・精")+SUMIFS($V$218:$V$247,$W$218:$W$247,"小",$X$218:$X$247,"特・療・精")</f>
        <v>0</v>
      </c>
      <c r="BV28" s="119">
        <f>SUMIFS($H$13:$H$22,$J$13:$J$22,"中",$K$13:$K$22,"特・療・精")+SUMIFS($U$13:$U$22,$W$13:$W$22,"中",$X$13:$X$22,"特・療・精")+SUMIFS($H$46:$H$75,$J$46:$J$75,"中",$K$46:$K$75,"特・療・精")+SUMIFS($U$46:$U$75,$W$46:$W$75,"中",$X$46:$X$75,"特・療・精")+SUMIFS($H$89:$H$118,$J$89:$J$118,"中",$K$89:$K$118,"特・療・精")+SUMIFS($H$132:$H$161,$J$132:$J$161,"中",$K$132:$K$161,"特・療・精")+SUMIFS($H$175:$H$204,$J$175:$J$204,"中",$K$175:$K$204,"特・療・精")+SUMIFS($H$218:$H$247,$J$218:$J$247,"中",$K$218:$K$247,"特・療・精")+SUMIFS($U$89:$U$118,$W$89:$W$118,"中",$X$89:$X$118,"特・療・精")+SUMIFS($U$132:$U$161,$W$132:$W$161,"中",$X$132:$X$161,"特・療・精")+SUMIFS($U$175:$U$204,$W$175:$W$204,"中",$X$175:$X$204,"特・療・精")+SUMIFS($U$218:$U$247,$W$218:$W$247,"中",$X$218:$X$247,"特・療・精")</f>
        <v>0</v>
      </c>
      <c r="BW28" s="125">
        <f>SUMIFS($I$13:$I$22,$J$13:$J$22,"中",$K$13:$K$22,"特・療・精")+SUMIFS($V$13:$V$22,$W$13:$W$22,"中",$X$13:$X$22,"特・療・精")+SUMIFS($I$46:$I$75,$J$46:$J$75,"中",$K$46:$K$75,"特・療・精")+SUMIFS($V$46:$V$75,$W$46:$W$75,"中",$X$46:$X$75,"特・療・精")+SUMIFS($I$89:$I$118,$J$89:$J$118,"中",$K$89:$K$118,"特・療・精")+SUMIFS($I$132:$I$161,$J$132:$J$161,"中",$K$132:$K$161,"特・療・精")+SUMIFS($I$175:$I$204,$J$175:$J$204,"中",$K$175:$K$204,"特・療・精")+SUMIFS($I$218:$I$247,$J$218:$J$247,"中",$K$218:$K$247,"特・療・精")+SUMIFS($V$89:$V$118,$W$89:$W$118,"中",$X$89:$X$118,"特・療・精")+SUMIFS($V$132:$V$161,$W$132:$W$161,"中",$X$132:$X$161,"特・療・精")+SUMIFS($V$175:$V$204,$W$175:$W$204,"中",$X$175:$X$204,"特・療・精")+SUMIFS($V$218:$V$247,$W$218:$W$247,"中",$X$218:$X$247,"特・療・精")</f>
        <v>0</v>
      </c>
      <c r="BX28" s="129"/>
      <c r="BY28" s="129"/>
      <c r="BZ28" s="129"/>
      <c r="CA28" s="129"/>
      <c r="CC28" s="96" t="str">
        <f t="shared" ref="CC28:CC42" si="20">$BU$11&amp;BF12</f>
        <v>小日帰/準</v>
      </c>
      <c r="CD28" s="137">
        <f t="shared" ref="CD28:CD42" si="21">BU12</f>
        <v>0</v>
      </c>
      <c r="CE28" s="471">
        <f>IF(OR(BU12="",BU12=0),0,89)</f>
        <v>0</v>
      </c>
      <c r="CF28" s="471">
        <v>110</v>
      </c>
      <c r="CG28" s="475">
        <v>89</v>
      </c>
      <c r="CI28" s="234"/>
      <c r="CJ28" s="234"/>
    </row>
    <row r="29" spans="1:89" s="2" customFormat="1" ht="30" customHeight="1" thickBot="1">
      <c r="A29" s="1638" t="s">
        <v>355</v>
      </c>
      <c r="B29" s="1649" t="s">
        <v>564</v>
      </c>
      <c r="C29" s="1650"/>
      <c r="D29" s="1649" t="s">
        <v>565</v>
      </c>
      <c r="E29" s="1650"/>
      <c r="F29" s="1649" t="s">
        <v>566</v>
      </c>
      <c r="G29" s="1650"/>
      <c r="H29" s="1652" t="s">
        <v>363</v>
      </c>
      <c r="I29" s="1653"/>
      <c r="J29" s="1652" t="s">
        <v>359</v>
      </c>
      <c r="K29" s="1653"/>
      <c r="L29" s="1652" t="s">
        <v>551</v>
      </c>
      <c r="M29" s="1653"/>
      <c r="N29" s="1654" t="s">
        <v>553</v>
      </c>
      <c r="O29" s="1655"/>
      <c r="P29" s="1640" t="s">
        <v>554</v>
      </c>
      <c r="Q29" s="1641"/>
      <c r="R29" s="1656" t="s">
        <v>558</v>
      </c>
      <c r="S29" s="1657"/>
      <c r="T29" s="1656" t="s">
        <v>559</v>
      </c>
      <c r="U29" s="1657"/>
      <c r="V29" s="508"/>
      <c r="X29" s="297"/>
      <c r="Y29" s="297"/>
      <c r="AA29" s="1638" t="s">
        <v>355</v>
      </c>
      <c r="AB29" s="1649" t="s">
        <v>564</v>
      </c>
      <c r="AC29" s="1650"/>
      <c r="AD29" s="1649" t="s">
        <v>565</v>
      </c>
      <c r="AE29" s="1650"/>
      <c r="AF29" s="1649" t="s">
        <v>566</v>
      </c>
      <c r="AG29" s="1650"/>
      <c r="AH29" s="1652" t="s">
        <v>363</v>
      </c>
      <c r="AI29" s="1653"/>
      <c r="AJ29" s="1652" t="s">
        <v>359</v>
      </c>
      <c r="AK29" s="1653"/>
      <c r="AL29" s="1652" t="s">
        <v>551</v>
      </c>
      <c r="AM29" s="1653"/>
      <c r="AN29" s="1654" t="s">
        <v>553</v>
      </c>
      <c r="AO29" s="1655"/>
      <c r="AP29" s="1640" t="s">
        <v>554</v>
      </c>
      <c r="AQ29" s="1641"/>
      <c r="AR29" s="1656" t="s">
        <v>558</v>
      </c>
      <c r="AS29" s="1657"/>
      <c r="AT29" s="1656" t="s">
        <v>559</v>
      </c>
      <c r="AU29" s="1657"/>
      <c r="AV29" s="508"/>
      <c r="AX29" s="297"/>
      <c r="AY29" s="297"/>
      <c r="BA29" s="53">
        <v>26</v>
      </c>
      <c r="BB29" s="54">
        <f t="shared" si="17"/>
        <v>0</v>
      </c>
      <c r="BC29" s="50">
        <f t="shared" si="18"/>
        <v>0</v>
      </c>
      <c r="BD29" s="55">
        <f t="shared" si="19"/>
        <v>0</v>
      </c>
      <c r="BE29" s="55">
        <f t="shared" si="19"/>
        <v>0</v>
      </c>
      <c r="BF29" s="142"/>
      <c r="BR29" s="105" t="s">
        <v>362</v>
      </c>
      <c r="BS29" s="104">
        <f>SUM(BS12:BS26)</f>
        <v>0</v>
      </c>
      <c r="BT29" s="120">
        <f>SUM(BT12:BT28)</f>
        <v>0</v>
      </c>
      <c r="BU29" s="120">
        <f>SUM(BU12:BU28)</f>
        <v>0</v>
      </c>
      <c r="BV29" s="120">
        <f>SUM(BV12:BV28)</f>
        <v>0</v>
      </c>
      <c r="BW29" s="126">
        <f>SUM(BW12:BW28)</f>
        <v>0</v>
      </c>
      <c r="BX29" s="137">
        <f>BX17</f>
        <v>0</v>
      </c>
      <c r="BY29" s="137">
        <f>BY17</f>
        <v>0</v>
      </c>
      <c r="BZ29" s="137">
        <f>BZ17</f>
        <v>0</v>
      </c>
      <c r="CA29" s="137">
        <f>CA17</f>
        <v>0</v>
      </c>
      <c r="CC29" s="96" t="str">
        <f t="shared" si="20"/>
        <v>小日帰/特</v>
      </c>
      <c r="CD29" s="137">
        <f t="shared" si="21"/>
        <v>0</v>
      </c>
      <c r="CE29" s="471">
        <f>IF(OR(BU13="",BU13=0),0,88)</f>
        <v>0</v>
      </c>
      <c r="CF29" s="471">
        <v>110</v>
      </c>
      <c r="CG29" s="475">
        <v>88</v>
      </c>
      <c r="CI29" s="233"/>
      <c r="CJ29" s="233"/>
    </row>
    <row r="30" spans="1:89" s="2" customFormat="1" ht="30" customHeight="1" thickBot="1">
      <c r="A30" s="1639"/>
      <c r="B30" s="1644" t="s">
        <v>561</v>
      </c>
      <c r="C30" s="1645"/>
      <c r="D30" s="1644" t="s">
        <v>562</v>
      </c>
      <c r="E30" s="1645"/>
      <c r="F30" s="1644" t="s">
        <v>563</v>
      </c>
      <c r="G30" s="1645"/>
      <c r="H30" s="1642" t="s">
        <v>94</v>
      </c>
      <c r="I30" s="1643"/>
      <c r="J30" s="1642" t="s">
        <v>113</v>
      </c>
      <c r="K30" s="1643"/>
      <c r="L30" s="1644" t="s">
        <v>552</v>
      </c>
      <c r="M30" s="1645"/>
      <c r="N30" s="1646" t="s">
        <v>555</v>
      </c>
      <c r="O30" s="1647"/>
      <c r="P30" s="1658" t="s">
        <v>556</v>
      </c>
      <c r="Q30" s="1659"/>
      <c r="R30" s="1658" t="s">
        <v>557</v>
      </c>
      <c r="S30" s="1659"/>
      <c r="T30" s="1658" t="s">
        <v>560</v>
      </c>
      <c r="U30" s="1659"/>
      <c r="V30" s="297"/>
      <c r="W30" s="325"/>
      <c r="X30" s="297"/>
      <c r="Y30" s="297"/>
      <c r="AA30" s="1639"/>
      <c r="AB30" s="1644" t="s">
        <v>561</v>
      </c>
      <c r="AC30" s="1645"/>
      <c r="AD30" s="1644" t="s">
        <v>562</v>
      </c>
      <c r="AE30" s="1645"/>
      <c r="AF30" s="1644" t="s">
        <v>563</v>
      </c>
      <c r="AG30" s="1645"/>
      <c r="AH30" s="1642" t="s">
        <v>94</v>
      </c>
      <c r="AI30" s="1643"/>
      <c r="AJ30" s="1642" t="s">
        <v>113</v>
      </c>
      <c r="AK30" s="1643"/>
      <c r="AL30" s="1644" t="s">
        <v>552</v>
      </c>
      <c r="AM30" s="1645"/>
      <c r="AN30" s="1646" t="s">
        <v>555</v>
      </c>
      <c r="AO30" s="1647"/>
      <c r="AP30" s="1658" t="s">
        <v>556</v>
      </c>
      <c r="AQ30" s="1659"/>
      <c r="AR30" s="1658" t="s">
        <v>557</v>
      </c>
      <c r="AS30" s="1659"/>
      <c r="AT30" s="1658" t="s">
        <v>560</v>
      </c>
      <c r="AU30" s="1659"/>
      <c r="AV30" s="297"/>
      <c r="AW30" s="325"/>
      <c r="AX30" s="297"/>
      <c r="AY30" s="297"/>
      <c r="BA30" s="53">
        <v>27</v>
      </c>
      <c r="BB30" s="54">
        <f t="shared" si="17"/>
        <v>0</v>
      </c>
      <c r="BC30" s="50">
        <f t="shared" si="18"/>
        <v>0</v>
      </c>
      <c r="BD30" s="55">
        <f t="shared" si="19"/>
        <v>0</v>
      </c>
      <c r="BE30" s="55">
        <f t="shared" si="19"/>
        <v>0</v>
      </c>
      <c r="BF30" s="139" t="s">
        <v>368</v>
      </c>
      <c r="BG30" s="6"/>
      <c r="BH30" s="6"/>
      <c r="BI30" s="6"/>
      <c r="BJ30" s="6"/>
      <c r="BK30" s="6"/>
      <c r="BS30" s="121" t="s">
        <v>367</v>
      </c>
      <c r="BT30" s="122">
        <f>BT29-(BT12+BT13+BT18)</f>
        <v>0</v>
      </c>
      <c r="BU30" s="122">
        <f>BU29-(BU12+BU13+BU18)</f>
        <v>0</v>
      </c>
      <c r="BV30" s="122">
        <f>BV29-(BV12+BV13+BV18)</f>
        <v>0</v>
      </c>
      <c r="BW30" s="127">
        <f>BW29-(BW12+BW13+BW18)</f>
        <v>0</v>
      </c>
      <c r="BX30" s="137">
        <f>BX17</f>
        <v>0</v>
      </c>
      <c r="BY30" s="137">
        <f>BY17</f>
        <v>0</v>
      </c>
      <c r="BZ30" s="137">
        <f>BZ17</f>
        <v>0</v>
      </c>
      <c r="CA30" s="137">
        <f>CA17</f>
        <v>0</v>
      </c>
      <c r="CC30" s="96" t="str">
        <f t="shared" si="20"/>
        <v>小日帰/身</v>
      </c>
      <c r="CD30" s="137">
        <f t="shared" si="21"/>
        <v>0</v>
      </c>
      <c r="CE30" s="471">
        <f>IF(OR(BU14="",BU14=0),0,87)</f>
        <v>0</v>
      </c>
      <c r="CF30" s="471">
        <v>110</v>
      </c>
      <c r="CG30" s="475">
        <v>87</v>
      </c>
      <c r="CI30" s="233"/>
      <c r="CJ30" s="233"/>
    </row>
    <row r="31" spans="1:89" s="2" customFormat="1" ht="13.5" customHeight="1" thickBot="1">
      <c r="A31" s="349"/>
      <c r="B31" s="497"/>
      <c r="C31" s="497"/>
      <c r="D31" s="497"/>
      <c r="E31" s="497"/>
      <c r="F31" s="497"/>
      <c r="G31" s="497"/>
      <c r="H31" s="328"/>
      <c r="I31" s="328"/>
      <c r="J31" s="328"/>
      <c r="K31" s="328"/>
      <c r="L31" s="328"/>
      <c r="M31" s="328"/>
      <c r="N31" s="497"/>
      <c r="O31" s="497"/>
      <c r="P31" s="497"/>
      <c r="Q31" s="497"/>
      <c r="R31" s="497"/>
      <c r="S31" s="497"/>
      <c r="T31" s="497"/>
      <c r="U31" s="497"/>
      <c r="V31" s="318"/>
      <c r="W31" s="319"/>
      <c r="X31" s="319"/>
      <c r="Y31" s="319"/>
      <c r="Z31" s="319"/>
      <c r="AA31" s="349"/>
      <c r="AB31" s="497"/>
      <c r="AC31" s="497"/>
      <c r="AD31" s="497"/>
      <c r="AE31" s="497"/>
      <c r="AF31" s="497"/>
      <c r="AG31" s="497"/>
      <c r="AH31" s="328"/>
      <c r="AI31" s="328"/>
      <c r="AJ31" s="328"/>
      <c r="AK31" s="328"/>
      <c r="AL31" s="328"/>
      <c r="AM31" s="328"/>
      <c r="AN31" s="497"/>
      <c r="AO31" s="497"/>
      <c r="AP31" s="497"/>
      <c r="AQ31" s="497"/>
      <c r="AR31" s="497"/>
      <c r="AS31" s="497"/>
      <c r="AT31" s="497"/>
      <c r="AU31" s="497"/>
      <c r="AV31" s="318"/>
      <c r="AW31" s="319"/>
      <c r="AX31" s="319"/>
      <c r="AY31" s="319"/>
      <c r="AZ31" s="319"/>
      <c r="BA31" s="53">
        <v>28</v>
      </c>
      <c r="BB31" s="54">
        <f t="shared" si="17"/>
        <v>0</v>
      </c>
      <c r="BC31" s="50">
        <f t="shared" si="18"/>
        <v>0</v>
      </c>
      <c r="BD31" s="55">
        <f t="shared" si="19"/>
        <v>0</v>
      </c>
      <c r="BE31" s="55">
        <f t="shared" si="19"/>
        <v>0</v>
      </c>
      <c r="BF31" s="109" t="str">
        <f t="shared" ref="BF31:BF40" si="22">I13&amp;J13&amp;K13</f>
        <v/>
      </c>
      <c r="BG31" s="143" t="str">
        <f t="shared" ref="BG31:BG40" si="23">V13&amp;W13&amp;X13</f>
        <v/>
      </c>
      <c r="BH31" s="109" t="str">
        <f t="shared" ref="BH31:BH60" si="24">I46&amp;J46&amp;K46</f>
        <v/>
      </c>
      <c r="BI31" s="109" t="str">
        <f>V46&amp;X46&amp;W46</f>
        <v/>
      </c>
      <c r="BJ31" s="6" t="str">
        <f>I89&amp;J89&amp;K89</f>
        <v/>
      </c>
      <c r="BK31" s="6" t="str">
        <f t="shared" ref="BK31:BK60" si="25">V89&amp;X89&amp;W89</f>
        <v/>
      </c>
      <c r="BL31" s="228" t="str">
        <f>I132&amp;J132&amp;K132</f>
        <v/>
      </c>
      <c r="BM31" s="228" t="str">
        <f>V132&amp;X132&amp;W132</f>
        <v/>
      </c>
      <c r="BN31" s="228" t="str">
        <f t="shared" ref="BN31:BN60" si="26">I175&amp;J175&amp;K175</f>
        <v/>
      </c>
      <c r="BO31" s="228" t="str">
        <f>V175&amp;X175&amp;W175</f>
        <v/>
      </c>
      <c r="BP31" s="228" t="str">
        <f>I218&amp;J218&amp;K218</f>
        <v/>
      </c>
      <c r="BQ31" s="228" t="str">
        <f>V218&amp;X218&amp;W218</f>
        <v/>
      </c>
      <c r="CC31" s="96" t="str">
        <f t="shared" si="20"/>
        <v>小日帰/療</v>
      </c>
      <c r="CD31" s="137">
        <f t="shared" si="21"/>
        <v>0</v>
      </c>
      <c r="CE31" s="471">
        <f>IF(OR(BU15="",BU15=0),0,86)</f>
        <v>0</v>
      </c>
      <c r="CF31" s="471">
        <v>110</v>
      </c>
      <c r="CG31" s="475">
        <v>86</v>
      </c>
      <c r="CI31" s="233"/>
      <c r="CJ31" s="233"/>
    </row>
    <row r="32" spans="1:89" s="2" customFormat="1" ht="24" customHeight="1" thickBot="1">
      <c r="A32" s="1629" t="s">
        <v>354</v>
      </c>
      <c r="B32" s="1660" t="s">
        <v>595</v>
      </c>
      <c r="C32" s="1636"/>
      <c r="D32" s="1630"/>
      <c r="E32" s="1636" t="s">
        <v>596</v>
      </c>
      <c r="F32" s="1636"/>
      <c r="G32" s="1636"/>
      <c r="H32" s="1635" t="s">
        <v>547</v>
      </c>
      <c r="I32" s="1636"/>
      <c r="J32" s="1636"/>
      <c r="K32" s="1661" t="s">
        <v>332</v>
      </c>
      <c r="L32" s="1636"/>
      <c r="M32" s="1636"/>
      <c r="N32" s="1630" t="s">
        <v>333</v>
      </c>
      <c r="O32" s="1631"/>
      <c r="P32" s="1631"/>
      <c r="Q32" s="1634" t="s">
        <v>549</v>
      </c>
      <c r="R32" s="1631"/>
      <c r="S32" s="1635"/>
      <c r="T32" s="1630" t="s">
        <v>334</v>
      </c>
      <c r="U32" s="1631"/>
      <c r="V32" s="1631"/>
      <c r="W32" s="1630" t="s">
        <v>597</v>
      </c>
      <c r="X32" s="1631"/>
      <c r="Y32" s="1632"/>
      <c r="Z32" s="350"/>
      <c r="AA32" s="1629" t="s">
        <v>354</v>
      </c>
      <c r="AB32" s="1660" t="s">
        <v>595</v>
      </c>
      <c r="AC32" s="1636"/>
      <c r="AD32" s="1630"/>
      <c r="AE32" s="1636" t="s">
        <v>596</v>
      </c>
      <c r="AF32" s="1636"/>
      <c r="AG32" s="1636"/>
      <c r="AH32" s="1635" t="s">
        <v>547</v>
      </c>
      <c r="AI32" s="1636"/>
      <c r="AJ32" s="1636"/>
      <c r="AK32" s="1661" t="s">
        <v>332</v>
      </c>
      <c r="AL32" s="1636"/>
      <c r="AM32" s="1636"/>
      <c r="AN32" s="1630" t="s">
        <v>333</v>
      </c>
      <c r="AO32" s="1631"/>
      <c r="AP32" s="1631"/>
      <c r="AQ32" s="1634" t="s">
        <v>549</v>
      </c>
      <c r="AR32" s="1631"/>
      <c r="AS32" s="1635"/>
      <c r="AT32" s="1630" t="s">
        <v>334</v>
      </c>
      <c r="AU32" s="1631"/>
      <c r="AV32" s="1631"/>
      <c r="AW32" s="1630" t="s">
        <v>597</v>
      </c>
      <c r="AX32" s="1631"/>
      <c r="AY32" s="1632"/>
      <c r="AZ32" s="350"/>
      <c r="BA32" s="53">
        <v>29</v>
      </c>
      <c r="BB32" s="54">
        <f t="shared" si="17"/>
        <v>0</v>
      </c>
      <c r="BC32" s="50">
        <f t="shared" si="18"/>
        <v>0</v>
      </c>
      <c r="BD32" s="55">
        <f t="shared" si="19"/>
        <v>0</v>
      </c>
      <c r="BE32" s="55">
        <f t="shared" si="19"/>
        <v>0</v>
      </c>
      <c r="BF32" s="109" t="str">
        <f t="shared" si="22"/>
        <v/>
      </c>
      <c r="BG32" s="143" t="str">
        <f t="shared" si="23"/>
        <v/>
      </c>
      <c r="BH32" s="109" t="str">
        <f t="shared" si="24"/>
        <v/>
      </c>
      <c r="BI32" s="109" t="str">
        <f t="shared" ref="BI32:BI60" si="27">V47&amp;X47&amp;W47</f>
        <v/>
      </c>
      <c r="BJ32" s="6" t="str">
        <f>I90&amp;J90&amp;K90</f>
        <v/>
      </c>
      <c r="BK32" s="6" t="str">
        <f t="shared" si="25"/>
        <v/>
      </c>
      <c r="BL32" s="228" t="str">
        <f t="shared" ref="BL32:BL60" si="28">I133&amp;J133&amp;K133</f>
        <v/>
      </c>
      <c r="BM32" s="228" t="str">
        <f t="shared" ref="BM32:BM60" si="29">V133&amp;X133&amp;W133</f>
        <v/>
      </c>
      <c r="BN32" s="228" t="str">
        <f t="shared" si="26"/>
        <v/>
      </c>
      <c r="BO32" s="228" t="str">
        <f t="shared" ref="BO32:BO60" si="30">V176&amp;X176&amp;W176</f>
        <v/>
      </c>
      <c r="BP32" s="228" t="str">
        <f t="shared" ref="BP32:BP60" si="31">I219&amp;J219&amp;K219</f>
        <v/>
      </c>
      <c r="BQ32" s="228" t="str">
        <f t="shared" ref="BQ32:BQ60" si="32">V219&amp;X219&amp;W219</f>
        <v/>
      </c>
      <c r="BS32" s="232"/>
      <c r="BT32" s="231" t="s">
        <v>424</v>
      </c>
      <c r="BU32" s="231" t="s">
        <v>423</v>
      </c>
      <c r="BV32" s="231" t="s">
        <v>425</v>
      </c>
      <c r="BW32" s="231" t="s">
        <v>426</v>
      </c>
      <c r="BX32" s="231" t="s">
        <v>427</v>
      </c>
      <c r="BY32" s="231" t="s">
        <v>428</v>
      </c>
      <c r="BZ32" s="231" t="s">
        <v>429</v>
      </c>
      <c r="CA32" s="231" t="s">
        <v>430</v>
      </c>
      <c r="CC32" s="96" t="str">
        <f t="shared" si="20"/>
        <v>小日帰/精</v>
      </c>
      <c r="CD32" s="137">
        <f t="shared" si="21"/>
        <v>0</v>
      </c>
      <c r="CE32" s="471">
        <f>IF(OR(BU16="",BU16=0),0,85)</f>
        <v>0</v>
      </c>
      <c r="CF32" s="471">
        <v>110</v>
      </c>
      <c r="CG32" s="475">
        <v>85</v>
      </c>
      <c r="CI32" s="233"/>
      <c r="CJ32" s="233"/>
    </row>
    <row r="33" spans="1:88" s="2" customFormat="1" ht="60" customHeight="1" thickBot="1">
      <c r="A33" s="1629"/>
      <c r="B33" s="1637" t="s">
        <v>598</v>
      </c>
      <c r="C33" s="1627"/>
      <c r="D33" s="1627"/>
      <c r="E33" s="1626" t="s">
        <v>599</v>
      </c>
      <c r="F33" s="1627"/>
      <c r="G33" s="1628"/>
      <c r="H33" s="1627" t="s">
        <v>542</v>
      </c>
      <c r="I33" s="1627"/>
      <c r="J33" s="1628"/>
      <c r="K33" s="1626" t="s">
        <v>543</v>
      </c>
      <c r="L33" s="1627"/>
      <c r="M33" s="1628"/>
      <c r="N33" s="1626" t="s">
        <v>544</v>
      </c>
      <c r="O33" s="1627"/>
      <c r="P33" s="1628"/>
      <c r="Q33" s="1626" t="s">
        <v>545</v>
      </c>
      <c r="R33" s="1627"/>
      <c r="S33" s="1628"/>
      <c r="T33" s="1626" t="s">
        <v>550</v>
      </c>
      <c r="U33" s="1627"/>
      <c r="V33" s="1627"/>
      <c r="W33" s="1626" t="s">
        <v>600</v>
      </c>
      <c r="X33" s="1627"/>
      <c r="Y33" s="1633"/>
      <c r="Z33" s="351"/>
      <c r="AA33" s="1629"/>
      <c r="AB33" s="1637" t="s">
        <v>598</v>
      </c>
      <c r="AC33" s="1627"/>
      <c r="AD33" s="1627"/>
      <c r="AE33" s="1626" t="s">
        <v>599</v>
      </c>
      <c r="AF33" s="1627"/>
      <c r="AG33" s="1628"/>
      <c r="AH33" s="1627" t="s">
        <v>542</v>
      </c>
      <c r="AI33" s="1627"/>
      <c r="AJ33" s="1628"/>
      <c r="AK33" s="1626" t="s">
        <v>543</v>
      </c>
      <c r="AL33" s="1627"/>
      <c r="AM33" s="1628"/>
      <c r="AN33" s="1626" t="s">
        <v>544</v>
      </c>
      <c r="AO33" s="1627"/>
      <c r="AP33" s="1628"/>
      <c r="AQ33" s="1626" t="s">
        <v>545</v>
      </c>
      <c r="AR33" s="1627"/>
      <c r="AS33" s="1628"/>
      <c r="AT33" s="1626" t="s">
        <v>550</v>
      </c>
      <c r="AU33" s="1627"/>
      <c r="AV33" s="1627"/>
      <c r="AW33" s="1626" t="s">
        <v>600</v>
      </c>
      <c r="AX33" s="1627"/>
      <c r="AY33" s="1633"/>
      <c r="AZ33" s="351"/>
      <c r="BA33" s="53">
        <v>30</v>
      </c>
      <c r="BB33" s="54">
        <f t="shared" si="17"/>
        <v>0</v>
      </c>
      <c r="BC33" s="50">
        <f t="shared" si="18"/>
        <v>0</v>
      </c>
      <c r="BD33" s="55">
        <f t="shared" si="19"/>
        <v>0</v>
      </c>
      <c r="BE33" s="55">
        <f t="shared" si="19"/>
        <v>0</v>
      </c>
      <c r="BF33" s="109" t="str">
        <f t="shared" si="22"/>
        <v/>
      </c>
      <c r="BG33" s="143" t="str">
        <f t="shared" si="23"/>
        <v/>
      </c>
      <c r="BH33" s="109" t="str">
        <f t="shared" si="24"/>
        <v/>
      </c>
      <c r="BI33" s="109" t="str">
        <f t="shared" si="27"/>
        <v/>
      </c>
      <c r="BJ33" s="6" t="str">
        <f t="shared" ref="BJ33:BJ60" si="33">I91&amp;J91&amp;K91</f>
        <v/>
      </c>
      <c r="BK33" s="6" t="str">
        <f t="shared" si="25"/>
        <v/>
      </c>
      <c r="BL33" s="228" t="str">
        <f t="shared" si="28"/>
        <v/>
      </c>
      <c r="BM33" s="228" t="str">
        <f t="shared" si="29"/>
        <v/>
      </c>
      <c r="BN33" s="228" t="str">
        <f t="shared" si="26"/>
        <v/>
      </c>
      <c r="BO33" s="228" t="str">
        <f t="shared" si="30"/>
        <v/>
      </c>
      <c r="BP33" s="228" t="str">
        <f t="shared" si="31"/>
        <v/>
      </c>
      <c r="BQ33" s="228" t="str">
        <f t="shared" si="32"/>
        <v/>
      </c>
      <c r="BS33" s="139" t="s">
        <v>327</v>
      </c>
      <c r="BT33" s="228"/>
      <c r="BU33" s="228">
        <f>IF(OR(BU12="",BU12=0),0,26)</f>
        <v>0</v>
      </c>
      <c r="BV33" s="228">
        <f>IF(OR(BV12="",BV12=0),0,26)</f>
        <v>0</v>
      </c>
      <c r="BW33" s="228">
        <f>IF(OR(BW12="",BW12=0),0,26)</f>
        <v>0</v>
      </c>
      <c r="BX33" s="228"/>
      <c r="BY33" s="228"/>
      <c r="BZ33" s="228"/>
      <c r="CA33" s="228"/>
      <c r="CC33" s="96" t="str">
        <f t="shared" si="20"/>
        <v>小日帰/介添</v>
      </c>
      <c r="CD33" s="137">
        <f t="shared" si="21"/>
        <v>0</v>
      </c>
      <c r="CE33" s="471">
        <f>IF(OR(BU17="",BU17=0),0,84)</f>
        <v>0</v>
      </c>
      <c r="CF33" s="471">
        <v>110</v>
      </c>
      <c r="CG33" s="475">
        <v>84</v>
      </c>
      <c r="CI33" s="233"/>
      <c r="CJ33" s="233"/>
    </row>
    <row r="34" spans="1:88" ht="23.25">
      <c r="A34" s="1185" t="s">
        <v>303</v>
      </c>
      <c r="B34" s="1185"/>
      <c r="C34" s="1185"/>
      <c r="D34" s="1185"/>
      <c r="E34" s="1185"/>
      <c r="F34" s="1185"/>
      <c r="G34" s="1185"/>
      <c r="H34" s="1185"/>
      <c r="I34" s="1185"/>
      <c r="J34" s="1185"/>
      <c r="K34" s="1185"/>
      <c r="L34" s="1185"/>
      <c r="M34" s="1185"/>
      <c r="N34" s="1185"/>
      <c r="O34" s="1185"/>
      <c r="P34" s="1185"/>
      <c r="Q34" s="1185"/>
      <c r="R34" s="1185"/>
      <c r="S34" s="1185"/>
      <c r="T34" s="1185"/>
      <c r="U34" s="1185"/>
      <c r="V34" s="1185"/>
      <c r="W34" s="1185"/>
      <c r="X34" s="1185"/>
      <c r="Y34" s="1185"/>
      <c r="Z34" s="1185"/>
      <c r="AA34" s="1625" t="s">
        <v>114</v>
      </c>
      <c r="AB34" s="1625"/>
      <c r="AC34" s="1625"/>
      <c r="AD34" s="1625"/>
      <c r="AE34" s="1625"/>
      <c r="AF34" s="1625"/>
      <c r="AG34" s="1625"/>
      <c r="AH34" s="1625"/>
      <c r="AI34" s="1625"/>
      <c r="AJ34" s="1625"/>
      <c r="AK34" s="1625"/>
      <c r="AL34" s="1625"/>
      <c r="AM34" s="1625"/>
      <c r="AN34" s="1625"/>
      <c r="AO34" s="1625"/>
      <c r="AP34" s="1625"/>
      <c r="AQ34" s="1625"/>
      <c r="AR34" s="1625"/>
      <c r="AS34" s="1625"/>
      <c r="AT34" s="1625"/>
      <c r="AU34" s="1625"/>
      <c r="AV34" s="1625"/>
      <c r="AW34" s="1625"/>
      <c r="AX34" s="1625"/>
      <c r="AY34" s="1625"/>
      <c r="AZ34" s="1625"/>
      <c r="BA34" s="53">
        <v>31</v>
      </c>
      <c r="BB34" s="54">
        <f t="shared" si="17"/>
        <v>0</v>
      </c>
      <c r="BC34" s="50">
        <f t="shared" si="18"/>
        <v>0</v>
      </c>
      <c r="BD34" s="55">
        <f t="shared" si="19"/>
        <v>0</v>
      </c>
      <c r="BE34" s="55">
        <f t="shared" si="19"/>
        <v>0</v>
      </c>
      <c r="BF34" s="109" t="str">
        <f t="shared" si="22"/>
        <v/>
      </c>
      <c r="BG34" s="143" t="str">
        <f t="shared" si="23"/>
        <v/>
      </c>
      <c r="BH34" s="109" t="str">
        <f t="shared" si="24"/>
        <v/>
      </c>
      <c r="BI34" s="109" t="str">
        <f t="shared" si="27"/>
        <v/>
      </c>
      <c r="BJ34" s="6" t="str">
        <f t="shared" si="33"/>
        <v/>
      </c>
      <c r="BK34" s="6" t="str">
        <f t="shared" si="25"/>
        <v/>
      </c>
      <c r="BL34" s="228" t="str">
        <f t="shared" si="28"/>
        <v/>
      </c>
      <c r="BM34" s="228" t="str">
        <f t="shared" si="29"/>
        <v/>
      </c>
      <c r="BN34" s="228" t="str">
        <f t="shared" si="26"/>
        <v/>
      </c>
      <c r="BO34" s="228" t="str">
        <f t="shared" si="30"/>
        <v/>
      </c>
      <c r="BP34" s="228" t="str">
        <f t="shared" si="31"/>
        <v/>
      </c>
      <c r="BQ34" s="228" t="str">
        <f t="shared" si="32"/>
        <v/>
      </c>
      <c r="BS34" s="139" t="s">
        <v>328</v>
      </c>
      <c r="BT34" s="228">
        <f>IF(OR(BT13="",BT13=0),0,25)</f>
        <v>0</v>
      </c>
      <c r="BU34" s="228">
        <f>IF(OR(BU13="",BU13=0),0,25)</f>
        <v>0</v>
      </c>
      <c r="BV34" s="228">
        <f>IF(OR(BV13="",BV13=0),0,25)</f>
        <v>0</v>
      </c>
      <c r="BW34" s="228">
        <f>IF(OR(BW13="",BW13=0),0,25)</f>
        <v>0</v>
      </c>
      <c r="BX34" s="6"/>
      <c r="BY34" s="6"/>
      <c r="BZ34" s="6"/>
      <c r="CA34" s="6"/>
      <c r="CC34" s="96" t="str">
        <f t="shared" si="20"/>
        <v>小日帰/準・特</v>
      </c>
      <c r="CD34" s="137">
        <f t="shared" si="21"/>
        <v>0</v>
      </c>
      <c r="CE34" s="471">
        <f>IF(OR(BU18="",BU18=0),0,83)</f>
        <v>0</v>
      </c>
      <c r="CF34" s="471">
        <v>110</v>
      </c>
      <c r="CG34" s="475">
        <v>83</v>
      </c>
    </row>
    <row r="35" spans="1:88" ht="24.95" customHeight="1" thickBot="1">
      <c r="A35" s="297">
        <f>COUNTIFS(K46:K75,"a",H46:H75,"&gt;0")</f>
        <v>0</v>
      </c>
      <c r="B35" s="297">
        <f>COUNTIFS(X46:X75,"a",U46:U75,"&gt;0")</f>
        <v>0</v>
      </c>
      <c r="C35" s="297">
        <f>COUNTIFS(K46:K75,"b",H46:H75,"&gt;0")</f>
        <v>0</v>
      </c>
      <c r="D35" s="297">
        <f>COUNTIFS(X46:X75,"b",U46:U75,"&gt;0")</f>
        <v>0</v>
      </c>
      <c r="E35" s="297">
        <f>COUNTIFS(K46:K75,"c",H46:H75,"&gt;0")</f>
        <v>0</v>
      </c>
      <c r="F35" s="297">
        <f>COUNTIFS(X46:X75,"c",U46:U75,"&gt;0")</f>
        <v>0</v>
      </c>
      <c r="G35" s="297">
        <f>COUNTIFS(K46:K75,"d",H46:H75,"&gt;0")</f>
        <v>0</v>
      </c>
      <c r="H35" s="297">
        <f>COUNTIFS(X46:X75,"d",U46:U75,"&gt;0")</f>
        <v>0</v>
      </c>
      <c r="I35" s="297">
        <f>COUNTIFS(K46:K75,"e",H46:H75,"&gt;0")</f>
        <v>0</v>
      </c>
      <c r="J35" s="297">
        <f>COUNTIFS(X46:X75,"e",U46:U75,"&gt;0")</f>
        <v>0</v>
      </c>
      <c r="K35" s="297">
        <f>COUNTIFS(K46:K75,"f",H46:H75,"&gt;0")</f>
        <v>0</v>
      </c>
      <c r="L35" s="297">
        <f>COUNTIFS(X46:X75,"f",U46:U75,"&gt;0")</f>
        <v>0</v>
      </c>
      <c r="M35" s="331">
        <f>COUNTIFS(K46:K75,"g",H46:H75,"&gt;0")</f>
        <v>0</v>
      </c>
      <c r="N35" s="331">
        <f>COUNTIFS(X46:X75,"g",U46:U75,"&gt;0")</f>
        <v>0</v>
      </c>
      <c r="O35" s="331">
        <f>COUNTIFS(K46:K75,"h",H46:H75,"&gt;0")</f>
        <v>0</v>
      </c>
      <c r="P35" s="331">
        <f>COUNTIFS(X46:X75,"h",U46:U75,"&gt;0")</f>
        <v>0</v>
      </c>
      <c r="Q35" s="331">
        <f>COUNTIFS(K46:K75,"i",H46:H75,"&gt;0")</f>
        <v>0</v>
      </c>
      <c r="R35" s="331">
        <f>COUNTIFS(X46:X75,"i",U46:U75,"&gt;0")</f>
        <v>0</v>
      </c>
      <c r="S35" s="332">
        <f>SUM(A35:R35)</f>
        <v>0</v>
      </c>
      <c r="T35" s="327"/>
      <c r="U35" s="327"/>
      <c r="V35" s="327"/>
      <c r="W35" s="1603" t="s">
        <v>304</v>
      </c>
      <c r="X35" s="1603"/>
      <c r="Y35" s="1603">
        <v>2</v>
      </c>
      <c r="Z35" s="1603"/>
      <c r="AA35" s="1625"/>
      <c r="AB35" s="1625"/>
      <c r="AC35" s="1625"/>
      <c r="AD35" s="1625"/>
      <c r="AE35" s="1625"/>
      <c r="AF35" s="1625"/>
      <c r="AG35" s="1625"/>
      <c r="AH35" s="1625"/>
      <c r="AI35" s="1625"/>
      <c r="AJ35" s="1625"/>
      <c r="AK35" s="1625"/>
      <c r="AL35" s="1625"/>
      <c r="AM35" s="1625"/>
      <c r="AN35" s="1625"/>
      <c r="AO35" s="1625"/>
      <c r="AP35" s="1625"/>
      <c r="AQ35" s="1625"/>
      <c r="AR35" s="1625"/>
      <c r="AS35" s="1625"/>
      <c r="AT35" s="1625"/>
      <c r="AU35" s="1625"/>
      <c r="AV35" s="1625"/>
      <c r="AW35" s="1625"/>
      <c r="AX35" s="1625"/>
      <c r="AY35" s="1625"/>
      <c r="AZ35" s="1625"/>
      <c r="BA35" s="53">
        <v>32</v>
      </c>
      <c r="BB35" s="54">
        <f t="shared" si="17"/>
        <v>0</v>
      </c>
      <c r="BC35" s="50">
        <f t="shared" si="18"/>
        <v>0</v>
      </c>
      <c r="BD35" s="55">
        <f t="shared" si="19"/>
        <v>0</v>
      </c>
      <c r="BE35" s="55">
        <f t="shared" si="19"/>
        <v>0</v>
      </c>
      <c r="BF35" s="109" t="str">
        <f t="shared" si="22"/>
        <v/>
      </c>
      <c r="BG35" s="143" t="str">
        <f t="shared" si="23"/>
        <v/>
      </c>
      <c r="BH35" s="109" t="str">
        <f t="shared" si="24"/>
        <v/>
      </c>
      <c r="BI35" s="109" t="str">
        <f t="shared" si="27"/>
        <v/>
      </c>
      <c r="BJ35" s="6" t="str">
        <f t="shared" si="33"/>
        <v/>
      </c>
      <c r="BK35" s="6" t="str">
        <f t="shared" si="25"/>
        <v/>
      </c>
      <c r="BL35" s="228" t="str">
        <f t="shared" si="28"/>
        <v/>
      </c>
      <c r="BM35" s="228" t="str">
        <f t="shared" si="29"/>
        <v/>
      </c>
      <c r="BN35" s="228" t="str">
        <f t="shared" si="26"/>
        <v/>
      </c>
      <c r="BO35" s="228" t="str">
        <f t="shared" si="30"/>
        <v/>
      </c>
      <c r="BP35" s="228" t="str">
        <f t="shared" si="31"/>
        <v/>
      </c>
      <c r="BQ35" s="228" t="str">
        <f t="shared" si="32"/>
        <v/>
      </c>
      <c r="BS35" s="138" t="s">
        <v>329</v>
      </c>
      <c r="BT35" s="228">
        <f>IF(OR(BT14="",BT14=0),0,24)</f>
        <v>0</v>
      </c>
      <c r="BU35" s="228">
        <f>IF(OR(BU14="",BU14=0),0,24)</f>
        <v>0</v>
      </c>
      <c r="BV35" s="228">
        <f>IF(OR(BV14="",BV14=0),0,24)</f>
        <v>0</v>
      </c>
      <c r="BW35" s="228">
        <f>IF(OR(BW14="",BW14=0),0,24)</f>
        <v>0</v>
      </c>
      <c r="BX35" s="6"/>
      <c r="BY35" s="6"/>
      <c r="BZ35" s="6"/>
      <c r="CA35" s="6"/>
      <c r="CC35" s="96" t="str">
        <f t="shared" si="20"/>
        <v>小日帰/準・身</v>
      </c>
      <c r="CD35" s="137">
        <f t="shared" si="21"/>
        <v>0</v>
      </c>
      <c r="CE35" s="471">
        <f>IF(OR(BU19="",BU19=0),0,82)</f>
        <v>0</v>
      </c>
      <c r="CF35" s="471">
        <v>110</v>
      </c>
      <c r="CG35" s="475">
        <v>82</v>
      </c>
    </row>
    <row r="36" spans="1:88" ht="24" customHeight="1">
      <c r="A36" s="331">
        <f>COUNTIFS(K46:K75,"a",I46:I75,"&gt;0")</f>
        <v>0</v>
      </c>
      <c r="B36" s="331">
        <f>COUNTIFS(X46:X75,"a",V46:V75,"&gt;0")</f>
        <v>0</v>
      </c>
      <c r="C36" s="331">
        <f>COUNTIFS(K46:K75,"b",I46:I75,"&gt;0")</f>
        <v>0</v>
      </c>
      <c r="D36" s="331">
        <f>COUNTIFS(X46:X75,"b",V46:V75,"&gt;0")</f>
        <v>0</v>
      </c>
      <c r="E36" s="331">
        <f>COUNTIFS(K46:K75,"c",I46:I75,"&gt;0")</f>
        <v>0</v>
      </c>
      <c r="F36" s="331">
        <f>COUNTIFS(X46:X75,"c",V46:V75,"&gt;0")</f>
        <v>0</v>
      </c>
      <c r="G36" s="331">
        <f>COUNTIFS(K46:K75,"d",I46:I75,"&gt;0")</f>
        <v>0</v>
      </c>
      <c r="H36" s="331">
        <f>COUNTIFS(X46:X75,"d",V46:V75,"&gt;0")</f>
        <v>0</v>
      </c>
      <c r="I36" s="331">
        <f>COUNTIFS(K46:K75,"e",I46:I75,"&gt;0")</f>
        <v>0</v>
      </c>
      <c r="J36" s="331">
        <f>COUNTIFS(X46:X75,"e",V46:V75,"&gt;0")</f>
        <v>0</v>
      </c>
      <c r="K36" s="331">
        <f>COUNTIFS(K46:K75,"f",I46:I75,"&gt;0")</f>
        <v>0</v>
      </c>
      <c r="L36" s="331">
        <f>COUNTIFS(X46:X75,"f",V46:V75,"&gt;0")</f>
        <v>0</v>
      </c>
      <c r="M36" s="331">
        <f>COUNTIFS(K46:K75,"g",I46:I75,"&gt;0")</f>
        <v>0</v>
      </c>
      <c r="N36" s="331">
        <f>COUNTIFS(X46:X75,"g",V46:V75,"&gt;0")</f>
        <v>0</v>
      </c>
      <c r="O36" s="331">
        <f>COUNTIFS(K46:K75,"h",I46:I75,"&gt;0")</f>
        <v>0</v>
      </c>
      <c r="P36" s="331">
        <f>COUNTIFS(X46:X75,"h",V46:V75,"&gt;0")</f>
        <v>0</v>
      </c>
      <c r="Q36" s="331">
        <f>COUNTIFS(K46:K75,"i",I46:I75,"&gt;0")</f>
        <v>0</v>
      </c>
      <c r="R36" s="331">
        <f>COUNTIFS(X46:X75,"i",V46:V75,"&gt;0")</f>
        <v>0</v>
      </c>
      <c r="S36" s="332">
        <f>SUM(A36:R36)</f>
        <v>0</v>
      </c>
      <c r="T36" s="332"/>
      <c r="U36" s="332"/>
      <c r="V36" s="332"/>
      <c r="W36" s="352"/>
      <c r="X36" s="352"/>
      <c r="Y36" s="352"/>
      <c r="Z36" s="352"/>
      <c r="AA36" s="1625"/>
      <c r="AB36" s="1625"/>
      <c r="AC36" s="1625"/>
      <c r="AD36" s="1625"/>
      <c r="AE36" s="1625"/>
      <c r="AF36" s="1625"/>
      <c r="AG36" s="1625"/>
      <c r="AH36" s="1625"/>
      <c r="AI36" s="1625"/>
      <c r="AJ36" s="1625"/>
      <c r="AK36" s="1625"/>
      <c r="AL36" s="1625"/>
      <c r="AM36" s="1625"/>
      <c r="AN36" s="1625"/>
      <c r="AO36" s="1625"/>
      <c r="AP36" s="1625"/>
      <c r="AQ36" s="1625"/>
      <c r="AR36" s="1625"/>
      <c r="AS36" s="1625"/>
      <c r="AT36" s="1625"/>
      <c r="AU36" s="1625"/>
      <c r="AV36" s="1625"/>
      <c r="AW36" s="1625"/>
      <c r="AX36" s="1625"/>
      <c r="AY36" s="1625"/>
      <c r="AZ36" s="1625"/>
      <c r="BA36" s="53">
        <v>33</v>
      </c>
      <c r="BB36" s="54">
        <f t="shared" si="17"/>
        <v>0</v>
      </c>
      <c r="BC36" s="50">
        <f t="shared" si="18"/>
        <v>0</v>
      </c>
      <c r="BD36" s="55">
        <f t="shared" si="19"/>
        <v>0</v>
      </c>
      <c r="BE36" s="55">
        <f t="shared" si="19"/>
        <v>0</v>
      </c>
      <c r="BF36" s="109" t="str">
        <f t="shared" si="22"/>
        <v/>
      </c>
      <c r="BG36" s="143" t="str">
        <f t="shared" si="23"/>
        <v/>
      </c>
      <c r="BH36" s="109" t="str">
        <f t="shared" si="24"/>
        <v/>
      </c>
      <c r="BI36" s="109" t="str">
        <f t="shared" si="27"/>
        <v/>
      </c>
      <c r="BJ36" s="6" t="str">
        <f t="shared" si="33"/>
        <v/>
      </c>
      <c r="BK36" s="6" t="str">
        <f t="shared" si="25"/>
        <v/>
      </c>
      <c r="BL36" s="228" t="str">
        <f t="shared" si="28"/>
        <v/>
      </c>
      <c r="BM36" s="228" t="str">
        <f t="shared" si="29"/>
        <v/>
      </c>
      <c r="BN36" s="228" t="str">
        <f t="shared" si="26"/>
        <v/>
      </c>
      <c r="BO36" s="228" t="str">
        <f t="shared" si="30"/>
        <v/>
      </c>
      <c r="BP36" s="228" t="str">
        <f t="shared" si="31"/>
        <v/>
      </c>
      <c r="BQ36" s="228" t="str">
        <f t="shared" si="32"/>
        <v/>
      </c>
      <c r="BS36" s="138" t="s">
        <v>330</v>
      </c>
      <c r="BT36" s="228">
        <f>IF(OR(BT15="",BT15=0),0,23)</f>
        <v>0</v>
      </c>
      <c r="BU36" s="228">
        <f>IF(OR(BU15="",BU15=0),0,23)</f>
        <v>0</v>
      </c>
      <c r="BV36" s="228">
        <f>IF(OR(BV15="",BV15=0),0,23)</f>
        <v>0</v>
      </c>
      <c r="BW36" s="228">
        <f>IF(OR(BW15="",BW15=0),0,23)</f>
        <v>0</v>
      </c>
      <c r="BX36" s="6"/>
      <c r="BY36" s="6"/>
      <c r="BZ36" s="6"/>
      <c r="CA36" s="6"/>
      <c r="CC36" s="96" t="str">
        <f t="shared" si="20"/>
        <v>小日帰/準・療</v>
      </c>
      <c r="CD36" s="137">
        <f t="shared" si="21"/>
        <v>0</v>
      </c>
      <c r="CE36" s="471">
        <f>IF(OR(BU20="",BU20=0),0,81)</f>
        <v>0</v>
      </c>
      <c r="CF36" s="471">
        <v>110</v>
      </c>
      <c r="CG36" s="475">
        <v>81</v>
      </c>
    </row>
    <row r="37" spans="1:88" ht="36" customHeight="1">
      <c r="A37" s="1041" t="s">
        <v>71</v>
      </c>
      <c r="B37" s="1041"/>
      <c r="C37" s="1607" t="str">
        <f>CONCATENATE('01 使用承認申請書'!D4)</f>
        <v/>
      </c>
      <c r="D37" s="1607"/>
      <c r="E37" s="1607"/>
      <c r="F37" s="1607"/>
      <c r="G37" s="1607"/>
      <c r="H37" s="1607"/>
      <c r="I37" s="1607"/>
      <c r="J37" s="1607"/>
      <c r="K37" s="1607"/>
      <c r="L37" s="1607"/>
      <c r="M37" s="1607"/>
      <c r="N37" s="1607"/>
      <c r="O37" s="1607"/>
      <c r="P37" s="1607"/>
      <c r="Q37" s="1607"/>
      <c r="R37" s="1607"/>
      <c r="S37" s="1607"/>
      <c r="T37" s="1607"/>
      <c r="U37" s="326"/>
      <c r="V37" s="326"/>
      <c r="W37" s="326"/>
      <c r="X37" s="326"/>
      <c r="Y37" s="326"/>
      <c r="Z37" s="326"/>
      <c r="AA37" s="1625"/>
      <c r="AB37" s="1625"/>
      <c r="AC37" s="1625"/>
      <c r="AD37" s="1625"/>
      <c r="AE37" s="1625"/>
      <c r="AF37" s="1625"/>
      <c r="AG37" s="1625"/>
      <c r="AH37" s="1625"/>
      <c r="AI37" s="1625"/>
      <c r="AJ37" s="1625"/>
      <c r="AK37" s="1625"/>
      <c r="AL37" s="1625"/>
      <c r="AM37" s="1625"/>
      <c r="AN37" s="1625"/>
      <c r="AO37" s="1625"/>
      <c r="AP37" s="1625"/>
      <c r="AQ37" s="1625"/>
      <c r="AR37" s="1625"/>
      <c r="AS37" s="1625"/>
      <c r="AT37" s="1625"/>
      <c r="AU37" s="1625"/>
      <c r="AV37" s="1625"/>
      <c r="AW37" s="1625"/>
      <c r="AX37" s="1625"/>
      <c r="AY37" s="1625"/>
      <c r="AZ37" s="1625"/>
      <c r="BA37" s="53">
        <v>34</v>
      </c>
      <c r="BB37" s="54">
        <f t="shared" si="17"/>
        <v>0</v>
      </c>
      <c r="BC37" s="50">
        <f t="shared" si="18"/>
        <v>0</v>
      </c>
      <c r="BD37" s="55">
        <f t="shared" si="19"/>
        <v>0</v>
      </c>
      <c r="BE37" s="55">
        <f t="shared" si="19"/>
        <v>0</v>
      </c>
      <c r="BF37" s="109" t="str">
        <f t="shared" si="22"/>
        <v/>
      </c>
      <c r="BG37" s="143" t="str">
        <f t="shared" si="23"/>
        <v/>
      </c>
      <c r="BH37" s="109" t="str">
        <f t="shared" si="24"/>
        <v/>
      </c>
      <c r="BI37" s="109" t="str">
        <f t="shared" si="27"/>
        <v/>
      </c>
      <c r="BJ37" s="6" t="str">
        <f t="shared" si="33"/>
        <v/>
      </c>
      <c r="BK37" s="6" t="str">
        <f t="shared" si="25"/>
        <v/>
      </c>
      <c r="BL37" s="228" t="str">
        <f t="shared" si="28"/>
        <v/>
      </c>
      <c r="BM37" s="228" t="str">
        <f t="shared" si="29"/>
        <v/>
      </c>
      <c r="BN37" s="228" t="str">
        <f t="shared" si="26"/>
        <v/>
      </c>
      <c r="BO37" s="228" t="str">
        <f t="shared" si="30"/>
        <v/>
      </c>
      <c r="BP37" s="228" t="str">
        <f t="shared" si="31"/>
        <v/>
      </c>
      <c r="BQ37" s="228" t="str">
        <f t="shared" si="32"/>
        <v/>
      </c>
      <c r="BS37" s="138" t="s">
        <v>331</v>
      </c>
      <c r="BT37" s="228">
        <f>IF(OR(BT16="",BT16=0),0,22)</f>
        <v>0</v>
      </c>
      <c r="BU37" s="228">
        <f>IF(OR(BU16="",BU16=0),0,22)</f>
        <v>0</v>
      </c>
      <c r="BV37" s="228">
        <f>IF(OR(BV16="",BV16=0),0,22)</f>
        <v>0</v>
      </c>
      <c r="BW37" s="228">
        <f>IF(OR(BW16="",BW16=0),0,22)</f>
        <v>0</v>
      </c>
      <c r="BX37" s="6"/>
      <c r="BY37" s="6"/>
      <c r="BZ37" s="6"/>
      <c r="CA37" s="6"/>
      <c r="CC37" s="96" t="str">
        <f t="shared" si="20"/>
        <v>小日帰/準・精</v>
      </c>
      <c r="CD37" s="137">
        <f t="shared" si="21"/>
        <v>0</v>
      </c>
      <c r="CE37" s="471">
        <f>IF(OR(BU21="",BU21=0),0,80)</f>
        <v>0</v>
      </c>
      <c r="CF37" s="471">
        <v>110</v>
      </c>
      <c r="CG37" s="475">
        <v>80</v>
      </c>
    </row>
    <row r="38" spans="1:88" ht="15.95" customHeight="1">
      <c r="A38" s="1036" t="s">
        <v>70</v>
      </c>
      <c r="B38" s="1036"/>
      <c r="C38" s="1618">
        <f>C5</f>
        <v>0</v>
      </c>
      <c r="D38" s="1618"/>
      <c r="E38" s="1570" t="s">
        <v>13</v>
      </c>
      <c r="F38" s="1618">
        <f>F5</f>
        <v>0</v>
      </c>
      <c r="G38" s="1570" t="s">
        <v>12</v>
      </c>
      <c r="H38" s="1616">
        <f>H5</f>
        <v>0</v>
      </c>
      <c r="I38" s="1570" t="s">
        <v>11</v>
      </c>
      <c r="J38" s="1570" t="s">
        <v>305</v>
      </c>
      <c r="K38" s="1616">
        <f>K5</f>
        <v>0</v>
      </c>
      <c r="L38" s="1570" t="s">
        <v>291</v>
      </c>
      <c r="M38" s="1570" t="s">
        <v>306</v>
      </c>
      <c r="N38" s="1616">
        <f>N5</f>
        <v>0</v>
      </c>
      <c r="O38" s="1570" t="s">
        <v>12</v>
      </c>
      <c r="P38" s="1616">
        <f>P5</f>
        <v>0</v>
      </c>
      <c r="Q38" s="1570" t="s">
        <v>11</v>
      </c>
      <c r="R38" s="1570" t="s">
        <v>289</v>
      </c>
      <c r="S38" s="1616">
        <f>S5</f>
        <v>0</v>
      </c>
      <c r="T38" s="1570" t="s">
        <v>290</v>
      </c>
      <c r="U38" s="1570"/>
      <c r="V38" s="1570"/>
      <c r="W38" s="334" t="str">
        <f>W5</f>
        <v/>
      </c>
      <c r="X38" s="297" t="s">
        <v>41</v>
      </c>
      <c r="Y38" s="334" t="str">
        <f>Y5</f>
        <v/>
      </c>
      <c r="Z38" s="297" t="s">
        <v>11</v>
      </c>
      <c r="AA38" s="1595" t="s">
        <v>115</v>
      </c>
      <c r="AB38" s="1595"/>
      <c r="AC38" s="1595"/>
      <c r="AD38" s="1595"/>
      <c r="AE38" s="1595"/>
      <c r="AF38" s="1595"/>
      <c r="AG38" s="1595"/>
      <c r="AH38" s="1595"/>
      <c r="AI38" s="1595"/>
      <c r="AJ38" s="1595"/>
      <c r="AK38" s="1595"/>
      <c r="AL38" s="1595"/>
      <c r="AM38" s="1595"/>
      <c r="AN38" s="1595"/>
      <c r="AO38" s="1595"/>
      <c r="AP38" s="1595"/>
      <c r="AQ38" s="1595"/>
      <c r="AR38" s="1595"/>
      <c r="AS38" s="1595"/>
      <c r="AT38" s="1595"/>
      <c r="AU38" s="1595"/>
      <c r="AV38" s="1595"/>
      <c r="AW38" s="1595"/>
      <c r="AX38" s="1595"/>
      <c r="AY38" s="1595"/>
      <c r="AZ38" s="1595"/>
      <c r="BA38" s="53">
        <v>35</v>
      </c>
      <c r="BB38" s="54">
        <f t="shared" si="17"/>
        <v>0</v>
      </c>
      <c r="BC38" s="50">
        <f t="shared" si="18"/>
        <v>0</v>
      </c>
      <c r="BD38" s="55">
        <f t="shared" si="19"/>
        <v>0</v>
      </c>
      <c r="BE38" s="55">
        <f t="shared" si="19"/>
        <v>0</v>
      </c>
      <c r="BF38" s="109" t="str">
        <f t="shared" si="22"/>
        <v/>
      </c>
      <c r="BG38" s="143" t="str">
        <f t="shared" si="23"/>
        <v/>
      </c>
      <c r="BH38" s="109" t="str">
        <f t="shared" si="24"/>
        <v/>
      </c>
      <c r="BI38" s="109" t="str">
        <f t="shared" si="27"/>
        <v/>
      </c>
      <c r="BJ38" s="6" t="str">
        <f t="shared" si="33"/>
        <v/>
      </c>
      <c r="BK38" s="6" t="str">
        <f t="shared" si="25"/>
        <v/>
      </c>
      <c r="BL38" s="228" t="str">
        <f t="shared" si="28"/>
        <v/>
      </c>
      <c r="BM38" s="228" t="str">
        <f t="shared" si="29"/>
        <v/>
      </c>
      <c r="BN38" s="228" t="str">
        <f t="shared" si="26"/>
        <v/>
      </c>
      <c r="BO38" s="228" t="str">
        <f t="shared" si="30"/>
        <v/>
      </c>
      <c r="BP38" s="228" t="str">
        <f t="shared" si="31"/>
        <v/>
      </c>
      <c r="BQ38" s="228" t="str">
        <f t="shared" si="32"/>
        <v/>
      </c>
      <c r="BS38" s="140" t="s">
        <v>361</v>
      </c>
      <c r="BT38" s="228">
        <f>IF(OR(BT17="",BT17=0),0,21)</f>
        <v>0</v>
      </c>
      <c r="BU38" s="228">
        <f>IF(OR(BU17="",BU17=0),0,21)</f>
        <v>0</v>
      </c>
      <c r="BV38" s="228">
        <f>IF(OR(BV17="",BV17=0),0,21)</f>
        <v>0</v>
      </c>
      <c r="BW38" s="228">
        <f>IF(OR(BW17="",BW17=0),0,21)</f>
        <v>0</v>
      </c>
      <c r="BX38" s="6"/>
      <c r="BY38" s="6"/>
      <c r="BZ38" s="6"/>
      <c r="CA38" s="6"/>
      <c r="CC38" s="96" t="str">
        <f t="shared" si="20"/>
        <v>小日帰/特・身</v>
      </c>
      <c r="CD38" s="137">
        <f t="shared" si="21"/>
        <v>0</v>
      </c>
      <c r="CE38" s="471">
        <f>IF(OR(BU22="",BU22=0),0,79)</f>
        <v>0</v>
      </c>
      <c r="CF38" s="471">
        <v>110</v>
      </c>
      <c r="CG38" s="475">
        <v>79</v>
      </c>
    </row>
    <row r="39" spans="1:88" ht="15.95" customHeight="1">
      <c r="A39" s="1041"/>
      <c r="B39" s="1041"/>
      <c r="C39" s="1617"/>
      <c r="D39" s="1617"/>
      <c r="E39" s="1608"/>
      <c r="F39" s="1617"/>
      <c r="G39" s="1608"/>
      <c r="H39" s="1617"/>
      <c r="I39" s="1608"/>
      <c r="J39" s="1608"/>
      <c r="K39" s="1617"/>
      <c r="L39" s="1608"/>
      <c r="M39" s="1608"/>
      <c r="N39" s="1617"/>
      <c r="O39" s="1608"/>
      <c r="P39" s="1617"/>
      <c r="Q39" s="1608"/>
      <c r="R39" s="1608"/>
      <c r="S39" s="1617"/>
      <c r="T39" s="1608"/>
      <c r="U39" s="1570"/>
      <c r="V39" s="1570"/>
      <c r="W39" s="1570" t="s">
        <v>42</v>
      </c>
      <c r="X39" s="1570"/>
      <c r="Y39" s="336" t="str">
        <f>Y6</f>
        <v/>
      </c>
      <c r="Z39" s="297" t="s">
        <v>11</v>
      </c>
      <c r="AA39" s="1595"/>
      <c r="AB39" s="1595"/>
      <c r="AC39" s="1595"/>
      <c r="AD39" s="1595"/>
      <c r="AE39" s="1595"/>
      <c r="AF39" s="1595"/>
      <c r="AG39" s="1595"/>
      <c r="AH39" s="1595"/>
      <c r="AI39" s="1595"/>
      <c r="AJ39" s="1595"/>
      <c r="AK39" s="1595"/>
      <c r="AL39" s="1595"/>
      <c r="AM39" s="1595"/>
      <c r="AN39" s="1595"/>
      <c r="AO39" s="1595"/>
      <c r="AP39" s="1595"/>
      <c r="AQ39" s="1595"/>
      <c r="AR39" s="1595"/>
      <c r="AS39" s="1595"/>
      <c r="AT39" s="1595"/>
      <c r="AU39" s="1595"/>
      <c r="AV39" s="1595"/>
      <c r="AW39" s="1595"/>
      <c r="AX39" s="1595"/>
      <c r="AY39" s="1595"/>
      <c r="AZ39" s="1595"/>
      <c r="BA39" s="53">
        <v>36</v>
      </c>
      <c r="BB39" s="54">
        <f t="shared" si="17"/>
        <v>0</v>
      </c>
      <c r="BC39" s="50">
        <f t="shared" si="18"/>
        <v>0</v>
      </c>
      <c r="BD39" s="55">
        <f t="shared" si="19"/>
        <v>0</v>
      </c>
      <c r="BE39" s="55">
        <f t="shared" si="19"/>
        <v>0</v>
      </c>
      <c r="BF39" s="109" t="str">
        <f t="shared" si="22"/>
        <v/>
      </c>
      <c r="BG39" s="143" t="str">
        <f t="shared" si="23"/>
        <v/>
      </c>
      <c r="BH39" s="109" t="str">
        <f t="shared" si="24"/>
        <v/>
      </c>
      <c r="BI39" s="109" t="str">
        <f t="shared" si="27"/>
        <v/>
      </c>
      <c r="BJ39" s="6" t="str">
        <f t="shared" si="33"/>
        <v/>
      </c>
      <c r="BK39" s="6" t="str">
        <f t="shared" si="25"/>
        <v/>
      </c>
      <c r="BL39" s="228" t="str">
        <f t="shared" si="28"/>
        <v/>
      </c>
      <c r="BM39" s="228" t="str">
        <f t="shared" si="29"/>
        <v/>
      </c>
      <c r="BN39" s="228" t="str">
        <f t="shared" si="26"/>
        <v/>
      </c>
      <c r="BO39" s="228" t="str">
        <f t="shared" si="30"/>
        <v/>
      </c>
      <c r="BP39" s="228" t="str">
        <f t="shared" si="31"/>
        <v/>
      </c>
      <c r="BQ39" s="228" t="str">
        <f t="shared" si="32"/>
        <v/>
      </c>
      <c r="BS39" s="139" t="s">
        <v>335</v>
      </c>
      <c r="BT39" s="228">
        <f>IF(OR(BT18="",BT18=0),0,20)</f>
        <v>0</v>
      </c>
      <c r="BU39" s="228">
        <f>IF(OR(BU18="",BU18=0),0,20)</f>
        <v>0</v>
      </c>
      <c r="BV39" s="228">
        <f>IF(OR(BV18="",BV18=0),0,20)</f>
        <v>0</v>
      </c>
      <c r="BW39" s="228">
        <f>IF(OR(BW18="",BW18=0),0,20)</f>
        <v>0</v>
      </c>
      <c r="BX39" s="6"/>
      <c r="BY39" s="6"/>
      <c r="BZ39" s="6"/>
      <c r="CA39" s="6"/>
      <c r="CC39" s="96" t="str">
        <f t="shared" si="20"/>
        <v>小日帰/特・療</v>
      </c>
      <c r="CD39" s="137">
        <f t="shared" si="21"/>
        <v>0</v>
      </c>
      <c r="CE39" s="471">
        <f>IF(OR(BU23="",BU23=0),0,78)</f>
        <v>0</v>
      </c>
      <c r="CF39" s="471">
        <v>110</v>
      </c>
      <c r="CG39" s="475">
        <v>78</v>
      </c>
    </row>
    <row r="40" spans="1:88" ht="15" customHeight="1">
      <c r="A40" s="337"/>
      <c r="B40" s="337"/>
      <c r="C40" s="337"/>
      <c r="D40" s="337"/>
      <c r="E40" s="337"/>
      <c r="F40" s="337"/>
      <c r="G40" s="337"/>
      <c r="H40" s="337"/>
      <c r="I40" s="337"/>
      <c r="J40" s="337"/>
      <c r="K40" s="337"/>
      <c r="L40" s="337"/>
      <c r="M40" s="337"/>
      <c r="N40" s="337"/>
      <c r="O40" s="337"/>
      <c r="P40" s="337"/>
      <c r="Q40" s="337"/>
      <c r="R40" s="337"/>
      <c r="S40" s="337"/>
      <c r="T40" s="337"/>
      <c r="U40" s="338"/>
      <c r="V40" s="338"/>
      <c r="W40" s="338"/>
      <c r="X40" s="338"/>
      <c r="Y40" s="338"/>
      <c r="Z40" s="338"/>
      <c r="AA40" s="1595"/>
      <c r="AB40" s="1595"/>
      <c r="AC40" s="1595"/>
      <c r="AD40" s="1595"/>
      <c r="AE40" s="1595"/>
      <c r="AF40" s="1595"/>
      <c r="AG40" s="1595"/>
      <c r="AH40" s="1595"/>
      <c r="AI40" s="1595"/>
      <c r="AJ40" s="1595"/>
      <c r="AK40" s="1595"/>
      <c r="AL40" s="1595"/>
      <c r="AM40" s="1595"/>
      <c r="AN40" s="1595"/>
      <c r="AO40" s="1595"/>
      <c r="AP40" s="1595"/>
      <c r="AQ40" s="1595"/>
      <c r="AR40" s="1595"/>
      <c r="AS40" s="1595"/>
      <c r="AT40" s="1595"/>
      <c r="AU40" s="1595"/>
      <c r="AV40" s="1595"/>
      <c r="AW40" s="1595"/>
      <c r="AX40" s="1595"/>
      <c r="AY40" s="1595"/>
      <c r="AZ40" s="1595"/>
      <c r="BA40" s="53">
        <v>37</v>
      </c>
      <c r="BB40" s="54">
        <f t="shared" si="17"/>
        <v>0</v>
      </c>
      <c r="BC40" s="50">
        <f t="shared" si="18"/>
        <v>0</v>
      </c>
      <c r="BD40" s="55">
        <f t="shared" si="19"/>
        <v>0</v>
      </c>
      <c r="BE40" s="55">
        <f t="shared" si="19"/>
        <v>0</v>
      </c>
      <c r="BF40" s="109" t="str">
        <f t="shared" si="22"/>
        <v/>
      </c>
      <c r="BG40" s="143" t="str">
        <f t="shared" si="23"/>
        <v/>
      </c>
      <c r="BH40" s="109" t="str">
        <f t="shared" si="24"/>
        <v/>
      </c>
      <c r="BI40" s="109" t="str">
        <f t="shared" si="27"/>
        <v/>
      </c>
      <c r="BJ40" s="6" t="str">
        <f t="shared" si="33"/>
        <v/>
      </c>
      <c r="BK40" s="6" t="str">
        <f t="shared" si="25"/>
        <v/>
      </c>
      <c r="BL40" s="228" t="str">
        <f t="shared" si="28"/>
        <v/>
      </c>
      <c r="BM40" s="228" t="str">
        <f t="shared" si="29"/>
        <v/>
      </c>
      <c r="BN40" s="228" t="str">
        <f t="shared" si="26"/>
        <v/>
      </c>
      <c r="BO40" s="228" t="str">
        <f t="shared" si="30"/>
        <v/>
      </c>
      <c r="BP40" s="228" t="str">
        <f t="shared" si="31"/>
        <v/>
      </c>
      <c r="BQ40" s="228" t="str">
        <f t="shared" si="32"/>
        <v/>
      </c>
      <c r="BS40" s="138" t="s">
        <v>336</v>
      </c>
      <c r="BT40" s="228">
        <f>IF(OR(BT19="",BT19=0),0,19)</f>
        <v>0</v>
      </c>
      <c r="BU40" s="228">
        <f>IF(OR(BU19="",BU19=0),0,19)</f>
        <v>0</v>
      </c>
      <c r="BV40" s="228">
        <f>IF(OR(BV19="",BV19=0),0,19)</f>
        <v>0</v>
      </c>
      <c r="BW40" s="228">
        <f>IF(OR(BW19="",BW19=0),0,19)</f>
        <v>0</v>
      </c>
      <c r="BX40" s="6"/>
      <c r="BY40" s="6"/>
      <c r="BZ40" s="6"/>
      <c r="CA40" s="6"/>
      <c r="CC40" s="96" t="str">
        <f t="shared" si="20"/>
        <v>小日帰/特・精</v>
      </c>
      <c r="CD40" s="137">
        <f t="shared" si="21"/>
        <v>0</v>
      </c>
      <c r="CE40" s="471">
        <f>IF(OR(BU24="",BU24=0),0,77)</f>
        <v>0</v>
      </c>
      <c r="CF40" s="471">
        <v>110</v>
      </c>
      <c r="CG40" s="475">
        <v>77</v>
      </c>
    </row>
    <row r="41" spans="1:88" ht="13.5" customHeight="1">
      <c r="A41" s="1622" t="s">
        <v>307</v>
      </c>
      <c r="B41" s="1571" t="s">
        <v>109</v>
      </c>
      <c r="C41" s="1572"/>
      <c r="D41" s="1572"/>
      <c r="E41" s="1572"/>
      <c r="F41" s="1572"/>
      <c r="G41" s="1573"/>
      <c r="H41" s="1601" t="s">
        <v>110</v>
      </c>
      <c r="I41" s="1573"/>
      <c r="J41" s="1571" t="s">
        <v>111</v>
      </c>
      <c r="K41" s="1572"/>
      <c r="L41" s="1572"/>
      <c r="M41" s="1587"/>
      <c r="N41" s="1613" t="s">
        <v>307</v>
      </c>
      <c r="O41" s="1571" t="s">
        <v>109</v>
      </c>
      <c r="P41" s="1572"/>
      <c r="Q41" s="1572"/>
      <c r="R41" s="1572"/>
      <c r="S41" s="1572"/>
      <c r="T41" s="1573"/>
      <c r="U41" s="1601" t="s">
        <v>110</v>
      </c>
      <c r="V41" s="1573"/>
      <c r="W41" s="1571" t="s">
        <v>111</v>
      </c>
      <c r="X41" s="1572"/>
      <c r="Y41" s="1572"/>
      <c r="Z41" s="1573"/>
      <c r="AA41" s="1595"/>
      <c r="AB41" s="1595"/>
      <c r="AC41" s="1595"/>
      <c r="AD41" s="1595"/>
      <c r="AE41" s="1595"/>
      <c r="AF41" s="1595"/>
      <c r="AG41" s="1595"/>
      <c r="AH41" s="1595"/>
      <c r="AI41" s="1595"/>
      <c r="AJ41" s="1595"/>
      <c r="AK41" s="1595"/>
      <c r="AL41" s="1595"/>
      <c r="AM41" s="1595"/>
      <c r="AN41" s="1595"/>
      <c r="AO41" s="1595"/>
      <c r="AP41" s="1595"/>
      <c r="AQ41" s="1595"/>
      <c r="AR41" s="1595"/>
      <c r="AS41" s="1595"/>
      <c r="AT41" s="1595"/>
      <c r="AU41" s="1595"/>
      <c r="AV41" s="1595"/>
      <c r="AW41" s="1595"/>
      <c r="AX41" s="1595"/>
      <c r="AY41" s="1595"/>
      <c r="AZ41" s="1595"/>
      <c r="BA41" s="53">
        <v>38</v>
      </c>
      <c r="BB41" s="54">
        <f t="shared" si="17"/>
        <v>0</v>
      </c>
      <c r="BC41" s="50">
        <f t="shared" si="18"/>
        <v>0</v>
      </c>
      <c r="BD41" s="55">
        <f t="shared" si="19"/>
        <v>0</v>
      </c>
      <c r="BE41" s="55">
        <f t="shared" si="19"/>
        <v>0</v>
      </c>
      <c r="BF41" s="109"/>
      <c r="BG41" s="6"/>
      <c r="BH41" s="109" t="str">
        <f t="shared" si="24"/>
        <v/>
      </c>
      <c r="BI41" s="109" t="str">
        <f t="shared" si="27"/>
        <v/>
      </c>
      <c r="BJ41" s="6" t="str">
        <f t="shared" si="33"/>
        <v/>
      </c>
      <c r="BK41" s="6" t="str">
        <f t="shared" si="25"/>
        <v/>
      </c>
      <c r="BL41" s="228" t="str">
        <f t="shared" si="28"/>
        <v/>
      </c>
      <c r="BM41" s="228" t="str">
        <f t="shared" si="29"/>
        <v/>
      </c>
      <c r="BN41" s="228" t="str">
        <f t="shared" si="26"/>
        <v/>
      </c>
      <c r="BO41" s="228" t="str">
        <f t="shared" si="30"/>
        <v/>
      </c>
      <c r="BP41" s="228" t="str">
        <f t="shared" si="31"/>
        <v/>
      </c>
      <c r="BQ41" s="228" t="str">
        <f t="shared" si="32"/>
        <v/>
      </c>
      <c r="BS41" s="138" t="s">
        <v>337</v>
      </c>
      <c r="BT41" s="228">
        <f>IF(OR(BT20="",BT20=0),0,18)</f>
        <v>0</v>
      </c>
      <c r="BU41" s="228">
        <f>IF(OR(BU20="",BU20=0),0,18)</f>
        <v>0</v>
      </c>
      <c r="BV41" s="228">
        <f>IF(OR(BV20="",BV20=0),0,18)</f>
        <v>0</v>
      </c>
      <c r="BW41" s="228">
        <f>IF(OR(BW20="",BW20=0),0,18)</f>
        <v>0</v>
      </c>
      <c r="BX41" s="6"/>
      <c r="BY41" s="6"/>
      <c r="BZ41" s="6"/>
      <c r="CA41" s="6"/>
      <c r="CC41" s="96" t="str">
        <f t="shared" si="20"/>
        <v>小日帰/身・療</v>
      </c>
      <c r="CD41" s="137">
        <f t="shared" si="21"/>
        <v>0</v>
      </c>
      <c r="CE41" s="471">
        <f>IF(OR(BU25="",BU25=0),0,76)</f>
        <v>0</v>
      </c>
      <c r="CF41" s="471">
        <v>110</v>
      </c>
      <c r="CG41" s="475">
        <v>76</v>
      </c>
    </row>
    <row r="42" spans="1:88">
      <c r="A42" s="1622"/>
      <c r="B42" s="1610"/>
      <c r="C42" s="1611"/>
      <c r="D42" s="1611"/>
      <c r="E42" s="1611"/>
      <c r="F42" s="1611"/>
      <c r="G42" s="1612"/>
      <c r="H42" s="1574"/>
      <c r="I42" s="1576"/>
      <c r="J42" s="1574"/>
      <c r="K42" s="1575"/>
      <c r="L42" s="1575"/>
      <c r="M42" s="1588"/>
      <c r="N42" s="1614"/>
      <c r="O42" s="1610"/>
      <c r="P42" s="1611"/>
      <c r="Q42" s="1611"/>
      <c r="R42" s="1611"/>
      <c r="S42" s="1611"/>
      <c r="T42" s="1612"/>
      <c r="U42" s="1574"/>
      <c r="V42" s="1576"/>
      <c r="W42" s="1574"/>
      <c r="X42" s="1575"/>
      <c r="Y42" s="1575"/>
      <c r="Z42" s="1576"/>
      <c r="AA42" s="1595"/>
      <c r="AB42" s="1595"/>
      <c r="AC42" s="1595"/>
      <c r="AD42" s="1595"/>
      <c r="AE42" s="1595"/>
      <c r="AF42" s="1595"/>
      <c r="AG42" s="1595"/>
      <c r="AH42" s="1595"/>
      <c r="AI42" s="1595"/>
      <c r="AJ42" s="1595"/>
      <c r="AK42" s="1595"/>
      <c r="AL42" s="1595"/>
      <c r="AM42" s="1595"/>
      <c r="AN42" s="1595"/>
      <c r="AO42" s="1595"/>
      <c r="AP42" s="1595"/>
      <c r="AQ42" s="1595"/>
      <c r="AR42" s="1595"/>
      <c r="AS42" s="1595"/>
      <c r="AT42" s="1595"/>
      <c r="AU42" s="1595"/>
      <c r="AV42" s="1595"/>
      <c r="AW42" s="1595"/>
      <c r="AX42" s="1595"/>
      <c r="AY42" s="1595"/>
      <c r="AZ42" s="1595"/>
      <c r="BA42" s="53">
        <v>39</v>
      </c>
      <c r="BB42" s="54">
        <f t="shared" si="17"/>
        <v>0</v>
      </c>
      <c r="BC42" s="50">
        <f t="shared" si="18"/>
        <v>0</v>
      </c>
      <c r="BD42" s="55">
        <f t="shared" si="19"/>
        <v>0</v>
      </c>
      <c r="BE42" s="55">
        <f t="shared" si="19"/>
        <v>0</v>
      </c>
      <c r="BF42" s="109"/>
      <c r="BG42" s="6"/>
      <c r="BH42" s="109" t="str">
        <f t="shared" si="24"/>
        <v/>
      </c>
      <c r="BI42" s="109" t="str">
        <f t="shared" si="27"/>
        <v/>
      </c>
      <c r="BJ42" s="6" t="str">
        <f t="shared" si="33"/>
        <v/>
      </c>
      <c r="BK42" s="6" t="str">
        <f t="shared" si="25"/>
        <v/>
      </c>
      <c r="BL42" s="228" t="str">
        <f t="shared" si="28"/>
        <v/>
      </c>
      <c r="BM42" s="228" t="str">
        <f t="shared" si="29"/>
        <v/>
      </c>
      <c r="BN42" s="228" t="str">
        <f t="shared" si="26"/>
        <v/>
      </c>
      <c r="BO42" s="228" t="str">
        <f t="shared" si="30"/>
        <v/>
      </c>
      <c r="BP42" s="228" t="str">
        <f t="shared" si="31"/>
        <v/>
      </c>
      <c r="BQ42" s="228" t="str">
        <f t="shared" si="32"/>
        <v/>
      </c>
      <c r="BS42" s="138" t="s">
        <v>338</v>
      </c>
      <c r="BT42" s="228">
        <f>IF(OR(BT21="",BT21=0),0,17)</f>
        <v>0</v>
      </c>
      <c r="BU42" s="228">
        <f>IF(OR(BU21="",BU21=0),0,17)</f>
        <v>0</v>
      </c>
      <c r="BV42" s="228">
        <f>IF(OR(BV21="",BV21=0),0,17)</f>
        <v>0</v>
      </c>
      <c r="BW42" s="228">
        <f>IF(OR(BW21="",BW21=0),0,17)</f>
        <v>0</v>
      </c>
      <c r="BX42" s="6"/>
      <c r="BY42" s="6"/>
      <c r="BZ42" s="6"/>
      <c r="CA42" s="6"/>
      <c r="CC42" s="96" t="str">
        <f t="shared" si="20"/>
        <v>小日帰/身・精</v>
      </c>
      <c r="CD42" s="137">
        <f t="shared" si="21"/>
        <v>0</v>
      </c>
      <c r="CE42" s="471">
        <f>IF(OR(BU26="",BU26=0),0,75)</f>
        <v>0</v>
      </c>
      <c r="CF42" s="471">
        <v>110</v>
      </c>
      <c r="CG42" s="475">
        <v>75</v>
      </c>
    </row>
    <row r="43" spans="1:88" ht="26.1" customHeight="1">
      <c r="A43" s="1622"/>
      <c r="B43" s="1610"/>
      <c r="C43" s="1611"/>
      <c r="D43" s="1611"/>
      <c r="E43" s="1611"/>
      <c r="F43" s="1611"/>
      <c r="G43" s="1612"/>
      <c r="H43" s="1596" t="s">
        <v>43</v>
      </c>
      <c r="I43" s="1597" t="s">
        <v>42</v>
      </c>
      <c r="J43" s="1591" t="s">
        <v>355</v>
      </c>
      <c r="K43" s="1577" t="s">
        <v>354</v>
      </c>
      <c r="L43" s="1578"/>
      <c r="M43" s="1589"/>
      <c r="N43" s="1614"/>
      <c r="O43" s="1610"/>
      <c r="P43" s="1611"/>
      <c r="Q43" s="1611"/>
      <c r="R43" s="1611"/>
      <c r="S43" s="1611"/>
      <c r="T43" s="1612"/>
      <c r="U43" s="1596" t="s">
        <v>43</v>
      </c>
      <c r="V43" s="1597" t="s">
        <v>42</v>
      </c>
      <c r="W43" s="1591" t="s">
        <v>355</v>
      </c>
      <c r="X43" s="1577" t="s">
        <v>354</v>
      </c>
      <c r="Y43" s="1578"/>
      <c r="Z43" s="1579"/>
      <c r="AA43" s="1595"/>
      <c r="AB43" s="1595"/>
      <c r="AC43" s="1595"/>
      <c r="AD43" s="1595"/>
      <c r="AE43" s="1595"/>
      <c r="AF43" s="1595"/>
      <c r="AG43" s="1595"/>
      <c r="AH43" s="1595"/>
      <c r="AI43" s="1595"/>
      <c r="AJ43" s="1595"/>
      <c r="AK43" s="1595"/>
      <c r="AL43" s="1595"/>
      <c r="AM43" s="1595"/>
      <c r="AN43" s="1595"/>
      <c r="AO43" s="1595"/>
      <c r="AP43" s="1595"/>
      <c r="AQ43" s="1595"/>
      <c r="AR43" s="1595"/>
      <c r="AS43" s="1595"/>
      <c r="AT43" s="1595"/>
      <c r="AU43" s="1595"/>
      <c r="AV43" s="1595"/>
      <c r="AW43" s="1595"/>
      <c r="AX43" s="1595"/>
      <c r="AY43" s="1595"/>
      <c r="AZ43" s="1595"/>
      <c r="BA43" s="53">
        <v>40</v>
      </c>
      <c r="BB43" s="54">
        <f t="shared" si="17"/>
        <v>0</v>
      </c>
      <c r="BC43" s="50">
        <f t="shared" si="18"/>
        <v>0</v>
      </c>
      <c r="BD43" s="55">
        <f t="shared" si="19"/>
        <v>0</v>
      </c>
      <c r="BE43" s="55">
        <f t="shared" si="19"/>
        <v>0</v>
      </c>
      <c r="BF43" s="109"/>
      <c r="BG43" s="6"/>
      <c r="BH43" s="109" t="str">
        <f t="shared" si="24"/>
        <v/>
      </c>
      <c r="BI43" s="109" t="str">
        <f t="shared" si="27"/>
        <v/>
      </c>
      <c r="BJ43" s="6" t="str">
        <f t="shared" si="33"/>
        <v/>
      </c>
      <c r="BK43" s="6" t="str">
        <f t="shared" si="25"/>
        <v/>
      </c>
      <c r="BL43" s="228" t="str">
        <f t="shared" si="28"/>
        <v/>
      </c>
      <c r="BM43" s="228" t="str">
        <f t="shared" si="29"/>
        <v/>
      </c>
      <c r="BN43" s="228" t="str">
        <f t="shared" si="26"/>
        <v/>
      </c>
      <c r="BO43" s="228" t="str">
        <f t="shared" si="30"/>
        <v/>
      </c>
      <c r="BP43" s="228" t="str">
        <f t="shared" si="31"/>
        <v/>
      </c>
      <c r="BQ43" s="228" t="str">
        <f t="shared" si="32"/>
        <v/>
      </c>
      <c r="BS43" s="138" t="s">
        <v>339</v>
      </c>
      <c r="BT43" s="228">
        <f>IF(OR(BT22="",BT22=0),0,16)</f>
        <v>0</v>
      </c>
      <c r="BU43" s="228">
        <f>IF(OR(BU22="",BU22=0),0,16)</f>
        <v>0</v>
      </c>
      <c r="BV43" s="228">
        <f>IF(OR(BV22="",BV22=0),0,16)</f>
        <v>0</v>
      </c>
      <c r="BW43" s="228">
        <f>IF(OR(BW22="",BW22=0),0,16)</f>
        <v>0</v>
      </c>
      <c r="BX43" s="6"/>
      <c r="BY43" s="6"/>
      <c r="BZ43" s="6"/>
      <c r="CA43" s="6"/>
      <c r="CC43" s="96" t="e">
        <f>$BU$11&amp;#REF!</f>
        <v>#REF!</v>
      </c>
      <c r="CD43" s="137" t="e">
        <f>#REF!</f>
        <v>#REF!</v>
      </c>
      <c r="CE43" s="471" t="e">
        <f>IF(OR(#REF!="",#REF!=0),0,74)</f>
        <v>#REF!</v>
      </c>
      <c r="CF43" s="471">
        <v>110</v>
      </c>
      <c r="CG43" s="475">
        <v>74</v>
      </c>
    </row>
    <row r="44" spans="1:88" ht="26.1" customHeight="1">
      <c r="A44" s="1622"/>
      <c r="B44" s="1610"/>
      <c r="C44" s="1611"/>
      <c r="D44" s="1611"/>
      <c r="E44" s="1611"/>
      <c r="F44" s="1611"/>
      <c r="G44" s="1612"/>
      <c r="H44" s="1596"/>
      <c r="I44" s="1597"/>
      <c r="J44" s="1592"/>
      <c r="K44" s="1577"/>
      <c r="L44" s="1578"/>
      <c r="M44" s="1589"/>
      <c r="N44" s="1614"/>
      <c r="O44" s="1610"/>
      <c r="P44" s="1611"/>
      <c r="Q44" s="1611"/>
      <c r="R44" s="1611"/>
      <c r="S44" s="1611"/>
      <c r="T44" s="1612"/>
      <c r="U44" s="1596"/>
      <c r="V44" s="1597"/>
      <c r="W44" s="1592"/>
      <c r="X44" s="1577"/>
      <c r="Y44" s="1578"/>
      <c r="Z44" s="1579"/>
      <c r="AA44" s="1595"/>
      <c r="AB44" s="1595"/>
      <c r="AC44" s="1595"/>
      <c r="AD44" s="1595"/>
      <c r="AE44" s="1595"/>
      <c r="AF44" s="1595"/>
      <c r="AG44" s="1595"/>
      <c r="AH44" s="1595"/>
      <c r="AI44" s="1595"/>
      <c r="AJ44" s="1595"/>
      <c r="AK44" s="1595"/>
      <c r="AL44" s="1595"/>
      <c r="AM44" s="1595"/>
      <c r="AN44" s="1595"/>
      <c r="AO44" s="1595"/>
      <c r="AP44" s="1595"/>
      <c r="AQ44" s="1595"/>
      <c r="AR44" s="1595"/>
      <c r="AS44" s="1595"/>
      <c r="AT44" s="1595"/>
      <c r="AU44" s="1595"/>
      <c r="AV44" s="1595"/>
      <c r="AW44" s="1595"/>
      <c r="AX44" s="1595"/>
      <c r="AY44" s="1595"/>
      <c r="AZ44" s="1595"/>
      <c r="BA44" s="53">
        <v>41</v>
      </c>
      <c r="BB44" s="54">
        <f t="shared" si="17"/>
        <v>0</v>
      </c>
      <c r="BC44" s="50">
        <f t="shared" si="18"/>
        <v>0</v>
      </c>
      <c r="BD44" s="55">
        <f t="shared" si="19"/>
        <v>0</v>
      </c>
      <c r="BE44" s="55">
        <f t="shared" si="19"/>
        <v>0</v>
      </c>
      <c r="BF44" s="109"/>
      <c r="BG44" s="6"/>
      <c r="BH44" s="109" t="str">
        <f t="shared" si="24"/>
        <v/>
      </c>
      <c r="BI44" s="109" t="str">
        <f t="shared" si="27"/>
        <v/>
      </c>
      <c r="BJ44" s="6" t="str">
        <f t="shared" si="33"/>
        <v/>
      </c>
      <c r="BK44" s="6" t="str">
        <f t="shared" si="25"/>
        <v/>
      </c>
      <c r="BL44" s="228" t="str">
        <f t="shared" si="28"/>
        <v/>
      </c>
      <c r="BM44" s="228" t="str">
        <f t="shared" si="29"/>
        <v/>
      </c>
      <c r="BN44" s="228" t="str">
        <f t="shared" si="26"/>
        <v/>
      </c>
      <c r="BO44" s="228" t="str">
        <f t="shared" si="30"/>
        <v/>
      </c>
      <c r="BP44" s="228" t="str">
        <f t="shared" si="31"/>
        <v/>
      </c>
      <c r="BQ44" s="228" t="str">
        <f t="shared" si="32"/>
        <v/>
      </c>
      <c r="BS44" s="138" t="s">
        <v>340</v>
      </c>
      <c r="BT44" s="228">
        <f>IF(OR(BT23="",BT23=0),0,15)</f>
        <v>0</v>
      </c>
      <c r="BU44" s="228">
        <f>IF(OR(BU23="",BU23=0),0,15)</f>
        <v>0</v>
      </c>
      <c r="BV44" s="228">
        <f>IF(OR(BV23="",BV23=0),0,15)</f>
        <v>0</v>
      </c>
      <c r="BW44" s="228">
        <f>IF(OR(BW23="",BW23=0),0,15)</f>
        <v>0</v>
      </c>
      <c r="BX44" s="6"/>
      <c r="BY44" s="6"/>
      <c r="BZ44" s="6"/>
      <c r="CA44" s="6"/>
      <c r="CC44" s="96" t="e">
        <f>$BU$11&amp;#REF!</f>
        <v>#REF!</v>
      </c>
      <c r="CD44" s="137" t="e">
        <f>#REF!</f>
        <v>#REF!</v>
      </c>
      <c r="CE44" s="471" t="e">
        <f>IF(OR(#REF!="",#REF!=0),0,73)</f>
        <v>#REF!</v>
      </c>
      <c r="CF44" s="471">
        <v>110</v>
      </c>
      <c r="CG44" s="475">
        <v>73</v>
      </c>
    </row>
    <row r="45" spans="1:88" ht="26.1" customHeight="1">
      <c r="A45" s="1622"/>
      <c r="B45" s="1574"/>
      <c r="C45" s="1575"/>
      <c r="D45" s="1575"/>
      <c r="E45" s="1575"/>
      <c r="F45" s="1575"/>
      <c r="G45" s="1576"/>
      <c r="H45" s="1596"/>
      <c r="I45" s="1597"/>
      <c r="J45" s="1592"/>
      <c r="K45" s="1580"/>
      <c r="L45" s="1581"/>
      <c r="M45" s="1590"/>
      <c r="N45" s="1615"/>
      <c r="O45" s="1574"/>
      <c r="P45" s="1575"/>
      <c r="Q45" s="1575"/>
      <c r="R45" s="1575"/>
      <c r="S45" s="1575"/>
      <c r="T45" s="1576"/>
      <c r="U45" s="1596"/>
      <c r="V45" s="1597"/>
      <c r="W45" s="1592"/>
      <c r="X45" s="1580"/>
      <c r="Y45" s="1581"/>
      <c r="Z45" s="1582"/>
      <c r="AA45" s="1595"/>
      <c r="AB45" s="1595"/>
      <c r="AC45" s="1595"/>
      <c r="AD45" s="1595"/>
      <c r="AE45" s="1595"/>
      <c r="AF45" s="1595"/>
      <c r="AG45" s="1595"/>
      <c r="AH45" s="1595"/>
      <c r="AI45" s="1595"/>
      <c r="AJ45" s="1595"/>
      <c r="AK45" s="1595"/>
      <c r="AL45" s="1595"/>
      <c r="AM45" s="1595"/>
      <c r="AN45" s="1595"/>
      <c r="AO45" s="1595"/>
      <c r="AP45" s="1595"/>
      <c r="AQ45" s="1595"/>
      <c r="AR45" s="1595"/>
      <c r="AS45" s="1595"/>
      <c r="AT45" s="1595"/>
      <c r="AU45" s="1595"/>
      <c r="AV45" s="1595"/>
      <c r="AW45" s="1595"/>
      <c r="AX45" s="1595"/>
      <c r="AY45" s="1595"/>
      <c r="AZ45" s="1595"/>
      <c r="BA45" s="53">
        <v>42</v>
      </c>
      <c r="BB45" s="54">
        <f t="shared" si="17"/>
        <v>0</v>
      </c>
      <c r="BC45" s="50">
        <f t="shared" si="18"/>
        <v>0</v>
      </c>
      <c r="BD45" s="55">
        <f t="shared" si="19"/>
        <v>0</v>
      </c>
      <c r="BE45" s="55">
        <f t="shared" si="19"/>
        <v>0</v>
      </c>
      <c r="BF45" s="109"/>
      <c r="BG45" s="6"/>
      <c r="BH45" s="109" t="str">
        <f t="shared" si="24"/>
        <v/>
      </c>
      <c r="BI45" s="109" t="str">
        <f t="shared" si="27"/>
        <v/>
      </c>
      <c r="BJ45" s="6" t="str">
        <f t="shared" si="33"/>
        <v/>
      </c>
      <c r="BK45" s="6" t="str">
        <f t="shared" si="25"/>
        <v/>
      </c>
      <c r="BL45" s="228" t="str">
        <f t="shared" si="28"/>
        <v/>
      </c>
      <c r="BM45" s="228" t="str">
        <f t="shared" si="29"/>
        <v/>
      </c>
      <c r="BN45" s="228" t="str">
        <f t="shared" si="26"/>
        <v/>
      </c>
      <c r="BO45" s="228" t="str">
        <f t="shared" si="30"/>
        <v/>
      </c>
      <c r="BP45" s="228" t="str">
        <f t="shared" si="31"/>
        <v/>
      </c>
      <c r="BQ45" s="228" t="str">
        <f t="shared" si="32"/>
        <v/>
      </c>
      <c r="BS45" s="141" t="s">
        <v>341</v>
      </c>
      <c r="BT45" s="228">
        <f>IF(OR(BT24="",BT24=0),0,14)</f>
        <v>0</v>
      </c>
      <c r="BU45" s="228">
        <f>IF(OR(BU24="",BU24=0),0,14)</f>
        <v>0</v>
      </c>
      <c r="BV45" s="228">
        <f>IF(OR(BV24="",BV24=0),0,14)</f>
        <v>0</v>
      </c>
      <c r="BW45" s="228">
        <f>IF(OR(BW24="",BW24=0),0,14)</f>
        <v>0</v>
      </c>
      <c r="BX45" s="6"/>
      <c r="BY45" s="6"/>
      <c r="BZ45" s="6"/>
      <c r="CA45" s="6"/>
      <c r="CC45" s="96" t="e">
        <f>$BU$11&amp;#REF!</f>
        <v>#REF!</v>
      </c>
      <c r="CD45" s="137" t="e">
        <f>#REF!</f>
        <v>#REF!</v>
      </c>
      <c r="CE45" s="471" t="e">
        <f>IF(OR(#REF!="",#REF!=0),0,72)</f>
        <v>#REF!</v>
      </c>
      <c r="CF45" s="471">
        <v>110</v>
      </c>
      <c r="CG45" s="475">
        <v>72</v>
      </c>
    </row>
    <row r="46" spans="1:88" ht="24.75" customHeight="1">
      <c r="A46" s="339">
        <v>21</v>
      </c>
      <c r="B46" s="1598"/>
      <c r="C46" s="1599"/>
      <c r="D46" s="1599"/>
      <c r="E46" s="1599"/>
      <c r="F46" s="1599"/>
      <c r="G46" s="1600"/>
      <c r="H46" s="340"/>
      <c r="I46" s="341"/>
      <c r="J46" s="342"/>
      <c r="K46" s="498"/>
      <c r="L46" s="498"/>
      <c r="M46" s="498"/>
      <c r="N46" s="573">
        <v>51</v>
      </c>
      <c r="O46" s="1605"/>
      <c r="P46" s="1599"/>
      <c r="Q46" s="1599"/>
      <c r="R46" s="1599"/>
      <c r="S46" s="1599"/>
      <c r="T46" s="1600"/>
      <c r="U46" s="340"/>
      <c r="V46" s="341"/>
      <c r="W46" s="342"/>
      <c r="X46" s="498"/>
      <c r="Y46" s="498"/>
      <c r="Z46" s="342"/>
      <c r="AA46" s="1595"/>
      <c r="AB46" s="1595"/>
      <c r="AC46" s="1595"/>
      <c r="AD46" s="1595"/>
      <c r="AE46" s="1595"/>
      <c r="AF46" s="1595"/>
      <c r="AG46" s="1595"/>
      <c r="AH46" s="1595"/>
      <c r="AI46" s="1595"/>
      <c r="AJ46" s="1595"/>
      <c r="AK46" s="1595"/>
      <c r="AL46" s="1595"/>
      <c r="AM46" s="1595"/>
      <c r="AN46" s="1595"/>
      <c r="AO46" s="1595"/>
      <c r="AP46" s="1595"/>
      <c r="AQ46" s="1595"/>
      <c r="AR46" s="1595"/>
      <c r="AS46" s="1595"/>
      <c r="AT46" s="1595"/>
      <c r="AU46" s="1595"/>
      <c r="AV46" s="1595"/>
      <c r="AW46" s="1595"/>
      <c r="AX46" s="1595"/>
      <c r="AY46" s="1595"/>
      <c r="AZ46" s="1595"/>
      <c r="BA46" s="53">
        <v>43</v>
      </c>
      <c r="BB46" s="54">
        <f t="shared" si="17"/>
        <v>0</v>
      </c>
      <c r="BC46" s="50">
        <f t="shared" si="18"/>
        <v>0</v>
      </c>
      <c r="BD46" s="55">
        <f t="shared" si="19"/>
        <v>0</v>
      </c>
      <c r="BE46" s="55">
        <f t="shared" si="19"/>
        <v>0</v>
      </c>
      <c r="BF46" s="109"/>
      <c r="BG46" s="6"/>
      <c r="BH46" s="109" t="str">
        <f t="shared" si="24"/>
        <v/>
      </c>
      <c r="BI46" s="109" t="str">
        <f t="shared" si="27"/>
        <v/>
      </c>
      <c r="BJ46" s="6" t="str">
        <f t="shared" si="33"/>
        <v/>
      </c>
      <c r="BK46" s="6" t="str">
        <f t="shared" si="25"/>
        <v/>
      </c>
      <c r="BL46" s="228" t="str">
        <f t="shared" si="28"/>
        <v/>
      </c>
      <c r="BM46" s="228" t="str">
        <f t="shared" si="29"/>
        <v/>
      </c>
      <c r="BN46" s="228" t="str">
        <f t="shared" si="26"/>
        <v/>
      </c>
      <c r="BO46" s="228" t="str">
        <f t="shared" si="30"/>
        <v/>
      </c>
      <c r="BP46" s="228" t="str">
        <f t="shared" si="31"/>
        <v/>
      </c>
      <c r="BQ46" s="228" t="str">
        <f t="shared" si="32"/>
        <v/>
      </c>
      <c r="BS46" s="141" t="s">
        <v>342</v>
      </c>
      <c r="BT46" s="228">
        <f>IF(OR(BT25="",BT25=0),0,13)</f>
        <v>0</v>
      </c>
      <c r="BU46" s="228">
        <f>IF(OR(BU25="",BU25=0),0,13)</f>
        <v>0</v>
      </c>
      <c r="BV46" s="228">
        <f>IF(OR(BV25="",BV25=0),0,13)</f>
        <v>0</v>
      </c>
      <c r="BW46" s="228">
        <f>IF(OR(BW25="",BW25=0),0,13)</f>
        <v>0</v>
      </c>
      <c r="BX46" s="6"/>
      <c r="BY46" s="6"/>
      <c r="BZ46" s="6"/>
      <c r="CA46" s="6"/>
      <c r="CC46" s="96" t="e">
        <f>$BU$11&amp;#REF!</f>
        <v>#REF!</v>
      </c>
      <c r="CD46" s="137" t="e">
        <f>#REF!</f>
        <v>#REF!</v>
      </c>
      <c r="CE46" s="471" t="e">
        <f>IF(OR(#REF!="",#REF!=0),0,71)</f>
        <v>#REF!</v>
      </c>
      <c r="CF46" s="471">
        <v>110</v>
      </c>
      <c r="CG46" s="475">
        <v>71</v>
      </c>
    </row>
    <row r="47" spans="1:88" ht="24.95" customHeight="1">
      <c r="A47" s="339">
        <v>22</v>
      </c>
      <c r="B47" s="1598"/>
      <c r="C47" s="1599"/>
      <c r="D47" s="1599"/>
      <c r="E47" s="1599"/>
      <c r="F47" s="1599"/>
      <c r="G47" s="1600"/>
      <c r="H47" s="340"/>
      <c r="I47" s="341"/>
      <c r="J47" s="342"/>
      <c r="K47" s="498"/>
      <c r="L47" s="498"/>
      <c r="M47" s="533"/>
      <c r="N47" s="509">
        <v>52</v>
      </c>
      <c r="O47" s="1598"/>
      <c r="P47" s="1599"/>
      <c r="Q47" s="1599"/>
      <c r="R47" s="1599"/>
      <c r="S47" s="1599"/>
      <c r="T47" s="1600"/>
      <c r="U47" s="340"/>
      <c r="V47" s="341"/>
      <c r="W47" s="342"/>
      <c r="X47" s="498"/>
      <c r="Y47" s="498"/>
      <c r="Z47" s="342"/>
      <c r="AA47" s="1595"/>
      <c r="AB47" s="1595"/>
      <c r="AC47" s="1595"/>
      <c r="AD47" s="1595"/>
      <c r="AE47" s="1595"/>
      <c r="AF47" s="1595"/>
      <c r="AG47" s="1595"/>
      <c r="AH47" s="1595"/>
      <c r="AI47" s="1595"/>
      <c r="AJ47" s="1595"/>
      <c r="AK47" s="1595"/>
      <c r="AL47" s="1595"/>
      <c r="AM47" s="1595"/>
      <c r="AN47" s="1595"/>
      <c r="AO47" s="1595"/>
      <c r="AP47" s="1595"/>
      <c r="AQ47" s="1595"/>
      <c r="AR47" s="1595"/>
      <c r="AS47" s="1595"/>
      <c r="AT47" s="1595"/>
      <c r="AU47" s="1595"/>
      <c r="AV47" s="1595"/>
      <c r="AW47" s="1595"/>
      <c r="AX47" s="1595"/>
      <c r="AY47" s="1595"/>
      <c r="AZ47" s="1595"/>
      <c r="BA47" s="53">
        <v>44</v>
      </c>
      <c r="BB47" s="54">
        <f t="shared" si="17"/>
        <v>0</v>
      </c>
      <c r="BC47" s="50">
        <f t="shared" si="18"/>
        <v>0</v>
      </c>
      <c r="BD47" s="55">
        <f t="shared" si="19"/>
        <v>0</v>
      </c>
      <c r="BE47" s="55">
        <f t="shared" si="19"/>
        <v>0</v>
      </c>
      <c r="BF47" s="109"/>
      <c r="BG47" s="6"/>
      <c r="BH47" s="109" t="str">
        <f t="shared" si="24"/>
        <v/>
      </c>
      <c r="BI47" s="109" t="str">
        <f t="shared" si="27"/>
        <v/>
      </c>
      <c r="BJ47" s="6" t="str">
        <f t="shared" si="33"/>
        <v/>
      </c>
      <c r="BK47" s="6" t="str">
        <f t="shared" si="25"/>
        <v/>
      </c>
      <c r="BL47" s="228" t="str">
        <f t="shared" si="28"/>
        <v/>
      </c>
      <c r="BM47" s="228" t="str">
        <f t="shared" si="29"/>
        <v/>
      </c>
      <c r="BN47" s="228" t="str">
        <f t="shared" si="26"/>
        <v/>
      </c>
      <c r="BO47" s="228" t="str">
        <f t="shared" si="30"/>
        <v/>
      </c>
      <c r="BP47" s="228" t="str">
        <f t="shared" si="31"/>
        <v/>
      </c>
      <c r="BQ47" s="228" t="str">
        <f t="shared" si="32"/>
        <v/>
      </c>
      <c r="BS47" s="141" t="s">
        <v>343</v>
      </c>
      <c r="BT47" s="228">
        <f>IF(OR(BT26="",BT26=0),0,12)</f>
        <v>0</v>
      </c>
      <c r="BU47" s="228">
        <f>IF(OR(BU26="",BU26=0),0,12)</f>
        <v>0</v>
      </c>
      <c r="BV47" s="228">
        <f>IF(OR(BV26="",BV26=0),0,12)</f>
        <v>0</v>
      </c>
      <c r="BW47" s="228">
        <f>IF(OR(BW26="",BW26=0),0,12)</f>
        <v>0</v>
      </c>
      <c r="BX47" s="6"/>
      <c r="BY47" s="6"/>
      <c r="BZ47" s="6"/>
      <c r="CA47" s="6"/>
      <c r="CC47" s="96" t="e">
        <f>$BU$11&amp;#REF!</f>
        <v>#REF!</v>
      </c>
      <c r="CD47" s="137" t="e">
        <f>#REF!</f>
        <v>#REF!</v>
      </c>
      <c r="CE47" s="471" t="e">
        <f>IF(OR(#REF!="",#REF!=0),0,70)</f>
        <v>#REF!</v>
      </c>
      <c r="CF47" s="471">
        <v>110</v>
      </c>
      <c r="CG47" s="475">
        <v>70</v>
      </c>
    </row>
    <row r="48" spans="1:88" ht="24.95" customHeight="1">
      <c r="A48" s="339">
        <v>23</v>
      </c>
      <c r="B48" s="1598"/>
      <c r="C48" s="1599"/>
      <c r="D48" s="1599"/>
      <c r="E48" s="1599"/>
      <c r="F48" s="1599"/>
      <c r="G48" s="1600"/>
      <c r="H48" s="340"/>
      <c r="I48" s="341"/>
      <c r="J48" s="342"/>
      <c r="K48" s="498"/>
      <c r="L48" s="498"/>
      <c r="M48" s="533"/>
      <c r="N48" s="509">
        <v>53</v>
      </c>
      <c r="O48" s="1598"/>
      <c r="P48" s="1599"/>
      <c r="Q48" s="1599"/>
      <c r="R48" s="1599"/>
      <c r="S48" s="1599"/>
      <c r="T48" s="1600"/>
      <c r="U48" s="340"/>
      <c r="V48" s="341"/>
      <c r="W48" s="342"/>
      <c r="X48" s="498"/>
      <c r="Y48" s="498"/>
      <c r="Z48" s="342"/>
      <c r="AA48" s="1595"/>
      <c r="AB48" s="1595"/>
      <c r="AC48" s="1595"/>
      <c r="AD48" s="1595"/>
      <c r="AE48" s="1595"/>
      <c r="AF48" s="1595"/>
      <c r="AG48" s="1595"/>
      <c r="AH48" s="1595"/>
      <c r="AI48" s="1595"/>
      <c r="AJ48" s="1595"/>
      <c r="AK48" s="1595"/>
      <c r="AL48" s="1595"/>
      <c r="AM48" s="1595"/>
      <c r="AN48" s="1595"/>
      <c r="AO48" s="1595"/>
      <c r="AP48" s="1595"/>
      <c r="AQ48" s="1595"/>
      <c r="AR48" s="1595"/>
      <c r="AS48" s="1595"/>
      <c r="AT48" s="1595"/>
      <c r="AU48" s="1595"/>
      <c r="AV48" s="1595"/>
      <c r="AW48" s="1595"/>
      <c r="AX48" s="1595"/>
      <c r="AY48" s="1595"/>
      <c r="AZ48" s="1595"/>
      <c r="BA48" s="53">
        <v>45</v>
      </c>
      <c r="BB48" s="54">
        <f t="shared" si="17"/>
        <v>0</v>
      </c>
      <c r="BC48" s="50">
        <f t="shared" si="18"/>
        <v>0</v>
      </c>
      <c r="BD48" s="55">
        <f t="shared" si="19"/>
        <v>0</v>
      </c>
      <c r="BE48" s="55">
        <f t="shared" si="19"/>
        <v>0</v>
      </c>
      <c r="BF48" s="109"/>
      <c r="BG48" s="6"/>
      <c r="BH48" s="109" t="str">
        <f t="shared" si="24"/>
        <v/>
      </c>
      <c r="BI48" s="109" t="str">
        <f t="shared" si="27"/>
        <v/>
      </c>
      <c r="BJ48" s="6" t="str">
        <f t="shared" si="33"/>
        <v/>
      </c>
      <c r="BK48" s="6" t="str">
        <f t="shared" si="25"/>
        <v/>
      </c>
      <c r="BL48" s="228" t="str">
        <f t="shared" si="28"/>
        <v/>
      </c>
      <c r="BM48" s="228" t="str">
        <f t="shared" si="29"/>
        <v/>
      </c>
      <c r="BN48" s="228" t="str">
        <f t="shared" si="26"/>
        <v/>
      </c>
      <c r="BO48" s="228" t="str">
        <f t="shared" si="30"/>
        <v/>
      </c>
      <c r="BP48" s="228" t="str">
        <f t="shared" si="31"/>
        <v/>
      </c>
      <c r="BQ48" s="228" t="str">
        <f t="shared" si="32"/>
        <v/>
      </c>
      <c r="BS48" s="141" t="s">
        <v>344</v>
      </c>
      <c r="BT48" s="228" t="e">
        <f>IF(OR(#REF!="",#REF!=0),0,11)</f>
        <v>#REF!</v>
      </c>
      <c r="BU48" s="228" t="e">
        <f>IF(OR(#REF!="",#REF!=0),0,11)</f>
        <v>#REF!</v>
      </c>
      <c r="BV48" s="228" t="e">
        <f>IF(OR(#REF!="",#REF!=0),0,11)</f>
        <v>#REF!</v>
      </c>
      <c r="BW48" s="228" t="e">
        <f>IF(OR(#REF!="",#REF!=0),0,11)</f>
        <v>#REF!</v>
      </c>
      <c r="BX48" s="6"/>
      <c r="BY48" s="6"/>
      <c r="BZ48" s="6"/>
      <c r="CA48" s="6"/>
      <c r="CC48" s="96" t="e">
        <f>$BU$11&amp;#REF!</f>
        <v>#REF!</v>
      </c>
      <c r="CD48" s="137" t="e">
        <f>#REF!</f>
        <v>#REF!</v>
      </c>
      <c r="CE48" s="471" t="e">
        <f>IF(OR(#REF!="",#REF!=0),0,69)</f>
        <v>#REF!</v>
      </c>
      <c r="CF48" s="471">
        <v>110</v>
      </c>
      <c r="CG48" s="475">
        <v>69</v>
      </c>
    </row>
    <row r="49" spans="1:85" ht="24.95" customHeight="1">
      <c r="A49" s="339">
        <v>24</v>
      </c>
      <c r="B49" s="1598"/>
      <c r="C49" s="1599"/>
      <c r="D49" s="1599"/>
      <c r="E49" s="1599"/>
      <c r="F49" s="1599"/>
      <c r="G49" s="1600"/>
      <c r="H49" s="340"/>
      <c r="I49" s="341"/>
      <c r="J49" s="342"/>
      <c r="K49" s="498"/>
      <c r="L49" s="498"/>
      <c r="M49" s="533"/>
      <c r="N49" s="509">
        <v>54</v>
      </c>
      <c r="O49" s="1598"/>
      <c r="P49" s="1599"/>
      <c r="Q49" s="1599"/>
      <c r="R49" s="1599"/>
      <c r="S49" s="1599"/>
      <c r="T49" s="1600"/>
      <c r="U49" s="340"/>
      <c r="V49" s="341"/>
      <c r="W49" s="342"/>
      <c r="X49" s="498"/>
      <c r="Y49" s="498"/>
      <c r="Z49" s="342"/>
      <c r="AA49" s="1595"/>
      <c r="AB49" s="1595"/>
      <c r="AC49" s="1595"/>
      <c r="AD49" s="1595"/>
      <c r="AE49" s="1595"/>
      <c r="AF49" s="1595"/>
      <c r="AG49" s="1595"/>
      <c r="AH49" s="1595"/>
      <c r="AI49" s="1595"/>
      <c r="AJ49" s="1595"/>
      <c r="AK49" s="1595"/>
      <c r="AL49" s="1595"/>
      <c r="AM49" s="1595"/>
      <c r="AN49" s="1595"/>
      <c r="AO49" s="1595"/>
      <c r="AP49" s="1595"/>
      <c r="AQ49" s="1595"/>
      <c r="AR49" s="1595"/>
      <c r="AS49" s="1595"/>
      <c r="AT49" s="1595"/>
      <c r="AU49" s="1595"/>
      <c r="AV49" s="1595"/>
      <c r="AW49" s="1595"/>
      <c r="AX49" s="1595"/>
      <c r="AY49" s="1595"/>
      <c r="AZ49" s="1595"/>
      <c r="BA49" s="53">
        <v>46</v>
      </c>
      <c r="BB49" s="54">
        <f t="shared" si="17"/>
        <v>0</v>
      </c>
      <c r="BC49" s="50">
        <f t="shared" si="18"/>
        <v>0</v>
      </c>
      <c r="BD49" s="55">
        <f t="shared" si="19"/>
        <v>0</v>
      </c>
      <c r="BE49" s="55">
        <f t="shared" si="19"/>
        <v>0</v>
      </c>
      <c r="BF49" s="109"/>
      <c r="BG49" s="6"/>
      <c r="BH49" s="109" t="str">
        <f t="shared" si="24"/>
        <v/>
      </c>
      <c r="BI49" s="109" t="str">
        <f t="shared" si="27"/>
        <v/>
      </c>
      <c r="BJ49" s="6" t="str">
        <f t="shared" si="33"/>
        <v/>
      </c>
      <c r="BK49" s="6" t="str">
        <f t="shared" si="25"/>
        <v/>
      </c>
      <c r="BL49" s="228" t="str">
        <f t="shared" si="28"/>
        <v/>
      </c>
      <c r="BM49" s="228" t="str">
        <f t="shared" si="29"/>
        <v/>
      </c>
      <c r="BN49" s="228" t="str">
        <f t="shared" si="26"/>
        <v/>
      </c>
      <c r="BO49" s="228" t="str">
        <f t="shared" si="30"/>
        <v/>
      </c>
      <c r="BP49" s="228" t="str">
        <f t="shared" si="31"/>
        <v/>
      </c>
      <c r="BQ49" s="228" t="str">
        <f t="shared" si="32"/>
        <v/>
      </c>
      <c r="BS49" s="141" t="s">
        <v>345</v>
      </c>
      <c r="BT49" s="228" t="e">
        <f>IF(OR(#REF!="",#REF!=0),0,10)</f>
        <v>#REF!</v>
      </c>
      <c r="BU49" s="228" t="e">
        <f>IF(OR(#REF!="",#REF!=0),0,10)</f>
        <v>#REF!</v>
      </c>
      <c r="BV49" s="228" t="e">
        <f>IF(OR(#REF!="",#REF!=0),0,10)</f>
        <v>#REF!</v>
      </c>
      <c r="BW49" s="228" t="e">
        <f>IF(OR(#REF!="",#REF!=0),0,10)</f>
        <v>#REF!</v>
      </c>
      <c r="BX49" s="6"/>
      <c r="BY49" s="6"/>
      <c r="BZ49" s="6"/>
      <c r="CA49" s="6"/>
      <c r="CC49" s="96" t="e">
        <f>$BU$11&amp;#REF!</f>
        <v>#REF!</v>
      </c>
      <c r="CD49" s="137" t="e">
        <f>#REF!</f>
        <v>#REF!</v>
      </c>
      <c r="CE49" s="471" t="e">
        <f>IF(OR(#REF!="",#REF!=0),0,68)</f>
        <v>#REF!</v>
      </c>
      <c r="CF49" s="471">
        <v>110</v>
      </c>
      <c r="CG49" s="475">
        <v>68</v>
      </c>
    </row>
    <row r="50" spans="1:85" ht="24.95" customHeight="1">
      <c r="A50" s="339">
        <v>25</v>
      </c>
      <c r="B50" s="1598"/>
      <c r="C50" s="1599"/>
      <c r="D50" s="1599"/>
      <c r="E50" s="1599"/>
      <c r="F50" s="1599"/>
      <c r="G50" s="1600"/>
      <c r="H50" s="340"/>
      <c r="I50" s="341"/>
      <c r="J50" s="342"/>
      <c r="K50" s="498"/>
      <c r="L50" s="498"/>
      <c r="M50" s="533"/>
      <c r="N50" s="509">
        <v>55</v>
      </c>
      <c r="O50" s="1598"/>
      <c r="P50" s="1599"/>
      <c r="Q50" s="1599"/>
      <c r="R50" s="1599"/>
      <c r="S50" s="1599"/>
      <c r="T50" s="1600"/>
      <c r="U50" s="340"/>
      <c r="V50" s="341"/>
      <c r="W50" s="342"/>
      <c r="X50" s="498"/>
      <c r="Y50" s="498"/>
      <c r="Z50" s="342"/>
      <c r="AA50" s="1595"/>
      <c r="AB50" s="1595"/>
      <c r="AC50" s="1595"/>
      <c r="AD50" s="1595"/>
      <c r="AE50" s="1595"/>
      <c r="AF50" s="1595"/>
      <c r="AG50" s="1595"/>
      <c r="AH50" s="1595"/>
      <c r="AI50" s="1595"/>
      <c r="AJ50" s="1595"/>
      <c r="AK50" s="1595"/>
      <c r="AL50" s="1595"/>
      <c r="AM50" s="1595"/>
      <c r="AN50" s="1595"/>
      <c r="AO50" s="1595"/>
      <c r="AP50" s="1595"/>
      <c r="AQ50" s="1595"/>
      <c r="AR50" s="1595"/>
      <c r="AS50" s="1595"/>
      <c r="AT50" s="1595"/>
      <c r="AU50" s="1595"/>
      <c r="AV50" s="1595"/>
      <c r="AW50" s="1595"/>
      <c r="AX50" s="1595"/>
      <c r="AY50" s="1595"/>
      <c r="AZ50" s="1595"/>
      <c r="BA50" s="53">
        <v>47</v>
      </c>
      <c r="BB50" s="54">
        <f t="shared" si="17"/>
        <v>0</v>
      </c>
      <c r="BC50" s="50">
        <f t="shared" si="18"/>
        <v>0</v>
      </c>
      <c r="BD50" s="55">
        <f t="shared" si="19"/>
        <v>0</v>
      </c>
      <c r="BE50" s="55">
        <f t="shared" si="19"/>
        <v>0</v>
      </c>
      <c r="BF50" s="109"/>
      <c r="BG50" s="6"/>
      <c r="BH50" s="109" t="str">
        <f t="shared" si="24"/>
        <v/>
      </c>
      <c r="BI50" s="109" t="str">
        <f t="shared" si="27"/>
        <v/>
      </c>
      <c r="BJ50" s="6" t="str">
        <f t="shared" si="33"/>
        <v/>
      </c>
      <c r="BK50" s="6" t="str">
        <f t="shared" si="25"/>
        <v/>
      </c>
      <c r="BL50" s="228" t="str">
        <f t="shared" si="28"/>
        <v/>
      </c>
      <c r="BM50" s="228" t="str">
        <f t="shared" si="29"/>
        <v/>
      </c>
      <c r="BN50" s="228" t="str">
        <f t="shared" si="26"/>
        <v/>
      </c>
      <c r="BO50" s="228" t="str">
        <f t="shared" si="30"/>
        <v/>
      </c>
      <c r="BP50" s="228" t="str">
        <f t="shared" si="31"/>
        <v/>
      </c>
      <c r="BQ50" s="228" t="str">
        <f t="shared" si="32"/>
        <v/>
      </c>
      <c r="BS50" s="141" t="s">
        <v>346</v>
      </c>
      <c r="BT50" s="228" t="e">
        <f>IF(OR(#REF!="",#REF!=0),0,9)</f>
        <v>#REF!</v>
      </c>
      <c r="BU50" s="228" t="e">
        <f>IF(OR(#REF!="",#REF!=0),0,9)</f>
        <v>#REF!</v>
      </c>
      <c r="BV50" s="228" t="e">
        <f>IF(OR(#REF!="",#REF!=0),0,9)</f>
        <v>#REF!</v>
      </c>
      <c r="BW50" s="228" t="e">
        <f>IF(OR(#REF!="",#REF!=0),0,9)</f>
        <v>#REF!</v>
      </c>
      <c r="BX50" s="6"/>
      <c r="BY50" s="6"/>
      <c r="BZ50" s="6"/>
      <c r="CA50" s="6"/>
      <c r="CC50" s="96" t="e">
        <f>$BU$11&amp;#REF!</f>
        <v>#REF!</v>
      </c>
      <c r="CD50" s="137" t="e">
        <f>#REF!</f>
        <v>#REF!</v>
      </c>
      <c r="CE50" s="471" t="e">
        <f>IF(OR(#REF!="",#REF!=0),0,67)</f>
        <v>#REF!</v>
      </c>
      <c r="CF50" s="471">
        <v>110</v>
      </c>
      <c r="CG50" s="475">
        <v>67</v>
      </c>
    </row>
    <row r="51" spans="1:85" ht="24.95" customHeight="1">
      <c r="A51" s="339">
        <v>26</v>
      </c>
      <c r="B51" s="1598"/>
      <c r="C51" s="1599"/>
      <c r="D51" s="1599"/>
      <c r="E51" s="1599"/>
      <c r="F51" s="1599"/>
      <c r="G51" s="1600"/>
      <c r="H51" s="340"/>
      <c r="I51" s="341"/>
      <c r="J51" s="342"/>
      <c r="K51" s="498"/>
      <c r="L51" s="498"/>
      <c r="M51" s="533"/>
      <c r="N51" s="509">
        <v>56</v>
      </c>
      <c r="O51" s="1598"/>
      <c r="P51" s="1599"/>
      <c r="Q51" s="1599"/>
      <c r="R51" s="1599"/>
      <c r="S51" s="1599"/>
      <c r="T51" s="1600"/>
      <c r="U51" s="340"/>
      <c r="V51" s="341"/>
      <c r="W51" s="342"/>
      <c r="X51" s="498"/>
      <c r="Y51" s="498"/>
      <c r="Z51" s="342"/>
      <c r="AA51" s="7"/>
      <c r="AB51" s="7"/>
      <c r="AC51" s="7"/>
      <c r="AD51" s="7"/>
      <c r="AE51" s="7"/>
      <c r="AF51" s="7"/>
      <c r="AG51" s="7"/>
      <c r="AH51" s="7"/>
      <c r="AI51" s="7"/>
      <c r="AJ51" s="7"/>
      <c r="AK51" s="7"/>
      <c r="AL51" s="7"/>
      <c r="AM51" s="7"/>
      <c r="AN51" s="7"/>
      <c r="AO51" s="7"/>
      <c r="AP51" s="7"/>
      <c r="AQ51" s="7"/>
      <c r="AR51" s="7"/>
      <c r="AS51" s="7"/>
      <c r="AT51" s="7"/>
      <c r="AU51" s="7"/>
      <c r="AV51" s="7"/>
      <c r="AW51" s="7"/>
      <c r="AX51" s="7"/>
      <c r="AY51" s="7"/>
      <c r="AZ51" s="7"/>
      <c r="BA51" s="53">
        <v>48</v>
      </c>
      <c r="BB51" s="54">
        <f t="shared" si="17"/>
        <v>0</v>
      </c>
      <c r="BC51" s="50">
        <f t="shared" si="18"/>
        <v>0</v>
      </c>
      <c r="BD51" s="55">
        <f t="shared" si="19"/>
        <v>0</v>
      </c>
      <c r="BE51" s="55">
        <f t="shared" si="19"/>
        <v>0</v>
      </c>
      <c r="BF51" s="109"/>
      <c r="BG51" s="6"/>
      <c r="BH51" s="109" t="str">
        <f t="shared" si="24"/>
        <v/>
      </c>
      <c r="BI51" s="109" t="str">
        <f t="shared" si="27"/>
        <v/>
      </c>
      <c r="BJ51" s="6" t="str">
        <f t="shared" si="33"/>
        <v/>
      </c>
      <c r="BK51" s="6" t="str">
        <f t="shared" si="25"/>
        <v/>
      </c>
      <c r="BL51" s="228" t="str">
        <f t="shared" si="28"/>
        <v/>
      </c>
      <c r="BM51" s="228" t="str">
        <f t="shared" si="29"/>
        <v/>
      </c>
      <c r="BN51" s="228" t="str">
        <f t="shared" si="26"/>
        <v/>
      </c>
      <c r="BO51" s="228" t="str">
        <f t="shared" si="30"/>
        <v/>
      </c>
      <c r="BP51" s="228" t="str">
        <f t="shared" si="31"/>
        <v/>
      </c>
      <c r="BQ51" s="228" t="str">
        <f t="shared" si="32"/>
        <v/>
      </c>
      <c r="BS51" s="141" t="s">
        <v>347</v>
      </c>
      <c r="BT51" s="228" t="e">
        <f>IF(OR(#REF!="",#REF!=0),0,8)</f>
        <v>#REF!</v>
      </c>
      <c r="BU51" s="228" t="e">
        <f>IF(OR(#REF!="",#REF!=0),0,8)</f>
        <v>#REF!</v>
      </c>
      <c r="BV51" s="228" t="e">
        <f>IF(OR(#REF!="",#REF!=0),0,8)</f>
        <v>#REF!</v>
      </c>
      <c r="BW51" s="228" t="e">
        <f>IF(OR(#REF!="",#REF!=0),0,8)</f>
        <v>#REF!</v>
      </c>
      <c r="BX51" s="6"/>
      <c r="BY51" s="6"/>
      <c r="BZ51" s="6"/>
      <c r="CA51" s="6"/>
      <c r="CC51" s="96" t="e">
        <f>$BU$11&amp;#REF!</f>
        <v>#REF!</v>
      </c>
      <c r="CD51" s="137" t="e">
        <f>#REF!</f>
        <v>#REF!</v>
      </c>
      <c r="CE51" s="471" t="e">
        <f>IF(OR(#REF!="",#REF!=0),0,66)</f>
        <v>#REF!</v>
      </c>
      <c r="CF51" s="471">
        <v>110</v>
      </c>
      <c r="CG51" s="475">
        <v>66</v>
      </c>
    </row>
    <row r="52" spans="1:85" ht="24.95" customHeight="1">
      <c r="A52" s="339">
        <v>27</v>
      </c>
      <c r="B52" s="1598"/>
      <c r="C52" s="1599"/>
      <c r="D52" s="1599"/>
      <c r="E52" s="1599"/>
      <c r="F52" s="1599"/>
      <c r="G52" s="1600"/>
      <c r="H52" s="340"/>
      <c r="I52" s="341"/>
      <c r="J52" s="342"/>
      <c r="K52" s="498"/>
      <c r="L52" s="498"/>
      <c r="M52" s="533"/>
      <c r="N52" s="509">
        <v>57</v>
      </c>
      <c r="O52" s="1598"/>
      <c r="P52" s="1599"/>
      <c r="Q52" s="1599"/>
      <c r="R52" s="1599"/>
      <c r="S52" s="1599"/>
      <c r="T52" s="1600"/>
      <c r="U52" s="340"/>
      <c r="V52" s="341"/>
      <c r="W52" s="342"/>
      <c r="X52" s="498"/>
      <c r="Y52" s="498"/>
      <c r="Z52" s="342"/>
      <c r="AA52" s="7"/>
      <c r="AB52" s="7"/>
      <c r="AC52" s="7"/>
      <c r="AD52" s="7"/>
      <c r="AE52" s="7"/>
      <c r="AF52" s="7"/>
      <c r="AG52" s="7"/>
      <c r="AH52" s="7"/>
      <c r="AI52" s="7"/>
      <c r="AJ52" s="7"/>
      <c r="AK52" s="7"/>
      <c r="AL52" s="7"/>
      <c r="AM52" s="7"/>
      <c r="AN52" s="7"/>
      <c r="AO52" s="7"/>
      <c r="AP52" s="7"/>
      <c r="AQ52" s="7"/>
      <c r="AR52" s="7"/>
      <c r="AS52" s="7"/>
      <c r="AT52" s="7"/>
      <c r="AU52" s="7"/>
      <c r="AV52" s="7"/>
      <c r="AW52" s="7"/>
      <c r="AX52" s="7"/>
      <c r="AY52" s="7"/>
      <c r="AZ52" s="7"/>
      <c r="BA52" s="53">
        <v>49</v>
      </c>
      <c r="BB52" s="54">
        <f t="shared" si="17"/>
        <v>0</v>
      </c>
      <c r="BC52" s="50">
        <f t="shared" si="18"/>
        <v>0</v>
      </c>
      <c r="BD52" s="55">
        <f t="shared" si="19"/>
        <v>0</v>
      </c>
      <c r="BE52" s="55">
        <f t="shared" si="19"/>
        <v>0</v>
      </c>
      <c r="BF52" s="109"/>
      <c r="BG52" s="6"/>
      <c r="BH52" s="109" t="str">
        <f t="shared" si="24"/>
        <v/>
      </c>
      <c r="BI52" s="109" t="str">
        <f t="shared" si="27"/>
        <v/>
      </c>
      <c r="BJ52" s="6" t="str">
        <f t="shared" si="33"/>
        <v/>
      </c>
      <c r="BK52" s="6" t="str">
        <f t="shared" si="25"/>
        <v/>
      </c>
      <c r="BL52" s="228" t="str">
        <f t="shared" si="28"/>
        <v/>
      </c>
      <c r="BM52" s="228" t="str">
        <f t="shared" si="29"/>
        <v/>
      </c>
      <c r="BN52" s="228" t="str">
        <f t="shared" si="26"/>
        <v/>
      </c>
      <c r="BO52" s="228" t="str">
        <f t="shared" si="30"/>
        <v/>
      </c>
      <c r="BP52" s="228" t="str">
        <f t="shared" si="31"/>
        <v/>
      </c>
      <c r="BQ52" s="228" t="str">
        <f t="shared" si="32"/>
        <v/>
      </c>
      <c r="BS52" s="141" t="s">
        <v>348</v>
      </c>
      <c r="BT52" s="228" t="e">
        <f>IF(OR(#REF!="",#REF!=0),0,7)</f>
        <v>#REF!</v>
      </c>
      <c r="BU52" s="228" t="e">
        <f>IF(OR(#REF!="",#REF!=0),0,7)</f>
        <v>#REF!</v>
      </c>
      <c r="BV52" s="228" t="e">
        <f>IF(OR(#REF!="",#REF!=0),0,7)</f>
        <v>#REF!</v>
      </c>
      <c r="BW52" s="228" t="e">
        <f>IF(OR(#REF!="",#REF!=0),0,7)</f>
        <v>#REF!</v>
      </c>
      <c r="BX52" s="6"/>
      <c r="BY52" s="6"/>
      <c r="BZ52" s="6"/>
      <c r="CA52" s="6"/>
      <c r="CC52" s="96" t="e">
        <f>$BU$11&amp;#REF!</f>
        <v>#REF!</v>
      </c>
      <c r="CD52" s="137" t="e">
        <f>#REF!</f>
        <v>#REF!</v>
      </c>
      <c r="CE52" s="471" t="e">
        <f>IF(OR(#REF!="",#REF!=0),0,65)</f>
        <v>#REF!</v>
      </c>
      <c r="CF52" s="471">
        <v>110</v>
      </c>
      <c r="CG52" s="475">
        <v>65</v>
      </c>
    </row>
    <row r="53" spans="1:85" ht="24.95" customHeight="1">
      <c r="A53" s="339">
        <v>28</v>
      </c>
      <c r="B53" s="1598"/>
      <c r="C53" s="1599"/>
      <c r="D53" s="1599"/>
      <c r="E53" s="1599"/>
      <c r="F53" s="1599"/>
      <c r="G53" s="1600"/>
      <c r="H53" s="340"/>
      <c r="I53" s="341"/>
      <c r="J53" s="342"/>
      <c r="K53" s="498"/>
      <c r="L53" s="498"/>
      <c r="M53" s="533"/>
      <c r="N53" s="509">
        <v>58</v>
      </c>
      <c r="O53" s="1598"/>
      <c r="P53" s="1599"/>
      <c r="Q53" s="1599"/>
      <c r="R53" s="1599"/>
      <c r="S53" s="1599"/>
      <c r="T53" s="1600"/>
      <c r="U53" s="340"/>
      <c r="V53" s="341"/>
      <c r="W53" s="342"/>
      <c r="X53" s="498"/>
      <c r="Y53" s="498"/>
      <c r="Z53" s="342"/>
      <c r="BA53" s="53">
        <v>50</v>
      </c>
      <c r="BB53" s="54">
        <f t="shared" si="17"/>
        <v>0</v>
      </c>
      <c r="BC53" s="50">
        <f t="shared" si="18"/>
        <v>0</v>
      </c>
      <c r="BD53" s="55">
        <f t="shared" si="19"/>
        <v>0</v>
      </c>
      <c r="BE53" s="55">
        <f t="shared" si="19"/>
        <v>0</v>
      </c>
      <c r="BF53" s="109"/>
      <c r="BG53" s="6"/>
      <c r="BH53" s="109" t="str">
        <f t="shared" si="24"/>
        <v/>
      </c>
      <c r="BI53" s="109" t="str">
        <f t="shared" si="27"/>
        <v/>
      </c>
      <c r="BJ53" s="6" t="str">
        <f t="shared" si="33"/>
        <v/>
      </c>
      <c r="BK53" s="6" t="str">
        <f t="shared" si="25"/>
        <v/>
      </c>
      <c r="BL53" s="228" t="str">
        <f t="shared" si="28"/>
        <v/>
      </c>
      <c r="BM53" s="228" t="str">
        <f t="shared" si="29"/>
        <v/>
      </c>
      <c r="BN53" s="228" t="str">
        <f t="shared" si="26"/>
        <v/>
      </c>
      <c r="BO53" s="228" t="str">
        <f t="shared" si="30"/>
        <v/>
      </c>
      <c r="BP53" s="228" t="str">
        <f t="shared" si="31"/>
        <v/>
      </c>
      <c r="BQ53" s="228" t="str">
        <f t="shared" si="32"/>
        <v/>
      </c>
      <c r="BS53" s="141" t="s">
        <v>349</v>
      </c>
      <c r="BT53" s="228" t="e">
        <f>IF(OR(#REF!="",#REF!=0),0,6)</f>
        <v>#REF!</v>
      </c>
      <c r="BU53" s="228" t="e">
        <f>IF(OR(#REF!="",#REF!=0),0,6)</f>
        <v>#REF!</v>
      </c>
      <c r="BV53" s="228" t="e">
        <f>IF(OR(#REF!="",#REF!=0),0,6)</f>
        <v>#REF!</v>
      </c>
      <c r="BW53" s="228" t="e">
        <f>IF(OR(#REF!="",#REF!=0),0,6)</f>
        <v>#REF!</v>
      </c>
      <c r="BX53" s="6"/>
      <c r="BY53" s="6"/>
      <c r="BZ53" s="6"/>
      <c r="CA53" s="6"/>
      <c r="CC53" s="96" t="str">
        <f t="shared" ref="CC53" si="34">$BU$11&amp;BF28</f>
        <v>小日帰/特・療・精</v>
      </c>
      <c r="CD53" s="137">
        <f t="shared" ref="CD53" si="35">BU28</f>
        <v>0</v>
      </c>
      <c r="CE53" s="471">
        <f>IF(OR(BU28="",BU28=0),0,64)</f>
        <v>0</v>
      </c>
      <c r="CF53" s="471">
        <v>110</v>
      </c>
      <c r="CG53" s="475">
        <v>64</v>
      </c>
    </row>
    <row r="54" spans="1:85" ht="24.95" customHeight="1">
      <c r="A54" s="339">
        <v>29</v>
      </c>
      <c r="B54" s="1598"/>
      <c r="C54" s="1599"/>
      <c r="D54" s="1599"/>
      <c r="E54" s="1599"/>
      <c r="F54" s="1599"/>
      <c r="G54" s="1600"/>
      <c r="H54" s="340"/>
      <c r="I54" s="341"/>
      <c r="J54" s="342"/>
      <c r="K54" s="498"/>
      <c r="L54" s="498"/>
      <c r="M54" s="533"/>
      <c r="N54" s="509">
        <v>59</v>
      </c>
      <c r="O54" s="1598"/>
      <c r="P54" s="1599"/>
      <c r="Q54" s="1599"/>
      <c r="R54" s="1599"/>
      <c r="S54" s="1599"/>
      <c r="T54" s="1600"/>
      <c r="U54" s="340"/>
      <c r="V54" s="341"/>
      <c r="W54" s="342"/>
      <c r="X54" s="498"/>
      <c r="Y54" s="498"/>
      <c r="Z54" s="342"/>
      <c r="BA54" s="53">
        <v>51</v>
      </c>
      <c r="BB54" s="54">
        <f t="shared" ref="BB54:BB83" si="36">COUNTA(U46:V46)</f>
        <v>0</v>
      </c>
      <c r="BC54" s="50">
        <f t="shared" ref="BC54:BC83" si="37">COUNTA(X46)</f>
        <v>0</v>
      </c>
      <c r="BD54" s="55">
        <f t="shared" ref="BD54:BE83" si="38">BB54-COUNTA(U46)</f>
        <v>0</v>
      </c>
      <c r="BE54" s="55">
        <f t="shared" si="38"/>
        <v>0</v>
      </c>
      <c r="BF54" s="109"/>
      <c r="BG54" s="6"/>
      <c r="BH54" s="109" t="str">
        <f t="shared" si="24"/>
        <v/>
      </c>
      <c r="BI54" s="109" t="str">
        <f t="shared" si="27"/>
        <v/>
      </c>
      <c r="BJ54" s="6" t="str">
        <f t="shared" si="33"/>
        <v/>
      </c>
      <c r="BK54" s="6" t="str">
        <f t="shared" si="25"/>
        <v/>
      </c>
      <c r="BL54" s="228" t="str">
        <f t="shared" si="28"/>
        <v/>
      </c>
      <c r="BM54" s="228" t="str">
        <f t="shared" si="29"/>
        <v/>
      </c>
      <c r="BN54" s="228" t="str">
        <f t="shared" si="26"/>
        <v/>
      </c>
      <c r="BO54" s="228" t="str">
        <f t="shared" si="30"/>
        <v/>
      </c>
      <c r="BP54" s="228" t="str">
        <f t="shared" si="31"/>
        <v/>
      </c>
      <c r="BQ54" s="228" t="str">
        <f t="shared" si="32"/>
        <v/>
      </c>
      <c r="BS54" s="141" t="s">
        <v>350</v>
      </c>
      <c r="BT54" s="228" t="e">
        <f>IF(OR(#REF!="",#REF!=0),0,5)</f>
        <v>#REF!</v>
      </c>
      <c r="BU54" s="228" t="e">
        <f>IF(OR(#REF!="",#REF!=0),0,5)</f>
        <v>#REF!</v>
      </c>
      <c r="BV54" s="228" t="e">
        <f>IF(OR(#REF!="",#REF!=0),0,5)</f>
        <v>#REF!</v>
      </c>
      <c r="BW54" s="228" t="e">
        <f>IF(OR(#REF!="",#REF!=0),0,5)</f>
        <v>#REF!</v>
      </c>
      <c r="BX54" s="6"/>
      <c r="BY54" s="6"/>
      <c r="BZ54" s="6"/>
      <c r="CA54" s="6"/>
      <c r="CC54" s="96" t="str">
        <f t="shared" ref="CC54:CC68" si="39">$BV$11&amp;BF12</f>
        <v>中泊/準</v>
      </c>
      <c r="CD54" s="99">
        <f t="shared" ref="CD54:CD68" si="40">BV12</f>
        <v>0</v>
      </c>
      <c r="CE54" s="471">
        <f>IF(OR(BV12="",BV12=0),0,62)</f>
        <v>0</v>
      </c>
      <c r="CF54" s="471">
        <v>330</v>
      </c>
      <c r="CG54" s="474">
        <v>62</v>
      </c>
    </row>
    <row r="55" spans="1:85" ht="24.95" customHeight="1">
      <c r="A55" s="339">
        <v>30</v>
      </c>
      <c r="B55" s="1598"/>
      <c r="C55" s="1599"/>
      <c r="D55" s="1599"/>
      <c r="E55" s="1599"/>
      <c r="F55" s="1599"/>
      <c r="G55" s="1600"/>
      <c r="H55" s="340"/>
      <c r="I55" s="341"/>
      <c r="J55" s="342"/>
      <c r="K55" s="498"/>
      <c r="L55" s="498"/>
      <c r="M55" s="533"/>
      <c r="N55" s="509">
        <v>60</v>
      </c>
      <c r="O55" s="1598"/>
      <c r="P55" s="1599"/>
      <c r="Q55" s="1599"/>
      <c r="R55" s="1599"/>
      <c r="S55" s="1599"/>
      <c r="T55" s="1600"/>
      <c r="U55" s="340"/>
      <c r="V55" s="341"/>
      <c r="W55" s="342"/>
      <c r="X55" s="498"/>
      <c r="Y55" s="498"/>
      <c r="Z55" s="342"/>
      <c r="BA55" s="53">
        <v>52</v>
      </c>
      <c r="BB55" s="54">
        <f t="shared" si="36"/>
        <v>0</v>
      </c>
      <c r="BC55" s="50">
        <f t="shared" si="37"/>
        <v>0</v>
      </c>
      <c r="BD55" s="55">
        <f t="shared" si="38"/>
        <v>0</v>
      </c>
      <c r="BE55" s="55">
        <f t="shared" si="38"/>
        <v>0</v>
      </c>
      <c r="BF55" s="109"/>
      <c r="BG55" s="6"/>
      <c r="BH55" s="109" t="str">
        <f t="shared" si="24"/>
        <v/>
      </c>
      <c r="BI55" s="109" t="str">
        <f t="shared" si="27"/>
        <v/>
      </c>
      <c r="BJ55" s="6" t="str">
        <f t="shared" si="33"/>
        <v/>
      </c>
      <c r="BK55" s="6" t="str">
        <f t="shared" si="25"/>
        <v/>
      </c>
      <c r="BL55" s="228" t="str">
        <f t="shared" si="28"/>
        <v/>
      </c>
      <c r="BM55" s="228" t="str">
        <f t="shared" si="29"/>
        <v/>
      </c>
      <c r="BN55" s="228" t="str">
        <f t="shared" si="26"/>
        <v/>
      </c>
      <c r="BO55" s="228" t="str">
        <f t="shared" si="30"/>
        <v/>
      </c>
      <c r="BP55" s="228" t="str">
        <f t="shared" si="31"/>
        <v/>
      </c>
      <c r="BQ55" s="228" t="str">
        <f t="shared" si="32"/>
        <v/>
      </c>
      <c r="BS55" s="141" t="s">
        <v>351</v>
      </c>
      <c r="BT55" s="228" t="e">
        <f>IF(OR(#REF!="",#REF!=0),0,4)</f>
        <v>#REF!</v>
      </c>
      <c r="BU55" s="228" t="e">
        <f>IF(OR(#REF!="",#REF!=0),0,4)</f>
        <v>#REF!</v>
      </c>
      <c r="BV55" s="228" t="e">
        <f>IF(OR(#REF!="",#REF!=0),0,4)</f>
        <v>#REF!</v>
      </c>
      <c r="BW55" s="228" t="e">
        <f>IF(OR(#REF!="",#REF!=0),0,4)</f>
        <v>#REF!</v>
      </c>
      <c r="BX55" s="6"/>
      <c r="BY55" s="6"/>
      <c r="BZ55" s="6"/>
      <c r="CA55" s="6"/>
      <c r="CC55" s="96" t="str">
        <f t="shared" si="39"/>
        <v>中泊/特</v>
      </c>
      <c r="CD55" s="99">
        <f t="shared" si="40"/>
        <v>0</v>
      </c>
      <c r="CE55" s="471">
        <f>IF(OR(BV13="",BV13=0),0,61)</f>
        <v>0</v>
      </c>
      <c r="CF55" s="471">
        <v>330</v>
      </c>
      <c r="CG55" s="474">
        <v>61</v>
      </c>
    </row>
    <row r="56" spans="1:85" ht="24.95" customHeight="1">
      <c r="A56" s="339">
        <v>31</v>
      </c>
      <c r="B56" s="1598"/>
      <c r="C56" s="1599"/>
      <c r="D56" s="1599"/>
      <c r="E56" s="1599"/>
      <c r="F56" s="1599"/>
      <c r="G56" s="1600"/>
      <c r="H56" s="340"/>
      <c r="I56" s="341"/>
      <c r="J56" s="342"/>
      <c r="K56" s="498"/>
      <c r="L56" s="498"/>
      <c r="M56" s="498"/>
      <c r="N56" s="573">
        <v>61</v>
      </c>
      <c r="O56" s="1598"/>
      <c r="P56" s="1599"/>
      <c r="Q56" s="1599"/>
      <c r="R56" s="1599"/>
      <c r="S56" s="1599"/>
      <c r="T56" s="1600"/>
      <c r="U56" s="340"/>
      <c r="V56" s="341"/>
      <c r="W56" s="342"/>
      <c r="X56" s="498"/>
      <c r="Y56" s="498"/>
      <c r="Z56" s="342"/>
      <c r="BA56" s="53">
        <v>53</v>
      </c>
      <c r="BB56" s="54">
        <f t="shared" si="36"/>
        <v>0</v>
      </c>
      <c r="BC56" s="50">
        <f t="shared" si="37"/>
        <v>0</v>
      </c>
      <c r="BD56" s="55">
        <f t="shared" si="38"/>
        <v>0</v>
      </c>
      <c r="BE56" s="55">
        <f t="shared" si="38"/>
        <v>0</v>
      </c>
      <c r="BF56" s="109"/>
      <c r="BG56" s="6"/>
      <c r="BH56" s="109" t="str">
        <f t="shared" si="24"/>
        <v/>
      </c>
      <c r="BI56" s="109" t="str">
        <f t="shared" si="27"/>
        <v/>
      </c>
      <c r="BJ56" s="6" t="str">
        <f t="shared" si="33"/>
        <v/>
      </c>
      <c r="BK56" s="6" t="str">
        <f t="shared" si="25"/>
        <v/>
      </c>
      <c r="BL56" s="228" t="str">
        <f t="shared" si="28"/>
        <v/>
      </c>
      <c r="BM56" s="228" t="str">
        <f t="shared" si="29"/>
        <v/>
      </c>
      <c r="BN56" s="228" t="str">
        <f t="shared" si="26"/>
        <v/>
      </c>
      <c r="BO56" s="228" t="str">
        <f t="shared" si="30"/>
        <v/>
      </c>
      <c r="BP56" s="228" t="str">
        <f t="shared" si="31"/>
        <v/>
      </c>
      <c r="BQ56" s="228" t="str">
        <f t="shared" si="32"/>
        <v/>
      </c>
      <c r="BS56" s="141" t="s">
        <v>352</v>
      </c>
      <c r="BT56" s="228" t="e">
        <f>IF(OR(#REF!="",#REF!=0),0,3)</f>
        <v>#REF!</v>
      </c>
      <c r="BU56" s="228" t="e">
        <f>IF(OR(#REF!="",#REF!=0),0,3)</f>
        <v>#REF!</v>
      </c>
      <c r="BV56" s="228" t="e">
        <f>IF(OR(#REF!="",#REF!=0),0,3)</f>
        <v>#REF!</v>
      </c>
      <c r="BW56" s="228" t="e">
        <f>IF(OR(#REF!="",#REF!=0),0,3)</f>
        <v>#REF!</v>
      </c>
      <c r="BX56" s="6"/>
      <c r="BY56" s="6"/>
      <c r="BZ56" s="6"/>
      <c r="CA56" s="6"/>
      <c r="CC56" s="96" t="str">
        <f t="shared" si="39"/>
        <v>中泊/身</v>
      </c>
      <c r="CD56" s="99">
        <f t="shared" si="40"/>
        <v>0</v>
      </c>
      <c r="CE56" s="471">
        <f>IF(OR(BV14="",BV14=0),0,60)</f>
        <v>0</v>
      </c>
      <c r="CF56" s="471">
        <v>330</v>
      </c>
      <c r="CG56" s="474">
        <v>60</v>
      </c>
    </row>
    <row r="57" spans="1:85" ht="24.95" customHeight="1">
      <c r="A57" s="339">
        <v>32</v>
      </c>
      <c r="B57" s="1598"/>
      <c r="C57" s="1599"/>
      <c r="D57" s="1599"/>
      <c r="E57" s="1599"/>
      <c r="F57" s="1599"/>
      <c r="G57" s="1600"/>
      <c r="H57" s="340"/>
      <c r="I57" s="341"/>
      <c r="J57" s="342"/>
      <c r="K57" s="498"/>
      <c r="L57" s="498"/>
      <c r="M57" s="533"/>
      <c r="N57" s="509">
        <v>62</v>
      </c>
      <c r="O57" s="1598"/>
      <c r="P57" s="1599"/>
      <c r="Q57" s="1599"/>
      <c r="R57" s="1599"/>
      <c r="S57" s="1599"/>
      <c r="T57" s="1600"/>
      <c r="U57" s="340"/>
      <c r="V57" s="341"/>
      <c r="W57" s="342"/>
      <c r="X57" s="498"/>
      <c r="Y57" s="498"/>
      <c r="Z57" s="342"/>
      <c r="BA57" s="53">
        <v>54</v>
      </c>
      <c r="BB57" s="54">
        <f t="shared" si="36"/>
        <v>0</v>
      </c>
      <c r="BC57" s="50">
        <f t="shared" si="37"/>
        <v>0</v>
      </c>
      <c r="BD57" s="55">
        <f t="shared" si="38"/>
        <v>0</v>
      </c>
      <c r="BE57" s="55">
        <f t="shared" si="38"/>
        <v>0</v>
      </c>
      <c r="BF57" s="109"/>
      <c r="BG57" s="6"/>
      <c r="BH57" s="109" t="str">
        <f t="shared" si="24"/>
        <v/>
      </c>
      <c r="BI57" s="109" t="str">
        <f t="shared" si="27"/>
        <v/>
      </c>
      <c r="BJ57" s="6" t="str">
        <f t="shared" si="33"/>
        <v/>
      </c>
      <c r="BK57" s="6" t="str">
        <f t="shared" si="25"/>
        <v/>
      </c>
      <c r="BL57" s="228" t="str">
        <f t="shared" si="28"/>
        <v/>
      </c>
      <c r="BM57" s="228" t="str">
        <f t="shared" si="29"/>
        <v/>
      </c>
      <c r="BN57" s="228" t="str">
        <f t="shared" si="26"/>
        <v/>
      </c>
      <c r="BO57" s="228" t="str">
        <f t="shared" si="30"/>
        <v/>
      </c>
      <c r="BP57" s="228" t="str">
        <f t="shared" si="31"/>
        <v/>
      </c>
      <c r="BQ57" s="228" t="str">
        <f t="shared" si="32"/>
        <v/>
      </c>
      <c r="BS57" s="141" t="s">
        <v>353</v>
      </c>
      <c r="BT57" s="228" t="e">
        <f>IF(OR(#REF!="",#REF!=0),0,2)</f>
        <v>#REF!</v>
      </c>
      <c r="BU57" s="228" t="e">
        <f>IF(OR(#REF!="",#REF!=0),0,2)</f>
        <v>#REF!</v>
      </c>
      <c r="BV57" s="228" t="e">
        <f>IF(OR(#REF!="",#REF!=0),0,2)</f>
        <v>#REF!</v>
      </c>
      <c r="BW57" s="228" t="e">
        <f>IF(OR(#REF!="",#REF!=0),0,2)</f>
        <v>#REF!</v>
      </c>
      <c r="BX57" s="6"/>
      <c r="BY57" s="6"/>
      <c r="BZ57" s="6"/>
      <c r="CA57" s="6"/>
      <c r="CC57" s="96" t="str">
        <f t="shared" si="39"/>
        <v>中泊/療</v>
      </c>
      <c r="CD57" s="99">
        <f t="shared" si="40"/>
        <v>0</v>
      </c>
      <c r="CE57" s="471">
        <f>IF(OR(BV15="",BV15=0),0,59)</f>
        <v>0</v>
      </c>
      <c r="CF57" s="471">
        <v>330</v>
      </c>
      <c r="CG57" s="474">
        <v>59</v>
      </c>
    </row>
    <row r="58" spans="1:85" ht="24.95" customHeight="1">
      <c r="A58" s="339">
        <v>33</v>
      </c>
      <c r="B58" s="1598"/>
      <c r="C58" s="1599"/>
      <c r="D58" s="1599"/>
      <c r="E58" s="1599"/>
      <c r="F58" s="1599"/>
      <c r="G58" s="1600"/>
      <c r="H58" s="340"/>
      <c r="I58" s="341"/>
      <c r="J58" s="342"/>
      <c r="K58" s="498"/>
      <c r="L58" s="498"/>
      <c r="M58" s="533"/>
      <c r="N58" s="509">
        <v>63</v>
      </c>
      <c r="O58" s="1598"/>
      <c r="P58" s="1599"/>
      <c r="Q58" s="1599"/>
      <c r="R58" s="1599"/>
      <c r="S58" s="1599"/>
      <c r="T58" s="1600"/>
      <c r="U58" s="340"/>
      <c r="V58" s="341"/>
      <c r="W58" s="342"/>
      <c r="X58" s="498"/>
      <c r="Y58" s="498"/>
      <c r="Z58" s="342"/>
      <c r="BA58" s="53">
        <v>55</v>
      </c>
      <c r="BB58" s="54">
        <f t="shared" si="36"/>
        <v>0</v>
      </c>
      <c r="BC58" s="50">
        <f t="shared" si="37"/>
        <v>0</v>
      </c>
      <c r="BD58" s="55">
        <f t="shared" si="38"/>
        <v>0</v>
      </c>
      <c r="BE58" s="55">
        <f t="shared" si="38"/>
        <v>0</v>
      </c>
      <c r="BF58" s="109"/>
      <c r="BG58" s="6"/>
      <c r="BH58" s="109" t="str">
        <f t="shared" si="24"/>
        <v/>
      </c>
      <c r="BI58" s="109" t="str">
        <f t="shared" si="27"/>
        <v/>
      </c>
      <c r="BJ58" s="6" t="str">
        <f t="shared" si="33"/>
        <v/>
      </c>
      <c r="BK58" s="6" t="str">
        <f t="shared" si="25"/>
        <v/>
      </c>
      <c r="BL58" s="228" t="str">
        <f t="shared" si="28"/>
        <v/>
      </c>
      <c r="BM58" s="228" t="str">
        <f t="shared" si="29"/>
        <v/>
      </c>
      <c r="BN58" s="228" t="str">
        <f t="shared" si="26"/>
        <v/>
      </c>
      <c r="BO58" s="228" t="str">
        <f t="shared" si="30"/>
        <v/>
      </c>
      <c r="BP58" s="228" t="str">
        <f t="shared" si="31"/>
        <v/>
      </c>
      <c r="BQ58" s="228" t="str">
        <f t="shared" si="32"/>
        <v/>
      </c>
      <c r="BS58" s="141" t="s">
        <v>366</v>
      </c>
      <c r="BT58" s="228">
        <f>IF(OR(BT28="",BT28=0),0,1)</f>
        <v>0</v>
      </c>
      <c r="BU58" s="228">
        <f>IF(OR(BU28="",BU28=0),0,1)</f>
        <v>0</v>
      </c>
      <c r="BV58" s="228">
        <f>IF(OR(BV28="",BV28=0),0,1)</f>
        <v>0</v>
      </c>
      <c r="BW58" s="228">
        <f>IF(OR(BW28="",BW28=0),0,1)</f>
        <v>0</v>
      </c>
      <c r="BX58" s="6"/>
      <c r="BY58" s="6"/>
      <c r="BZ58" s="6"/>
      <c r="CA58" s="6"/>
      <c r="CC58" s="96" t="str">
        <f t="shared" si="39"/>
        <v>中泊/精</v>
      </c>
      <c r="CD58" s="99">
        <f t="shared" si="40"/>
        <v>0</v>
      </c>
      <c r="CE58" s="471">
        <f>IF(OR(BV16="",BV16=0),0,58)</f>
        <v>0</v>
      </c>
      <c r="CF58" s="471">
        <v>330</v>
      </c>
      <c r="CG58" s="474">
        <v>58</v>
      </c>
    </row>
    <row r="59" spans="1:85" ht="24.95" customHeight="1">
      <c r="A59" s="339">
        <v>34</v>
      </c>
      <c r="B59" s="1598"/>
      <c r="C59" s="1599"/>
      <c r="D59" s="1599"/>
      <c r="E59" s="1599"/>
      <c r="F59" s="1599"/>
      <c r="G59" s="1600"/>
      <c r="H59" s="340"/>
      <c r="I59" s="341"/>
      <c r="J59" s="342"/>
      <c r="K59" s="498"/>
      <c r="L59" s="498"/>
      <c r="M59" s="533"/>
      <c r="N59" s="509">
        <v>64</v>
      </c>
      <c r="O59" s="1598"/>
      <c r="P59" s="1599"/>
      <c r="Q59" s="1599"/>
      <c r="R59" s="1599"/>
      <c r="S59" s="1599"/>
      <c r="T59" s="1600"/>
      <c r="U59" s="340"/>
      <c r="V59" s="341"/>
      <c r="W59" s="342"/>
      <c r="X59" s="498"/>
      <c r="Y59" s="498"/>
      <c r="Z59" s="342"/>
      <c r="BA59" s="53">
        <v>56</v>
      </c>
      <c r="BB59" s="54">
        <f t="shared" si="36"/>
        <v>0</v>
      </c>
      <c r="BC59" s="50">
        <f t="shared" si="37"/>
        <v>0</v>
      </c>
      <c r="BD59" s="55">
        <f t="shared" si="38"/>
        <v>0</v>
      </c>
      <c r="BE59" s="55">
        <f t="shared" si="38"/>
        <v>0</v>
      </c>
      <c r="BF59" s="109"/>
      <c r="BG59" s="6"/>
      <c r="BH59" s="109" t="str">
        <f t="shared" si="24"/>
        <v/>
      </c>
      <c r="BI59" s="109" t="str">
        <f t="shared" si="27"/>
        <v/>
      </c>
      <c r="BJ59" s="6" t="str">
        <f t="shared" si="33"/>
        <v/>
      </c>
      <c r="BK59" s="6" t="str">
        <f t="shared" si="25"/>
        <v/>
      </c>
      <c r="BL59" s="228" t="str">
        <f t="shared" si="28"/>
        <v/>
      </c>
      <c r="BM59" s="228" t="str">
        <f t="shared" si="29"/>
        <v/>
      </c>
      <c r="BN59" s="228" t="str">
        <f t="shared" si="26"/>
        <v/>
      </c>
      <c r="BO59" s="228" t="str">
        <f t="shared" si="30"/>
        <v/>
      </c>
      <c r="BP59" s="228" t="str">
        <f t="shared" si="31"/>
        <v/>
      </c>
      <c r="BQ59" s="228" t="str">
        <f t="shared" si="32"/>
        <v/>
      </c>
      <c r="BS59" s="141" t="s">
        <v>431</v>
      </c>
      <c r="BT59" s="6"/>
      <c r="BU59" s="6"/>
      <c r="BV59" s="6"/>
      <c r="BW59" s="6"/>
      <c r="BX59" s="6"/>
      <c r="BY59" s="6"/>
      <c r="BZ59" s="6"/>
      <c r="CA59" s="6"/>
      <c r="CC59" s="96" t="str">
        <f t="shared" si="39"/>
        <v>中泊/介添</v>
      </c>
      <c r="CD59" s="99">
        <f t="shared" si="40"/>
        <v>0</v>
      </c>
      <c r="CE59" s="471">
        <f>IF(OR(BV17="",BV17=0),0,57)</f>
        <v>0</v>
      </c>
      <c r="CF59" s="471">
        <v>330</v>
      </c>
      <c r="CG59" s="474">
        <v>57</v>
      </c>
    </row>
    <row r="60" spans="1:85" ht="24.95" customHeight="1">
      <c r="A60" s="339">
        <v>35</v>
      </c>
      <c r="B60" s="1598"/>
      <c r="C60" s="1599"/>
      <c r="D60" s="1599"/>
      <c r="E60" s="1599"/>
      <c r="F60" s="1599"/>
      <c r="G60" s="1600"/>
      <c r="H60" s="340"/>
      <c r="I60" s="341"/>
      <c r="J60" s="342"/>
      <c r="K60" s="498"/>
      <c r="L60" s="498"/>
      <c r="M60" s="533"/>
      <c r="N60" s="509">
        <v>65</v>
      </c>
      <c r="O60" s="1598"/>
      <c r="P60" s="1599"/>
      <c r="Q60" s="1599"/>
      <c r="R60" s="1599"/>
      <c r="S60" s="1599"/>
      <c r="T60" s="1600"/>
      <c r="U60" s="340"/>
      <c r="V60" s="341"/>
      <c r="W60" s="342"/>
      <c r="X60" s="498"/>
      <c r="Y60" s="498"/>
      <c r="Z60" s="342"/>
      <c r="BA60" s="53">
        <v>57</v>
      </c>
      <c r="BB60" s="54">
        <f t="shared" si="36"/>
        <v>0</v>
      </c>
      <c r="BC60" s="50">
        <f t="shared" si="37"/>
        <v>0</v>
      </c>
      <c r="BD60" s="55">
        <f t="shared" si="38"/>
        <v>0</v>
      </c>
      <c r="BE60" s="55">
        <f t="shared" si="38"/>
        <v>0</v>
      </c>
      <c r="BF60" s="109"/>
      <c r="BG60" s="6"/>
      <c r="BH60" s="109" t="str">
        <f t="shared" si="24"/>
        <v/>
      </c>
      <c r="BI60" s="109" t="str">
        <f t="shared" si="27"/>
        <v/>
      </c>
      <c r="BJ60" s="6" t="str">
        <f t="shared" si="33"/>
        <v/>
      </c>
      <c r="BK60" s="6" t="str">
        <f t="shared" si="25"/>
        <v/>
      </c>
      <c r="BL60" s="228" t="str">
        <f t="shared" si="28"/>
        <v/>
      </c>
      <c r="BM60" s="228" t="str">
        <f t="shared" si="29"/>
        <v/>
      </c>
      <c r="BN60" s="228" t="str">
        <f t="shared" si="26"/>
        <v/>
      </c>
      <c r="BO60" s="228" t="str">
        <f t="shared" si="30"/>
        <v/>
      </c>
      <c r="BP60" s="228" t="str">
        <f t="shared" si="31"/>
        <v/>
      </c>
      <c r="BQ60" s="228" t="str">
        <f t="shared" si="32"/>
        <v/>
      </c>
      <c r="CC60" s="96" t="str">
        <f t="shared" si="39"/>
        <v>中泊/準・特</v>
      </c>
      <c r="CD60" s="99">
        <f t="shared" si="40"/>
        <v>0</v>
      </c>
      <c r="CE60" s="471">
        <f>IF(OR(BV18="",BV18=0),0,56)</f>
        <v>0</v>
      </c>
      <c r="CF60" s="471">
        <v>330</v>
      </c>
      <c r="CG60" s="474">
        <v>56</v>
      </c>
    </row>
    <row r="61" spans="1:85" ht="24.95" customHeight="1">
      <c r="A61" s="339">
        <v>36</v>
      </c>
      <c r="B61" s="1598"/>
      <c r="C61" s="1599"/>
      <c r="D61" s="1599"/>
      <c r="E61" s="1599"/>
      <c r="F61" s="1599"/>
      <c r="G61" s="1600"/>
      <c r="H61" s="340"/>
      <c r="I61" s="341"/>
      <c r="J61" s="342"/>
      <c r="K61" s="498"/>
      <c r="L61" s="498"/>
      <c r="M61" s="533"/>
      <c r="N61" s="509">
        <v>66</v>
      </c>
      <c r="O61" s="1598"/>
      <c r="P61" s="1599"/>
      <c r="Q61" s="1599"/>
      <c r="R61" s="1599"/>
      <c r="S61" s="1599"/>
      <c r="T61" s="1600"/>
      <c r="U61" s="340"/>
      <c r="V61" s="341"/>
      <c r="W61" s="342"/>
      <c r="X61" s="498"/>
      <c r="Y61" s="498"/>
      <c r="Z61" s="342"/>
      <c r="BA61" s="53">
        <v>58</v>
      </c>
      <c r="BB61" s="54">
        <f t="shared" si="36"/>
        <v>0</v>
      </c>
      <c r="BC61" s="50">
        <f t="shared" si="37"/>
        <v>0</v>
      </c>
      <c r="BD61" s="55">
        <f t="shared" si="38"/>
        <v>0</v>
      </c>
      <c r="BE61" s="55">
        <f t="shared" si="38"/>
        <v>0</v>
      </c>
      <c r="BF61" s="227" t="s">
        <v>398</v>
      </c>
      <c r="BG61" s="144">
        <f>COUNTIFS(BF31:BQ60,"2一")*2</f>
        <v>0</v>
      </c>
      <c r="BH61" s="229" t="s">
        <v>405</v>
      </c>
      <c r="BI61" s="144">
        <f>COUNTIFS(BF31:BQ60,"2一介添")</f>
        <v>0</v>
      </c>
      <c r="BJ61" s="227" t="s">
        <v>397</v>
      </c>
      <c r="BK61">
        <f>COUNTIFS(BF31:BQ60,"2一")</f>
        <v>0</v>
      </c>
      <c r="CC61" s="96" t="str">
        <f t="shared" si="39"/>
        <v>中泊/準・身</v>
      </c>
      <c r="CD61" s="99">
        <f t="shared" si="40"/>
        <v>0</v>
      </c>
      <c r="CE61" s="471">
        <f>IF(OR(BV19="",BV19=0),0,55)</f>
        <v>0</v>
      </c>
      <c r="CF61" s="471">
        <v>330</v>
      </c>
      <c r="CG61" s="474">
        <v>55</v>
      </c>
    </row>
    <row r="62" spans="1:85" ht="24.95" customHeight="1">
      <c r="A62" s="339">
        <v>37</v>
      </c>
      <c r="B62" s="1598"/>
      <c r="C62" s="1599"/>
      <c r="D62" s="1599"/>
      <c r="E62" s="1599"/>
      <c r="F62" s="1599"/>
      <c r="G62" s="1600"/>
      <c r="H62" s="340"/>
      <c r="I62" s="341"/>
      <c r="J62" s="342"/>
      <c r="K62" s="498"/>
      <c r="L62" s="498"/>
      <c r="M62" s="533"/>
      <c r="N62" s="509">
        <v>67</v>
      </c>
      <c r="O62" s="1598"/>
      <c r="P62" s="1599"/>
      <c r="Q62" s="1599"/>
      <c r="R62" s="1599"/>
      <c r="S62" s="1599"/>
      <c r="T62" s="1600"/>
      <c r="U62" s="340"/>
      <c r="V62" s="341"/>
      <c r="W62" s="342"/>
      <c r="X62" s="498"/>
      <c r="Y62" s="498"/>
      <c r="Z62" s="342"/>
      <c r="BA62" s="53">
        <v>59</v>
      </c>
      <c r="BB62" s="54">
        <f t="shared" si="36"/>
        <v>0</v>
      </c>
      <c r="BC62" s="50">
        <f t="shared" si="37"/>
        <v>0</v>
      </c>
      <c r="BD62" s="55">
        <f t="shared" si="38"/>
        <v>0</v>
      </c>
      <c r="BE62" s="55">
        <f t="shared" si="38"/>
        <v>0</v>
      </c>
      <c r="CC62" s="96" t="str">
        <f t="shared" si="39"/>
        <v>中泊/準・療</v>
      </c>
      <c r="CD62" s="99">
        <f t="shared" si="40"/>
        <v>0</v>
      </c>
      <c r="CE62" s="471">
        <f>IF(OR(BV20="",BV20=0),0,54)</f>
        <v>0</v>
      </c>
      <c r="CF62" s="471">
        <v>330</v>
      </c>
      <c r="CG62" s="474">
        <v>54</v>
      </c>
    </row>
    <row r="63" spans="1:85" ht="24.95" customHeight="1">
      <c r="A63" s="339">
        <v>38</v>
      </c>
      <c r="B63" s="1598"/>
      <c r="C63" s="1599"/>
      <c r="D63" s="1599"/>
      <c r="E63" s="1599"/>
      <c r="F63" s="1599"/>
      <c r="G63" s="1600"/>
      <c r="H63" s="340"/>
      <c r="I63" s="341"/>
      <c r="J63" s="342"/>
      <c r="K63" s="498"/>
      <c r="L63" s="498"/>
      <c r="M63" s="533"/>
      <c r="N63" s="509">
        <v>68</v>
      </c>
      <c r="O63" s="1598"/>
      <c r="P63" s="1599"/>
      <c r="Q63" s="1599"/>
      <c r="R63" s="1599"/>
      <c r="S63" s="1599"/>
      <c r="T63" s="1600"/>
      <c r="U63" s="340"/>
      <c r="V63" s="341"/>
      <c r="W63" s="342"/>
      <c r="X63" s="498"/>
      <c r="Y63" s="498"/>
      <c r="Z63" s="342"/>
      <c r="BA63" s="53">
        <v>60</v>
      </c>
      <c r="BB63" s="54">
        <f t="shared" si="36"/>
        <v>0</v>
      </c>
      <c r="BC63" s="50">
        <f t="shared" si="37"/>
        <v>0</v>
      </c>
      <c r="BD63" s="55">
        <f t="shared" si="38"/>
        <v>0</v>
      </c>
      <c r="BE63" s="55">
        <f t="shared" si="38"/>
        <v>0</v>
      </c>
      <c r="BF63" s="1604" t="s">
        <v>455</v>
      </c>
      <c r="BG63" s="1604"/>
      <c r="BH63" s="1604"/>
      <c r="BI63" s="1604"/>
      <c r="BJ63" s="1604"/>
      <c r="BK63" s="1604"/>
      <c r="BL63" s="1604"/>
      <c r="BM63" s="1604"/>
      <c r="BN63" s="1604"/>
      <c r="CC63" s="96" t="str">
        <f t="shared" si="39"/>
        <v>中泊/準・精</v>
      </c>
      <c r="CD63" s="99">
        <f t="shared" si="40"/>
        <v>0</v>
      </c>
      <c r="CE63" s="471">
        <f>IF(OR(BV21="",BV21=0),0,53)</f>
        <v>0</v>
      </c>
      <c r="CF63" s="471">
        <v>330</v>
      </c>
      <c r="CG63" s="474">
        <v>53</v>
      </c>
    </row>
    <row r="64" spans="1:85" ht="24.95" customHeight="1">
      <c r="A64" s="339">
        <v>39</v>
      </c>
      <c r="B64" s="1598"/>
      <c r="C64" s="1599"/>
      <c r="D64" s="1599"/>
      <c r="E64" s="1599"/>
      <c r="F64" s="1599"/>
      <c r="G64" s="1600"/>
      <c r="H64" s="340"/>
      <c r="I64" s="341"/>
      <c r="J64" s="342"/>
      <c r="K64" s="498"/>
      <c r="L64" s="498"/>
      <c r="M64" s="533"/>
      <c r="N64" s="509">
        <v>69</v>
      </c>
      <c r="O64" s="1598"/>
      <c r="P64" s="1599"/>
      <c r="Q64" s="1599"/>
      <c r="R64" s="1599"/>
      <c r="S64" s="1599"/>
      <c r="T64" s="1600"/>
      <c r="U64" s="340"/>
      <c r="V64" s="341"/>
      <c r="W64" s="342"/>
      <c r="X64" s="498"/>
      <c r="Y64" s="498"/>
      <c r="Z64" s="342"/>
      <c r="BA64" s="53">
        <v>61</v>
      </c>
      <c r="BB64" s="54">
        <f t="shared" si="36"/>
        <v>0</v>
      </c>
      <c r="BC64" s="50">
        <f t="shared" si="37"/>
        <v>0</v>
      </c>
      <c r="BD64" s="55">
        <f t="shared" si="38"/>
        <v>0</v>
      </c>
      <c r="BE64" s="55">
        <f t="shared" si="38"/>
        <v>0</v>
      </c>
      <c r="BF64" s="138" t="s">
        <v>386</v>
      </c>
      <c r="BG64" s="138" t="s">
        <v>451</v>
      </c>
      <c r="BH64" s="96" t="s">
        <v>423</v>
      </c>
      <c r="BI64" s="96" t="s">
        <v>452</v>
      </c>
      <c r="BJ64" s="96" t="s">
        <v>426</v>
      </c>
      <c r="BK64" s="138" t="s">
        <v>453</v>
      </c>
      <c r="BL64" s="96" t="s">
        <v>437</v>
      </c>
      <c r="BM64" s="96" t="s">
        <v>454</v>
      </c>
      <c r="BN64" s="96" t="s">
        <v>438</v>
      </c>
      <c r="BO64" s="106"/>
      <c r="BP64" s="106"/>
      <c r="BQ64" s="106"/>
      <c r="CC64" s="96" t="str">
        <f t="shared" si="39"/>
        <v>中泊/特・身</v>
      </c>
      <c r="CD64" s="99">
        <f t="shared" si="40"/>
        <v>0</v>
      </c>
      <c r="CE64" s="471">
        <f>IF(OR(BV22="",BV22=0),0,52)</f>
        <v>0</v>
      </c>
      <c r="CF64" s="471">
        <v>330</v>
      </c>
      <c r="CG64" s="474">
        <v>52</v>
      </c>
    </row>
    <row r="65" spans="1:88" ht="24.95" customHeight="1">
      <c r="A65" s="339">
        <v>40</v>
      </c>
      <c r="B65" s="1598"/>
      <c r="C65" s="1599"/>
      <c r="D65" s="1599"/>
      <c r="E65" s="1599"/>
      <c r="F65" s="1599"/>
      <c r="G65" s="1600"/>
      <c r="H65" s="340"/>
      <c r="I65" s="341"/>
      <c r="J65" s="342"/>
      <c r="K65" s="498"/>
      <c r="L65" s="498"/>
      <c r="M65" s="533"/>
      <c r="N65" s="509">
        <v>70</v>
      </c>
      <c r="O65" s="1648"/>
      <c r="P65" s="1620"/>
      <c r="Q65" s="1620"/>
      <c r="R65" s="1620"/>
      <c r="S65" s="1620"/>
      <c r="T65" s="1621"/>
      <c r="U65" s="340"/>
      <c r="V65" s="341"/>
      <c r="W65" s="342"/>
      <c r="X65" s="498"/>
      <c r="Y65" s="498"/>
      <c r="Z65" s="342"/>
      <c r="BA65" s="53">
        <v>62</v>
      </c>
      <c r="BB65" s="54">
        <f t="shared" si="36"/>
        <v>0</v>
      </c>
      <c r="BC65" s="50">
        <f t="shared" si="37"/>
        <v>0</v>
      </c>
      <c r="BD65" s="55">
        <f t="shared" si="38"/>
        <v>0</v>
      </c>
      <c r="BE65" s="55">
        <f t="shared" si="38"/>
        <v>0</v>
      </c>
      <c r="BF65" s="138">
        <v>1</v>
      </c>
      <c r="BG65" s="239">
        <f>COUNTIFS($H$13:$H$22,1,$J$13:$J$22,"小")</f>
        <v>0</v>
      </c>
      <c r="BH65" s="239">
        <f>COUNTIFS($I$13:$I$22,1,$J$13:$J$22,"小")+COUNTIFS($I$13:$I$22,2,$J$13:$J$22,"小")</f>
        <v>0</v>
      </c>
      <c r="BI65" s="239">
        <f>COUNTIFS($H$13:$H$22,1,$J$13:$J$22,"中")</f>
        <v>0</v>
      </c>
      <c r="BJ65" s="239">
        <f>COUNTIFS($I$13:$I$22,1,$J$13:$J$22,"中")+COUNTIFS($I$13:$I$22,2,$J$13:$J$22,"中")</f>
        <v>0</v>
      </c>
      <c r="BK65" s="239">
        <f>COUNTIFS($H$13:$H$22,1,$J$13:$J$22,"引")</f>
        <v>0</v>
      </c>
      <c r="BL65" s="239">
        <f>COUNTIFS($I$13:$I$22,1,$J$13:$J$22,"引")+COUNTIFS($I$13:$I$22,2,$J$13:$J$22,"引")</f>
        <v>0</v>
      </c>
      <c r="BM65" s="239">
        <f>COUNTIFS($H$13:$H$22,1,$J$13:$J$22,"一")</f>
        <v>0</v>
      </c>
      <c r="BN65" s="239">
        <f>COUNTIFS($I$13:$I$22,1,$J$13:$J$22,"一")+COUNTIFS($I$13:$I$22,2,$J$13:$J$22,"一")</f>
        <v>0</v>
      </c>
      <c r="CC65" s="96" t="str">
        <f t="shared" si="39"/>
        <v>中泊/特・療</v>
      </c>
      <c r="CD65" s="99">
        <f t="shared" si="40"/>
        <v>0</v>
      </c>
      <c r="CE65" s="471">
        <f>IF(OR(BV23="",BV23=0),0,51)</f>
        <v>0</v>
      </c>
      <c r="CF65" s="471">
        <v>330</v>
      </c>
      <c r="CG65" s="474">
        <v>51</v>
      </c>
    </row>
    <row r="66" spans="1:88" ht="24.95" customHeight="1">
      <c r="A66" s="339">
        <v>41</v>
      </c>
      <c r="B66" s="1598"/>
      <c r="C66" s="1599"/>
      <c r="D66" s="1599"/>
      <c r="E66" s="1599"/>
      <c r="F66" s="1599"/>
      <c r="G66" s="1600"/>
      <c r="H66" s="340"/>
      <c r="I66" s="341"/>
      <c r="J66" s="342"/>
      <c r="K66" s="498"/>
      <c r="L66" s="498"/>
      <c r="M66" s="498"/>
      <c r="N66" s="573">
        <v>71</v>
      </c>
      <c r="O66" s="1598"/>
      <c r="P66" s="1599"/>
      <c r="Q66" s="1599"/>
      <c r="R66" s="1599"/>
      <c r="S66" s="1599"/>
      <c r="T66" s="1600"/>
      <c r="U66" s="340"/>
      <c r="V66" s="341"/>
      <c r="W66" s="342"/>
      <c r="X66" s="498"/>
      <c r="Y66" s="498"/>
      <c r="Z66" s="342"/>
      <c r="BA66" s="53">
        <v>63</v>
      </c>
      <c r="BB66" s="54">
        <f t="shared" si="36"/>
        <v>0</v>
      </c>
      <c r="BC66" s="50">
        <f t="shared" si="37"/>
        <v>0</v>
      </c>
      <c r="BD66" s="55">
        <f t="shared" si="38"/>
        <v>0</v>
      </c>
      <c r="BE66" s="55">
        <f t="shared" si="38"/>
        <v>0</v>
      </c>
      <c r="BF66" s="138">
        <v>2</v>
      </c>
      <c r="BG66" s="239">
        <f>COUNTIFS($U$13:$U$22,1,$W$13:$W$22,"小")</f>
        <v>0</v>
      </c>
      <c r="BH66" s="239">
        <f>COUNTIFS($V$13:$V$22,1,$W$13:$W$22,"小")+COUNTIFS($V$13:$V$22,2,$W$13:$W$22,"小")</f>
        <v>0</v>
      </c>
      <c r="BI66" s="239">
        <f>COUNTIFS($U$13:$U$22,1,$W$13:$W$22,"中")</f>
        <v>0</v>
      </c>
      <c r="BJ66" s="239">
        <f>COUNTIFS($V$13:$V$22,1,$W$13:$W$22,"中")+COUNTIFS($V$13:$V$22,2,$W$13:$W$22,"中")</f>
        <v>0</v>
      </c>
      <c r="BK66" s="239">
        <f>COUNTIFS($U$13:$U$22,1,$W$13:$W$22,"引")</f>
        <v>0</v>
      </c>
      <c r="BL66" s="239">
        <f>COUNTIFS($V$13:$V$22,1,$W$13:$W$22,"引")+COUNTIFS($V$13:$V$22,2,$W$13:$W$22,"引")</f>
        <v>0</v>
      </c>
      <c r="BM66" s="239">
        <f>COUNTIFS($U$13:$U$22,1,$W$13:$W$22,"一")</f>
        <v>0</v>
      </c>
      <c r="BN66" s="239">
        <f>COUNTIFS($V$13:$V$22,1,$W$13:$W$22,"一")+COUNTIFS($V$13:$V$22,2,$W$13:$W$22,"一")</f>
        <v>0</v>
      </c>
      <c r="CC66" s="96" t="str">
        <f t="shared" si="39"/>
        <v>中泊/特・精</v>
      </c>
      <c r="CD66" s="99">
        <f t="shared" si="40"/>
        <v>0</v>
      </c>
      <c r="CE66" s="471">
        <f>IF(OR(BV24="",BV24=0),0,50)</f>
        <v>0</v>
      </c>
      <c r="CF66" s="471">
        <v>330</v>
      </c>
      <c r="CG66" s="474">
        <v>50</v>
      </c>
    </row>
    <row r="67" spans="1:88" s="33" customFormat="1" ht="24.95" customHeight="1">
      <c r="A67" s="339">
        <v>42</v>
      </c>
      <c r="B67" s="1598"/>
      <c r="C67" s="1599"/>
      <c r="D67" s="1599"/>
      <c r="E67" s="1599"/>
      <c r="F67" s="1599"/>
      <c r="G67" s="1600"/>
      <c r="H67" s="340"/>
      <c r="I67" s="341"/>
      <c r="J67" s="342"/>
      <c r="K67" s="498"/>
      <c r="L67" s="498"/>
      <c r="M67" s="533"/>
      <c r="N67" s="509">
        <v>72</v>
      </c>
      <c r="O67" s="1598"/>
      <c r="P67" s="1599"/>
      <c r="Q67" s="1599"/>
      <c r="R67" s="1599"/>
      <c r="S67" s="1599"/>
      <c r="T67" s="1600"/>
      <c r="U67" s="340"/>
      <c r="V67" s="341"/>
      <c r="W67" s="342"/>
      <c r="X67" s="498"/>
      <c r="Y67" s="498"/>
      <c r="Z67" s="342"/>
      <c r="BA67" s="53">
        <v>64</v>
      </c>
      <c r="BB67" s="54">
        <f t="shared" si="36"/>
        <v>0</v>
      </c>
      <c r="BC67" s="50">
        <f t="shared" si="37"/>
        <v>0</v>
      </c>
      <c r="BD67" s="55">
        <f t="shared" si="38"/>
        <v>0</v>
      </c>
      <c r="BE67" s="55">
        <f t="shared" si="38"/>
        <v>0</v>
      </c>
      <c r="BF67" s="138">
        <v>3</v>
      </c>
      <c r="BG67" s="240">
        <f>COUNTIFS($H$46:$H$75,1,$J$46:$J$75,"小")</f>
        <v>0</v>
      </c>
      <c r="BH67" s="240">
        <f>COUNTIFS($I$46:$I$75,1,$J$46:$J$75,"小")+COUNTIFS($I$46:$I$75,2,$J$46:$J$75,"小")</f>
        <v>0</v>
      </c>
      <c r="BI67" s="240">
        <f>COUNTIFS($H$46:$H$75,1,$J$46:$J$75,"中")</f>
        <v>0</v>
      </c>
      <c r="BJ67" s="240">
        <f>COUNTIFS($I$46:$I$75,1,$J$46:$J$75,"中")+COUNTIFS($I$46:$I$75,2,$J$46:$J$75,"中")</f>
        <v>0</v>
      </c>
      <c r="BK67" s="240">
        <f>COUNTIFS($H$46:$H$75,1,$J$46:$J$75,"引")</f>
        <v>0</v>
      </c>
      <c r="BL67" s="240">
        <f>COUNTIFS($I$46:$I$75,1,$J$46:$J$75,"引")+COUNTIFS($I$46:$I$75,2,$J$46:$J$75,"引")</f>
        <v>0</v>
      </c>
      <c r="BM67" s="240">
        <f>COUNTIFS($H$46:$H$75,1,$J$46:$J$75,"一")</f>
        <v>0</v>
      </c>
      <c r="BN67" s="240">
        <f>COUNTIFS($I$46:$I$75,1,$J$46:$J$75,"一")+COUNTIFS($I$46:$I$75,2,$J$46:$J$75,"一")</f>
        <v>0</v>
      </c>
      <c r="BO67"/>
      <c r="BP67"/>
      <c r="CC67" s="96" t="str">
        <f t="shared" si="39"/>
        <v>中泊/身・療</v>
      </c>
      <c r="CD67" s="99">
        <f t="shared" si="40"/>
        <v>0</v>
      </c>
      <c r="CE67" s="471">
        <f>IF(OR(BV25="",BV25=0),0,49)</f>
        <v>0</v>
      </c>
      <c r="CF67" s="471">
        <v>330</v>
      </c>
      <c r="CG67" s="474">
        <v>49</v>
      </c>
      <c r="CI67" s="235"/>
      <c r="CJ67" s="235"/>
    </row>
    <row r="68" spans="1:88" s="33" customFormat="1" ht="24.95" customHeight="1">
      <c r="A68" s="339">
        <v>43</v>
      </c>
      <c r="B68" s="1598"/>
      <c r="C68" s="1599"/>
      <c r="D68" s="1599"/>
      <c r="E68" s="1599"/>
      <c r="F68" s="1599"/>
      <c r="G68" s="1600"/>
      <c r="H68" s="340"/>
      <c r="I68" s="341"/>
      <c r="J68" s="342"/>
      <c r="K68" s="498"/>
      <c r="L68" s="498"/>
      <c r="M68" s="533"/>
      <c r="N68" s="509">
        <v>73</v>
      </c>
      <c r="O68" s="1598"/>
      <c r="P68" s="1599"/>
      <c r="Q68" s="1599"/>
      <c r="R68" s="1599"/>
      <c r="S68" s="1599"/>
      <c r="T68" s="1600"/>
      <c r="U68" s="340"/>
      <c r="V68" s="341"/>
      <c r="W68" s="342"/>
      <c r="X68" s="498"/>
      <c r="Y68" s="498"/>
      <c r="Z68" s="342"/>
      <c r="BA68" s="53">
        <v>65</v>
      </c>
      <c r="BB68" s="54">
        <f t="shared" si="36"/>
        <v>0</v>
      </c>
      <c r="BC68" s="50">
        <f t="shared" si="37"/>
        <v>0</v>
      </c>
      <c r="BD68" s="55">
        <f t="shared" si="38"/>
        <v>0</v>
      </c>
      <c r="BE68" s="55">
        <f t="shared" si="38"/>
        <v>0</v>
      </c>
      <c r="BF68" s="138">
        <v>4</v>
      </c>
      <c r="BG68" s="240">
        <f>COUNTIFS($U$46:$U$75,1,$W$46:$W$75,"小")</f>
        <v>0</v>
      </c>
      <c r="BH68" s="240">
        <f>COUNTIFS($V$46:$V$75,1,$W$46:$W$75,"小")+COUNTIFS($V$46:$V$75,2,$W$46:$W$75,"小")</f>
        <v>0</v>
      </c>
      <c r="BI68" s="240">
        <f>COUNTIFS($U$46:$U$75,1,$W$46:$W$75,"中")</f>
        <v>0</v>
      </c>
      <c r="BJ68" s="240">
        <f>COUNTIFS($V$46:$V$75,1,$W$46:$W$75,"中")+COUNTIFS($V$46:$V$75,2,$W$46:$W$75,"中")</f>
        <v>0</v>
      </c>
      <c r="BK68" s="240">
        <f>COUNTIFS($U$46:$U$75,1,$W$46:$W$75,"引")</f>
        <v>0</v>
      </c>
      <c r="BL68" s="240">
        <f>COUNTIFS($V$46:$V$75,1,$W$46:$W$75,"引")+COUNTIFS($V$46:$V$75,2,$W$46:$W$75,"引")</f>
        <v>0</v>
      </c>
      <c r="BM68" s="240">
        <f>COUNTIFS($U$46:$U$75,1,$W$46:$W$75,"一")</f>
        <v>0</v>
      </c>
      <c r="BN68" s="240">
        <f>COUNTIFS($V$46:$V$75,1,$W$46:$W$75,"一")+COUNTIFS($V$46:$V$75,2,$W$46:$W$75,"一")</f>
        <v>0</v>
      </c>
      <c r="BO68"/>
      <c r="BP68"/>
      <c r="CC68" s="96" t="str">
        <f t="shared" si="39"/>
        <v>中泊/身・精</v>
      </c>
      <c r="CD68" s="99">
        <f t="shared" si="40"/>
        <v>0</v>
      </c>
      <c r="CE68" s="471">
        <f>IF(OR(BV26="",BV26=0),0,48)</f>
        <v>0</v>
      </c>
      <c r="CF68" s="471">
        <v>330</v>
      </c>
      <c r="CG68" s="474">
        <v>48</v>
      </c>
      <c r="CI68" s="235"/>
      <c r="CJ68" s="235"/>
    </row>
    <row r="69" spans="1:88" s="33" customFormat="1" ht="24.95" customHeight="1">
      <c r="A69" s="339">
        <v>44</v>
      </c>
      <c r="B69" s="1598"/>
      <c r="C69" s="1599"/>
      <c r="D69" s="1599"/>
      <c r="E69" s="1599"/>
      <c r="F69" s="1599"/>
      <c r="G69" s="1600"/>
      <c r="H69" s="340"/>
      <c r="I69" s="341"/>
      <c r="J69" s="342"/>
      <c r="K69" s="498"/>
      <c r="L69" s="498"/>
      <c r="M69" s="533"/>
      <c r="N69" s="509">
        <v>74</v>
      </c>
      <c r="O69" s="1598"/>
      <c r="P69" s="1599"/>
      <c r="Q69" s="1599"/>
      <c r="R69" s="1599"/>
      <c r="S69" s="1599"/>
      <c r="T69" s="1600"/>
      <c r="U69" s="340"/>
      <c r="V69" s="341"/>
      <c r="W69" s="342"/>
      <c r="X69" s="498"/>
      <c r="Y69" s="498"/>
      <c r="Z69" s="342"/>
      <c r="BA69" s="53">
        <v>66</v>
      </c>
      <c r="BB69" s="54">
        <f t="shared" si="36"/>
        <v>0</v>
      </c>
      <c r="BC69" s="50">
        <f t="shared" si="37"/>
        <v>0</v>
      </c>
      <c r="BD69" s="55">
        <f t="shared" si="38"/>
        <v>0</v>
      </c>
      <c r="BE69" s="55">
        <f t="shared" si="38"/>
        <v>0</v>
      </c>
      <c r="BF69" s="138">
        <v>5</v>
      </c>
      <c r="BG69" s="240">
        <f>COUNTIFS($H$89:$H$118,1,$J$89:$J$118,"小")</f>
        <v>0</v>
      </c>
      <c r="BH69" s="240">
        <f>COUNTIFS($I$89:$I$118,1,$J$89:$J$118,"小")+COUNTIFS($I$89:$I$118,2,$J$89:$J$118,"小")</f>
        <v>0</v>
      </c>
      <c r="BI69" s="240">
        <f>COUNTIFS($H$89:$H$118,1,$J$89:$J$118,"中")</f>
        <v>0</v>
      </c>
      <c r="BJ69" s="240">
        <f>COUNTIFS($I$89:$I$118,1,$J$89:$J$118,"中")+COUNTIFS($I$89:$I$118,2,$J$89:$J$118,"中")</f>
        <v>0</v>
      </c>
      <c r="BK69" s="240">
        <f>COUNTIFS($H$89:$H$118,1,$J$89:$J$118,"引")</f>
        <v>0</v>
      </c>
      <c r="BL69" s="240">
        <f>COUNTIFS($I$89:$I$118,1,$J$89:$J$118,"引")+COUNTIFS($I$89:$I$118,2,$J$89:$J$118,"引")</f>
        <v>0</v>
      </c>
      <c r="BM69" s="240">
        <f>COUNTIFS($H$89:$H$118,1,$J$89:$J$118,"一")</f>
        <v>0</v>
      </c>
      <c r="BN69" s="240">
        <f>COUNTIFS($I$89:$I$118,1,$J$89:$J$118,"一")+COUNTIFS($I$89:$I$118,2,$J$89:$J$118,"一")</f>
        <v>0</v>
      </c>
      <c r="BO69"/>
      <c r="BP69"/>
      <c r="CC69" s="96" t="e">
        <f>$BV$11&amp;#REF!</f>
        <v>#REF!</v>
      </c>
      <c r="CD69" s="99" t="e">
        <f>#REF!</f>
        <v>#REF!</v>
      </c>
      <c r="CE69" s="471" t="e">
        <f>IF(OR(#REF!="",#REF!=0),0,47)</f>
        <v>#REF!</v>
      </c>
      <c r="CF69" s="471">
        <v>330</v>
      </c>
      <c r="CG69" s="474">
        <v>47</v>
      </c>
      <c r="CI69" s="235"/>
      <c r="CJ69" s="235"/>
    </row>
    <row r="70" spans="1:88" s="33" customFormat="1" ht="24.95" customHeight="1">
      <c r="A70" s="339">
        <v>45</v>
      </c>
      <c r="B70" s="1598"/>
      <c r="C70" s="1599"/>
      <c r="D70" s="1599"/>
      <c r="E70" s="1599"/>
      <c r="F70" s="1599"/>
      <c r="G70" s="1600"/>
      <c r="H70" s="340"/>
      <c r="I70" s="341"/>
      <c r="J70" s="342"/>
      <c r="K70" s="498"/>
      <c r="L70" s="498"/>
      <c r="M70" s="533"/>
      <c r="N70" s="509">
        <v>75</v>
      </c>
      <c r="O70" s="1598"/>
      <c r="P70" s="1599"/>
      <c r="Q70" s="1599"/>
      <c r="R70" s="1599"/>
      <c r="S70" s="1599"/>
      <c r="T70" s="1600"/>
      <c r="U70" s="340"/>
      <c r="V70" s="341"/>
      <c r="W70" s="342"/>
      <c r="X70" s="498"/>
      <c r="Y70" s="498"/>
      <c r="Z70" s="342"/>
      <c r="BA70" s="53">
        <v>67</v>
      </c>
      <c r="BB70" s="54">
        <f t="shared" si="36"/>
        <v>0</v>
      </c>
      <c r="BC70" s="50">
        <f t="shared" si="37"/>
        <v>0</v>
      </c>
      <c r="BD70" s="55">
        <f t="shared" si="38"/>
        <v>0</v>
      </c>
      <c r="BE70" s="55">
        <f t="shared" si="38"/>
        <v>0</v>
      </c>
      <c r="BF70" s="138">
        <v>6</v>
      </c>
      <c r="BG70" s="240">
        <f>COUNTIFS($U$89:$U$118,1,$W$89:$W$118,"小")</f>
        <v>0</v>
      </c>
      <c r="BH70" s="240">
        <f>COUNTIFS($V$89:$V$118,1,$W$89:$W$118,"小")+COUNTIFS($V$89:$V$118,2,$W$89:$W$118,"小")</f>
        <v>0</v>
      </c>
      <c r="BI70" s="240">
        <f>COUNTIFS($U$89:$U$118,1,$W$89:$W$118,"中")</f>
        <v>0</v>
      </c>
      <c r="BJ70" s="240">
        <f>COUNTIFS($V$89:$V$118,1,$W$89:$W$118,"中")+COUNTIFS($V$89:$V$118,2,$W$89:$W$118,"中")</f>
        <v>0</v>
      </c>
      <c r="BK70" s="240">
        <f>COUNTIFS($U$89:$U$118,1,$W$89:$W$118,"引")</f>
        <v>0</v>
      </c>
      <c r="BL70" s="240">
        <f>COUNTIFS($V$89:$V$118,1,$W$89:$W$118,"引")+COUNTIFS($V$89:$V$118,2,$W$89:$W$118,"引")</f>
        <v>0</v>
      </c>
      <c r="BM70" s="240">
        <f>COUNTIFS($U$89:$U$118,1,$W$89:$W$118,"一")</f>
        <v>0</v>
      </c>
      <c r="BN70" s="240">
        <f>COUNTIFS($V$89:$V$118,1,$W$89:$W$118,"一")+COUNTIFS($V$89:$V$118,2,$W$89:$W$118,"一")</f>
        <v>0</v>
      </c>
      <c r="BO70"/>
      <c r="BP70"/>
      <c r="CC70" s="96" t="e">
        <f>$BV$11&amp;#REF!</f>
        <v>#REF!</v>
      </c>
      <c r="CD70" s="99" t="e">
        <f>#REF!</f>
        <v>#REF!</v>
      </c>
      <c r="CE70" s="471" t="e">
        <f>IF(OR(#REF!="",#REF!=0),0,46)</f>
        <v>#REF!</v>
      </c>
      <c r="CF70" s="471">
        <v>330</v>
      </c>
      <c r="CG70" s="474">
        <v>46</v>
      </c>
      <c r="CI70" s="235"/>
      <c r="CJ70" s="235"/>
    </row>
    <row r="71" spans="1:88" s="33" customFormat="1" ht="24.95" customHeight="1">
      <c r="A71" s="339">
        <v>46</v>
      </c>
      <c r="B71" s="1598"/>
      <c r="C71" s="1599"/>
      <c r="D71" s="1599"/>
      <c r="E71" s="1599"/>
      <c r="F71" s="1599"/>
      <c r="G71" s="1600"/>
      <c r="H71" s="340"/>
      <c r="I71" s="341"/>
      <c r="J71" s="342"/>
      <c r="K71" s="498"/>
      <c r="L71" s="498"/>
      <c r="M71" s="533"/>
      <c r="N71" s="509">
        <v>76</v>
      </c>
      <c r="O71" s="1598"/>
      <c r="P71" s="1599"/>
      <c r="Q71" s="1599"/>
      <c r="R71" s="1599"/>
      <c r="S71" s="1599"/>
      <c r="T71" s="1600"/>
      <c r="U71" s="340"/>
      <c r="V71" s="341"/>
      <c r="W71" s="342"/>
      <c r="X71" s="498"/>
      <c r="Y71" s="498"/>
      <c r="Z71" s="342"/>
      <c r="BA71" s="53">
        <v>68</v>
      </c>
      <c r="BB71" s="54">
        <f t="shared" si="36"/>
        <v>0</v>
      </c>
      <c r="BC71" s="50">
        <f t="shared" si="37"/>
        <v>0</v>
      </c>
      <c r="BD71" s="55">
        <f t="shared" si="38"/>
        <v>0</v>
      </c>
      <c r="BE71" s="55">
        <f t="shared" si="38"/>
        <v>0</v>
      </c>
      <c r="BF71" s="138">
        <v>7</v>
      </c>
      <c r="BG71" s="240">
        <f>COUNTIFS($H$132:$H$161,1,$J$132:$J$161,"小")</f>
        <v>0</v>
      </c>
      <c r="BH71" s="240">
        <f>COUNTIFS($I$132:$I$161,1,$J$132:$J$161,"小")+COUNTIFS($I$132:$I$161,2,$J$132:$J$161,"小")</f>
        <v>0</v>
      </c>
      <c r="BI71" s="240">
        <f>COUNTIFS($H$132:$H$161,1,$J$132:$J$161,"中")</f>
        <v>0</v>
      </c>
      <c r="BJ71" s="240">
        <f>COUNTIFS($I$132:$I$161,1,$J$132:$J$161,"中")+COUNTIFS($I$132:$I$161,2,$J$132:$J$161,"中")</f>
        <v>0</v>
      </c>
      <c r="BK71" s="240">
        <f>COUNTIFS($H$132:$H$161,1,$J$132:$J$161,"引")</f>
        <v>0</v>
      </c>
      <c r="BL71" s="240">
        <f>COUNTIFS($I$132:$I$161,1,$J$132:$J$161,"引")+COUNTIFS($I$132:$I$161,2,$J$132:$J$161,"引")</f>
        <v>0</v>
      </c>
      <c r="BM71" s="240">
        <f>COUNTIFS($H$132:$H$161,1,$J$132:$J$161,"一")</f>
        <v>0</v>
      </c>
      <c r="BN71" s="240">
        <f>COUNTIFS($I$132:$I$161,1,$J$132:$J$161,"一")+COUNTIFS($I$132:$I$161,2,$J$132:$J$161,"一")</f>
        <v>0</v>
      </c>
      <c r="BO71"/>
      <c r="BP71"/>
      <c r="CC71" s="96" t="e">
        <f>$BV$11&amp;#REF!</f>
        <v>#REF!</v>
      </c>
      <c r="CD71" s="99" t="e">
        <f>#REF!</f>
        <v>#REF!</v>
      </c>
      <c r="CE71" s="471" t="e">
        <f>IF(OR(#REF!="",#REF!=0),0,45)</f>
        <v>#REF!</v>
      </c>
      <c r="CF71" s="471">
        <v>330</v>
      </c>
      <c r="CG71" s="474">
        <v>45</v>
      </c>
      <c r="CI71" s="235"/>
      <c r="CJ71" s="235"/>
    </row>
    <row r="72" spans="1:88" s="33" customFormat="1" ht="24.95" customHeight="1">
      <c r="A72" s="339">
        <v>47</v>
      </c>
      <c r="B72" s="1598"/>
      <c r="C72" s="1599"/>
      <c r="D72" s="1599"/>
      <c r="E72" s="1599"/>
      <c r="F72" s="1599"/>
      <c r="G72" s="1600"/>
      <c r="H72" s="340"/>
      <c r="I72" s="341"/>
      <c r="J72" s="342"/>
      <c r="K72" s="498"/>
      <c r="L72" s="498"/>
      <c r="M72" s="533"/>
      <c r="N72" s="509">
        <v>77</v>
      </c>
      <c r="O72" s="1605"/>
      <c r="P72" s="1599"/>
      <c r="Q72" s="1599"/>
      <c r="R72" s="1599"/>
      <c r="S72" s="1599"/>
      <c r="T72" s="1600"/>
      <c r="U72" s="340"/>
      <c r="V72" s="341"/>
      <c r="W72" s="342"/>
      <c r="X72" s="498"/>
      <c r="Y72" s="498"/>
      <c r="Z72" s="342"/>
      <c r="BA72" s="53">
        <v>69</v>
      </c>
      <c r="BB72" s="54">
        <f t="shared" si="36"/>
        <v>0</v>
      </c>
      <c r="BC72" s="50">
        <f t="shared" si="37"/>
        <v>0</v>
      </c>
      <c r="BD72" s="55">
        <f t="shared" si="38"/>
        <v>0</v>
      </c>
      <c r="BE72" s="55">
        <f t="shared" si="38"/>
        <v>0</v>
      </c>
      <c r="BF72" s="138">
        <v>8</v>
      </c>
      <c r="BG72" s="240">
        <f>COUNTIFS($U$132:$U$161,1,$W$132:$W$161,"小")</f>
        <v>0</v>
      </c>
      <c r="BH72" s="240">
        <f>COUNTIFS($V$132:$V$161,1,$W$132:$W$161,"小")+COUNTIFS($V$132:$V$161,2,$W$132:$W$161,"小")</f>
        <v>0</v>
      </c>
      <c r="BI72" s="240">
        <f>COUNTIFS($U$132:$U$161,1,$W$132:$W$161,"中")</f>
        <v>0</v>
      </c>
      <c r="BJ72" s="240">
        <f>COUNTIFS($V$132:$V$161,1,$W$132:$W$161,"中")+COUNTIFS($V$132:$V$161,2,$W$132:$W$161,"中")</f>
        <v>0</v>
      </c>
      <c r="BK72" s="240">
        <f>COUNTIFS($U$132:$U$161,1,$W$132:$W$161,"引")</f>
        <v>0</v>
      </c>
      <c r="BL72" s="240">
        <f>COUNTIFS($V$132:$V$161,1,$W$132:$W$161,"引")+COUNTIFS($V$132:$V$161,2,$W$132:$W$161,"引")</f>
        <v>0</v>
      </c>
      <c r="BM72" s="240">
        <f>COUNTIFS($U$132:$U$161,1,$W$132:$W$161,"一")</f>
        <v>0</v>
      </c>
      <c r="BN72" s="240">
        <f>COUNTIFS($V$132:$V$161,1,$W$132:$W$161,"一")+COUNTIFS($V$132:$V$161,2,$W$132:$W$161,"一")</f>
        <v>0</v>
      </c>
      <c r="BO72"/>
      <c r="BP72"/>
      <c r="CC72" s="96" t="e">
        <f>$BV$11&amp;#REF!</f>
        <v>#REF!</v>
      </c>
      <c r="CD72" s="99" t="e">
        <f>#REF!</f>
        <v>#REF!</v>
      </c>
      <c r="CE72" s="471" t="e">
        <f>IF(OR(#REF!="",#REF!=0),0,44)</f>
        <v>#REF!</v>
      </c>
      <c r="CF72" s="471">
        <v>330</v>
      </c>
      <c r="CG72" s="474">
        <v>44</v>
      </c>
      <c r="CI72" s="235"/>
      <c r="CJ72" s="235"/>
    </row>
    <row r="73" spans="1:88" s="33" customFormat="1" ht="24.95" customHeight="1">
      <c r="A73" s="339">
        <v>48</v>
      </c>
      <c r="B73" s="1598"/>
      <c r="C73" s="1599"/>
      <c r="D73" s="1599"/>
      <c r="E73" s="1599"/>
      <c r="F73" s="1599"/>
      <c r="G73" s="1600"/>
      <c r="H73" s="340"/>
      <c r="I73" s="341"/>
      <c r="J73" s="342"/>
      <c r="K73" s="498"/>
      <c r="L73" s="498"/>
      <c r="M73" s="533"/>
      <c r="N73" s="509">
        <v>78</v>
      </c>
      <c r="O73" s="1605"/>
      <c r="P73" s="1599"/>
      <c r="Q73" s="1599"/>
      <c r="R73" s="1599"/>
      <c r="S73" s="1599"/>
      <c r="T73" s="1600"/>
      <c r="U73" s="340"/>
      <c r="V73" s="341"/>
      <c r="W73" s="342"/>
      <c r="X73" s="498"/>
      <c r="Y73" s="498"/>
      <c r="Z73" s="342"/>
      <c r="BA73" s="53">
        <v>70</v>
      </c>
      <c r="BB73" s="54">
        <f t="shared" si="36"/>
        <v>0</v>
      </c>
      <c r="BC73" s="50">
        <f t="shared" si="37"/>
        <v>0</v>
      </c>
      <c r="BD73" s="55">
        <f t="shared" si="38"/>
        <v>0</v>
      </c>
      <c r="BE73" s="55">
        <f t="shared" si="38"/>
        <v>0</v>
      </c>
      <c r="BF73" s="138">
        <v>9</v>
      </c>
      <c r="BG73" s="6">
        <f>COUNTIFS($H$175:$H$204,1,$J$175:$J$204,"小")</f>
        <v>0</v>
      </c>
      <c r="BH73" s="240">
        <f>COUNTIFS($I$175:$I$204,1,$J$175:$J$204,"小")+COUNTIFS($I$175:$I$204,2,$J$175:$J$204,"小")</f>
        <v>0</v>
      </c>
      <c r="BI73" s="6">
        <f>COUNTIFS($H$175:$H$204,1,$J$175:$J$204,"中")</f>
        <v>0</v>
      </c>
      <c r="BJ73" s="240">
        <f>COUNTIFS($I$175:$I$204,1,$J$175:$J$204,"中")+COUNTIFS($I$175:$I$204,2,$J$175:$J$204,"中")</f>
        <v>0</v>
      </c>
      <c r="BK73" s="6">
        <f>COUNTIFS($H$175:$H$204,1,$J$175:$J$204,"引")</f>
        <v>0</v>
      </c>
      <c r="BL73" s="240">
        <f>COUNTIFS($I$175:$I$204,1,$J$175:$J$204,"引")+COUNTIFS($I$175:$I$204,2,$J$175:$J$204,"引")</f>
        <v>0</v>
      </c>
      <c r="BM73" s="6">
        <f>COUNTIFS($H$175:$H$204,1,$J$175:$J$204,"一")</f>
        <v>0</v>
      </c>
      <c r="BN73" s="240">
        <f>COUNTIFS($I$175:$I$204,1,$J$175:$J$204,"一")+COUNTIFS($I$175:$I$204,2,$J$175:$J$204,"一")</f>
        <v>0</v>
      </c>
      <c r="BO73"/>
      <c r="BP73"/>
      <c r="CC73" s="96" t="e">
        <f>$BV$11&amp;#REF!</f>
        <v>#REF!</v>
      </c>
      <c r="CD73" s="99" t="e">
        <f>#REF!</f>
        <v>#REF!</v>
      </c>
      <c r="CE73" s="471" t="e">
        <f>IF(OR(#REF!="",#REF!=0),0,43)</f>
        <v>#REF!</v>
      </c>
      <c r="CF73" s="471">
        <v>330</v>
      </c>
      <c r="CG73" s="474">
        <v>43</v>
      </c>
      <c r="CI73" s="235"/>
      <c r="CJ73" s="235"/>
    </row>
    <row r="74" spans="1:88" s="33" customFormat="1" ht="24.95" customHeight="1">
      <c r="A74" s="339">
        <v>49</v>
      </c>
      <c r="B74" s="1598"/>
      <c r="C74" s="1599"/>
      <c r="D74" s="1599"/>
      <c r="E74" s="1599"/>
      <c r="F74" s="1599"/>
      <c r="G74" s="1600"/>
      <c r="H74" s="340"/>
      <c r="I74" s="341"/>
      <c r="J74" s="342"/>
      <c r="K74" s="498"/>
      <c r="L74" s="498"/>
      <c r="M74" s="533"/>
      <c r="N74" s="509">
        <v>79</v>
      </c>
      <c r="O74" s="1605"/>
      <c r="P74" s="1599"/>
      <c r="Q74" s="1599"/>
      <c r="R74" s="1599"/>
      <c r="S74" s="1599"/>
      <c r="T74" s="1600"/>
      <c r="U74" s="340"/>
      <c r="V74" s="341"/>
      <c r="W74" s="342"/>
      <c r="X74" s="498"/>
      <c r="Y74" s="498"/>
      <c r="Z74" s="342"/>
      <c r="BA74" s="53">
        <v>71</v>
      </c>
      <c r="BB74" s="54">
        <f t="shared" si="36"/>
        <v>0</v>
      </c>
      <c r="BC74" s="50">
        <f t="shared" si="37"/>
        <v>0</v>
      </c>
      <c r="BD74" s="55">
        <f t="shared" si="38"/>
        <v>0</v>
      </c>
      <c r="BE74" s="55">
        <f t="shared" si="38"/>
        <v>0</v>
      </c>
      <c r="BF74" s="138">
        <v>10</v>
      </c>
      <c r="BG74" s="6">
        <f>COUNTIFS($U$175:$U$204,1,$W$175:$W$204,"小")</f>
        <v>0</v>
      </c>
      <c r="BH74" s="240">
        <f>COUNTIFS($V$175:$V$204,1,$W$175:$W$204,"小")+COUNTIFS($V$175:$V$204,2,$W$175:$W$204,"小")</f>
        <v>0</v>
      </c>
      <c r="BI74" s="6">
        <f>COUNTIFS($U$175:$U$204,1,$W$175:$W$204,"中")</f>
        <v>0</v>
      </c>
      <c r="BJ74" s="240">
        <f>COUNTIFS($V$175:$V$204,1,$W$175:$W$204,"中")+COUNTIFS($V$175:$V$204,2,$W$175:$W$204,"中")</f>
        <v>0</v>
      </c>
      <c r="BK74" s="6">
        <f>COUNTIFS($U$175:$U$204,1,$W$175:$W$204,"引")</f>
        <v>0</v>
      </c>
      <c r="BL74" s="240">
        <f>COUNTIFS($V$175:$V$204,1,$W$175:$W$204,"引")+COUNTIFS($V$175:$V$204,2,$W$175:$W$204,"引")</f>
        <v>0</v>
      </c>
      <c r="BM74" s="6">
        <f>COUNTIFS($U$175:$U$204,1,$W$175:$W$204,"一")</f>
        <v>0</v>
      </c>
      <c r="BN74" s="240">
        <f>COUNTIFS($V$175:$V$204,1,$W$175:$W$204,"一")+COUNTIFS($V$175:$V$204,2,$W$175:$W$204,"一")</f>
        <v>0</v>
      </c>
      <c r="BO74"/>
      <c r="BP74"/>
      <c r="CC74" s="96" t="e">
        <f>$BV$11&amp;#REF!</f>
        <v>#REF!</v>
      </c>
      <c r="CD74" s="99" t="e">
        <f>#REF!</f>
        <v>#REF!</v>
      </c>
      <c r="CE74" s="471" t="e">
        <f>IF(OR(#REF!="",#REF!=0),0,42)</f>
        <v>#REF!</v>
      </c>
      <c r="CF74" s="471">
        <v>330</v>
      </c>
      <c r="CG74" s="474">
        <v>42</v>
      </c>
      <c r="CI74" s="235"/>
      <c r="CJ74" s="235"/>
    </row>
    <row r="75" spans="1:88" s="33" customFormat="1" ht="24.95" customHeight="1">
      <c r="A75" s="339">
        <v>50</v>
      </c>
      <c r="B75" s="1598"/>
      <c r="C75" s="1599"/>
      <c r="D75" s="1599"/>
      <c r="E75" s="1599"/>
      <c r="F75" s="1599"/>
      <c r="G75" s="1600"/>
      <c r="H75" s="340"/>
      <c r="I75" s="341"/>
      <c r="J75" s="342"/>
      <c r="K75" s="498"/>
      <c r="L75" s="498"/>
      <c r="M75" s="533"/>
      <c r="N75" s="509">
        <v>80</v>
      </c>
      <c r="O75" s="1605"/>
      <c r="P75" s="1599"/>
      <c r="Q75" s="1599"/>
      <c r="R75" s="1599"/>
      <c r="S75" s="1599"/>
      <c r="T75" s="1600"/>
      <c r="U75" s="340"/>
      <c r="V75" s="341"/>
      <c r="W75" s="342"/>
      <c r="X75" s="498"/>
      <c r="Y75" s="498"/>
      <c r="Z75" s="342"/>
      <c r="BA75" s="53">
        <v>72</v>
      </c>
      <c r="BB75" s="54">
        <f t="shared" si="36"/>
        <v>0</v>
      </c>
      <c r="BC75" s="50">
        <f t="shared" si="37"/>
        <v>0</v>
      </c>
      <c r="BD75" s="55">
        <f t="shared" si="38"/>
        <v>0</v>
      </c>
      <c r="BE75" s="55">
        <f t="shared" si="38"/>
        <v>0</v>
      </c>
      <c r="BF75" s="138">
        <v>11</v>
      </c>
      <c r="BG75" s="6">
        <f>COUNTIFS($H$218:$H$247,1,$J$218:$J$247,"小")</f>
        <v>0</v>
      </c>
      <c r="BH75" s="240">
        <f>COUNTIFS($I$218:$I$247,1,$J$218:$J$247,"小")+COUNTIFS($I$218:$I$247,2,$J$218:$J$247,"小")</f>
        <v>0</v>
      </c>
      <c r="BI75" s="6">
        <f>COUNTIFS($H$218:$H$247,1,$J$218:$J$247,"中")</f>
        <v>0</v>
      </c>
      <c r="BJ75" s="240">
        <f>COUNTIFS($I$218:$I$247,1,$J$218:$J$247,"中")+COUNTIFS($I$218:$I$247,2,$J$218:$J$247,"中")</f>
        <v>0</v>
      </c>
      <c r="BK75" s="6">
        <f>COUNTIFS($H$218:$H$247,1,$J$218:$J$247,"引")</f>
        <v>0</v>
      </c>
      <c r="BL75" s="240">
        <f>COUNTIFS($I$218:$I$247,1,$J$218:$J$247,"引")+COUNTIFS($I$218:$I$247,2,$J$218:$J$247,"引")</f>
        <v>0</v>
      </c>
      <c r="BM75" s="6">
        <f>COUNTIFS($H$218:$H$247,1,$J$218:$J$247,"一")</f>
        <v>0</v>
      </c>
      <c r="BN75" s="240">
        <f>COUNTIFS($I$218:$I$247,1,$J$218:$J$247,"一")+COUNTIFS($I$218:$I$247,2,$J$218:$J$247,"一")</f>
        <v>0</v>
      </c>
      <c r="BO75"/>
      <c r="BP75"/>
      <c r="CC75" s="96" t="e">
        <f>$BV$11&amp;#REF!</f>
        <v>#REF!</v>
      </c>
      <c r="CD75" s="99" t="e">
        <f>#REF!</f>
        <v>#REF!</v>
      </c>
      <c r="CE75" s="471" t="e">
        <f>IF(OR(#REF!="",#REF!=0),0,41)</f>
        <v>#REF!</v>
      </c>
      <c r="CF75" s="471">
        <v>330</v>
      </c>
      <c r="CG75" s="474">
        <v>41</v>
      </c>
      <c r="CI75" s="235"/>
      <c r="CJ75" s="235"/>
    </row>
    <row r="76" spans="1:88" s="33" customFormat="1" ht="24" customHeight="1" thickBot="1">
      <c r="A76" s="353"/>
      <c r="B76" s="350"/>
      <c r="C76" s="350"/>
      <c r="D76" s="350"/>
      <c r="E76" s="350"/>
      <c r="F76" s="350"/>
      <c r="G76" s="350"/>
      <c r="H76" s="350"/>
      <c r="I76" s="350"/>
      <c r="J76" s="350"/>
      <c r="K76" s="350"/>
      <c r="L76" s="350"/>
      <c r="M76" s="350"/>
      <c r="N76" s="350"/>
      <c r="O76" s="350"/>
      <c r="P76" s="350"/>
      <c r="Q76" s="350"/>
      <c r="R76" s="350"/>
      <c r="S76" s="350"/>
      <c r="T76" s="350"/>
      <c r="U76" s="350"/>
      <c r="V76" s="350"/>
      <c r="W76" s="350"/>
      <c r="X76" s="350"/>
      <c r="Y76" s="350"/>
      <c r="Z76" s="350"/>
      <c r="BA76" s="53">
        <v>73</v>
      </c>
      <c r="BB76" s="54">
        <f t="shared" si="36"/>
        <v>0</v>
      </c>
      <c r="BC76" s="50">
        <f t="shared" si="37"/>
        <v>0</v>
      </c>
      <c r="BD76" s="55">
        <f t="shared" si="38"/>
        <v>0</v>
      </c>
      <c r="BE76" s="55">
        <f t="shared" si="38"/>
        <v>0</v>
      </c>
      <c r="BF76" s="241">
        <v>12</v>
      </c>
      <c r="BG76" s="242">
        <f>COUNTIFS($U$218:$U$247,1,$W$218:$W$247,"小")</f>
        <v>0</v>
      </c>
      <c r="BH76" s="243">
        <f>COUNTIFS($V$218:$V$247,1,$W$218:$W$247,"小")+COUNTIFS($V$218:$V$247,2,$W$218:$W$247,"小")</f>
        <v>0</v>
      </c>
      <c r="BI76" s="242">
        <f>COUNTIFS($U$218:$U$247,1,$W$218:$W$247,"中")</f>
        <v>0</v>
      </c>
      <c r="BJ76" s="243">
        <f>COUNTIFS($V$218:$V$247,1,$W$218:$W$247,"中")+COUNTIFS($V$218:$V$247,2,$W$218:$W$247,"中")</f>
        <v>0</v>
      </c>
      <c r="BK76" s="242">
        <f>COUNTIFS($U$218:$U$247,1,$W$218:$W$247,"引")</f>
        <v>0</v>
      </c>
      <c r="BL76" s="243">
        <f>COUNTIFS($V$218:$V$247,1,$W$218:$W$247,"引")+COUNTIFS($V$218:$V$247,2,$W$218:$W$247,"引")</f>
        <v>0</v>
      </c>
      <c r="BM76" s="242">
        <f>COUNTIFS($U$218:$U$247,1,$W$218:$W$247,"一")</f>
        <v>0</v>
      </c>
      <c r="BN76" s="243">
        <f>COUNTIFS($V$218:$V$247,1,$W$218:$W$247,"一")+COUNTIFS($V$218:$V$247,2,$W$218:$W$247,"一")</f>
        <v>0</v>
      </c>
      <c r="BO76"/>
      <c r="BP76"/>
      <c r="CC76" s="96" t="e">
        <f>$BV$11&amp;#REF!</f>
        <v>#REF!</v>
      </c>
      <c r="CD76" s="99" t="e">
        <f>#REF!</f>
        <v>#REF!</v>
      </c>
      <c r="CE76" s="471" t="e">
        <f>IF(OR(#REF!="",#REF!=0),0,40)</f>
        <v>#REF!</v>
      </c>
      <c r="CF76" s="471">
        <v>330</v>
      </c>
      <c r="CG76" s="474">
        <v>40</v>
      </c>
      <c r="CI76" s="235"/>
      <c r="CJ76" s="235"/>
    </row>
    <row r="77" spans="1:88" s="33" customFormat="1" ht="24.95" customHeight="1" thickBot="1">
      <c r="A77" s="1185" t="s">
        <v>303</v>
      </c>
      <c r="B77" s="1185"/>
      <c r="C77" s="1185"/>
      <c r="D77" s="1185"/>
      <c r="E77" s="1185"/>
      <c r="F77" s="1185"/>
      <c r="G77" s="1185"/>
      <c r="H77" s="1185"/>
      <c r="I77" s="1185"/>
      <c r="J77" s="1185"/>
      <c r="K77" s="1185"/>
      <c r="L77" s="1185"/>
      <c r="M77" s="1185"/>
      <c r="N77" s="1185"/>
      <c r="O77" s="1185"/>
      <c r="P77" s="1185"/>
      <c r="Q77" s="1185"/>
      <c r="R77" s="1185"/>
      <c r="S77" s="1185"/>
      <c r="T77" s="1185"/>
      <c r="U77" s="1185"/>
      <c r="V77" s="1185"/>
      <c r="W77" s="1185"/>
      <c r="X77" s="1185"/>
      <c r="Y77" s="1185"/>
      <c r="Z77" s="1185"/>
      <c r="AD77" s="463"/>
      <c r="AE77" s="173"/>
      <c r="BA77" s="53">
        <v>74</v>
      </c>
      <c r="BB77" s="54">
        <f t="shared" si="36"/>
        <v>0</v>
      </c>
      <c r="BC77" s="50">
        <f t="shared" si="37"/>
        <v>0</v>
      </c>
      <c r="BD77" s="55">
        <f t="shared" si="38"/>
        <v>0</v>
      </c>
      <c r="BE77" s="55">
        <f t="shared" si="38"/>
        <v>0</v>
      </c>
      <c r="BF77" s="245" t="s">
        <v>456</v>
      </c>
      <c r="BG77" s="246">
        <f>SUM(BG65:BG76)</f>
        <v>0</v>
      </c>
      <c r="BH77" s="246">
        <f t="shared" ref="BH77:BN77" si="41">SUM(BH65:BH76)</f>
        <v>0</v>
      </c>
      <c r="BI77" s="246">
        <f t="shared" si="41"/>
        <v>0</v>
      </c>
      <c r="BJ77" s="246">
        <f t="shared" si="41"/>
        <v>0</v>
      </c>
      <c r="BK77" s="246">
        <f t="shared" si="41"/>
        <v>0</v>
      </c>
      <c r="BL77" s="246">
        <f t="shared" si="41"/>
        <v>0</v>
      </c>
      <c r="BM77" s="246">
        <f t="shared" si="41"/>
        <v>0</v>
      </c>
      <c r="BN77" s="247">
        <f t="shared" si="41"/>
        <v>0</v>
      </c>
      <c r="BO77"/>
      <c r="BP77"/>
      <c r="CC77" s="96" t="e">
        <f>$BV$11&amp;#REF!</f>
        <v>#REF!</v>
      </c>
      <c r="CD77" s="99" t="e">
        <f>#REF!</f>
        <v>#REF!</v>
      </c>
      <c r="CE77" s="471" t="e">
        <f>IF(OR(#REF!="",#REF!=0),0,39)</f>
        <v>#REF!</v>
      </c>
      <c r="CF77" s="471">
        <v>330</v>
      </c>
      <c r="CG77" s="474">
        <v>39</v>
      </c>
      <c r="CI77" s="235"/>
      <c r="CJ77" s="235"/>
    </row>
    <row r="78" spans="1:88" ht="24" thickBot="1">
      <c r="A78" s="331">
        <f>COUNTIFS(K89:K118,"a",H89:H118,"&gt;0")</f>
        <v>0</v>
      </c>
      <c r="B78" s="331">
        <f>COUNTIFS(X89:X118,"a",U89:U118,"&gt;0")</f>
        <v>0</v>
      </c>
      <c r="C78" s="331">
        <f>COUNTIFS(K89:K118,"b",H89:H118,"&gt;0")</f>
        <v>0</v>
      </c>
      <c r="D78" s="331">
        <f>COUNTIFS(X89:X118,"b",U89:U118,"&gt;0")</f>
        <v>0</v>
      </c>
      <c r="E78" s="331">
        <f>COUNTIFS(K89:K118,"c",H89:H118,"&gt;0")</f>
        <v>0</v>
      </c>
      <c r="F78" s="331">
        <f>COUNTIFS(X89:X118,"c",U89:U118,"&gt;0")</f>
        <v>0</v>
      </c>
      <c r="G78" s="331">
        <f>COUNTIFS(K89:K118,"d",H89:H118,"&gt;0")</f>
        <v>0</v>
      </c>
      <c r="H78" s="331">
        <f>COUNTIFS(X89:X118,"d",U89:U118,"&gt;0")</f>
        <v>0</v>
      </c>
      <c r="I78" s="331">
        <f>COUNTIFS(K89:K118,"e",H89:H118,"&gt;0")</f>
        <v>0</v>
      </c>
      <c r="J78" s="331">
        <f>COUNTIFS(X89:X118,"e",U89:U118,"&gt;0")</f>
        <v>0</v>
      </c>
      <c r="K78" s="331">
        <f>COUNTIFS(K89:K118,"f",H89:H118,"&gt;0")</f>
        <v>0</v>
      </c>
      <c r="L78" s="331">
        <f>COUNTIFS(X89:X118,"f",U89:U118,"&gt;0")</f>
        <v>0</v>
      </c>
      <c r="M78" s="331">
        <f>COUNTIFS(K89:K118,"g",H89:H118,"&gt;0")</f>
        <v>0</v>
      </c>
      <c r="N78" s="331">
        <f>COUNTIFS(X89:X118,"g",U89:U118,"&gt;0")</f>
        <v>0</v>
      </c>
      <c r="O78" s="331">
        <f>COUNTIFS(K89:K118,"h",H89:H118,"&gt;0")</f>
        <v>0</v>
      </c>
      <c r="P78" s="331">
        <f>COUNTIFS(X89:X118,"h",U89:U118,"&gt;0")</f>
        <v>0</v>
      </c>
      <c r="Q78" s="331">
        <f>COUNTIFS(K89:K118,"i",H89:H118,"&gt;0")</f>
        <v>0</v>
      </c>
      <c r="R78" s="331">
        <f>COUNTIFS(X89:X118,"i",U89:U118,"&gt;0")</f>
        <v>0</v>
      </c>
      <c r="S78" s="332">
        <f>SUM(A78:R78)</f>
        <v>0</v>
      </c>
      <c r="T78" s="332"/>
      <c r="U78" s="332"/>
      <c r="V78" s="332"/>
      <c r="W78" s="1603" t="s">
        <v>308</v>
      </c>
      <c r="X78" s="1603"/>
      <c r="Y78" s="1603">
        <v>3</v>
      </c>
      <c r="Z78" s="1603"/>
      <c r="AA78" s="8"/>
      <c r="AB78" s="8"/>
      <c r="AC78" s="8"/>
      <c r="AD78" s="464"/>
      <c r="AE78" s="173"/>
      <c r="AF78" s="8"/>
      <c r="AG78" s="8"/>
      <c r="AH78" s="8"/>
      <c r="AI78" s="8"/>
      <c r="AJ78" s="8"/>
      <c r="AK78" s="8"/>
      <c r="AL78" s="8"/>
      <c r="AM78" s="8"/>
      <c r="AN78" s="8"/>
      <c r="AO78" s="8"/>
      <c r="AP78" s="8"/>
      <c r="AQ78" s="8"/>
      <c r="AR78" s="8"/>
      <c r="AS78" s="8"/>
      <c r="AT78" s="8"/>
      <c r="AU78" s="8"/>
      <c r="AV78" s="8"/>
      <c r="AW78" s="8"/>
      <c r="AX78" s="8"/>
      <c r="AY78" s="8"/>
      <c r="AZ78" s="8"/>
      <c r="BA78" s="53">
        <v>75</v>
      </c>
      <c r="BB78" s="54">
        <f t="shared" si="36"/>
        <v>0</v>
      </c>
      <c r="BC78" s="50">
        <f t="shared" si="37"/>
        <v>0</v>
      </c>
      <c r="BD78" s="55">
        <f t="shared" si="38"/>
        <v>0</v>
      </c>
      <c r="BE78" s="55">
        <f t="shared" si="38"/>
        <v>0</v>
      </c>
      <c r="BF78" s="244"/>
      <c r="BJ78" s="106"/>
      <c r="BL78">
        <f t="shared" ref="BL78:BL92" si="42">I61</f>
        <v>0</v>
      </c>
      <c r="BN78" s="106"/>
      <c r="CC78" s="96" t="e">
        <f>$BV$11&amp;#REF!</f>
        <v>#REF!</v>
      </c>
      <c r="CD78" s="99" t="e">
        <f>#REF!</f>
        <v>#REF!</v>
      </c>
      <c r="CE78" s="471" t="e">
        <f>IF(OR(#REF!="",#REF!=0),0,38)</f>
        <v>#REF!</v>
      </c>
      <c r="CF78" s="471">
        <v>330</v>
      </c>
      <c r="CG78" s="474">
        <v>38</v>
      </c>
    </row>
    <row r="79" spans="1:88" ht="23.25">
      <c r="A79" s="331">
        <f>COUNTIFS(K89:K118,"a",I89:I118,"&gt;0")</f>
        <v>0</v>
      </c>
      <c r="B79" s="331">
        <f>COUNTIFS(X89:X118,"a",V89:V118,"&gt;0")</f>
        <v>0</v>
      </c>
      <c r="C79" s="331">
        <f>COUNTIFS(K89:K118,"b",I89:I118,"&gt;0")</f>
        <v>0</v>
      </c>
      <c r="D79" s="331">
        <f>COUNTIFS(X89:X118,"b",V89:V118,"&gt;0")</f>
        <v>0</v>
      </c>
      <c r="E79" s="331">
        <f>COUNTIFS(K89:K118,"c",I89:I118,"&gt;0")</f>
        <v>0</v>
      </c>
      <c r="F79" s="331">
        <f>COUNTIFS(X89:X118,"c",V89:V118,"&gt;0")</f>
        <v>0</v>
      </c>
      <c r="G79" s="331">
        <f>COUNTIFS(K89:K118,"d",I89:I118,"&gt;0")</f>
        <v>0</v>
      </c>
      <c r="H79" s="331">
        <f>COUNTIFS(X89:X118,"d",V89:V118,"&gt;0")</f>
        <v>0</v>
      </c>
      <c r="I79" s="331">
        <f>COUNTIFS(K89:K118,"e",I89:I118,"&gt;0")</f>
        <v>0</v>
      </c>
      <c r="J79" s="331">
        <f>COUNTIFS(X89:X118,"e",V89:V118,"&gt;0")</f>
        <v>0</v>
      </c>
      <c r="K79" s="331">
        <f>COUNTIFS(K89:K118,"f",I89:I118,"&gt;0")</f>
        <v>0</v>
      </c>
      <c r="L79" s="331">
        <f>COUNTIFS(X89:X118,"f",V89:V118,"&gt;0")</f>
        <v>0</v>
      </c>
      <c r="M79" s="331">
        <f>COUNTIFS(K89:K118,"g",I89:I118,"&gt;0")</f>
        <v>0</v>
      </c>
      <c r="N79" s="331">
        <f>COUNTIFS(X89:X118,"g",V89:V118,"&gt;0")</f>
        <v>0</v>
      </c>
      <c r="O79" s="331">
        <f>COUNTIFS(K89:K118,"h",I89:I118,"&gt;0")</f>
        <v>0</v>
      </c>
      <c r="P79" s="331">
        <f>COUNTIFS(X89:X118,"h",V89:V118,"&gt;0")</f>
        <v>0</v>
      </c>
      <c r="Q79" s="331">
        <f>COUNTIFS(K89:K118,"i",I89:I118,"&gt;0")</f>
        <v>0</v>
      </c>
      <c r="R79" s="331">
        <f>COUNTIFS(X89:X118,"i",V89:V118,"&gt;0")</f>
        <v>0</v>
      </c>
      <c r="S79" s="332">
        <f>SUM(A79:R79)</f>
        <v>0</v>
      </c>
      <c r="T79" s="332"/>
      <c r="U79" s="332"/>
      <c r="V79" s="332"/>
      <c r="W79" s="333"/>
      <c r="X79" s="333"/>
      <c r="Y79" s="333"/>
      <c r="Z79" s="333"/>
      <c r="AA79" s="8"/>
      <c r="AB79" s="8"/>
      <c r="AC79" s="8"/>
      <c r="AD79" s="464"/>
      <c r="AE79" s="173"/>
      <c r="AF79" s="8"/>
      <c r="AG79" s="8"/>
      <c r="AH79" s="8"/>
      <c r="AJ79" s="8"/>
      <c r="AK79" s="8"/>
      <c r="AL79" s="8"/>
      <c r="AM79" s="8"/>
      <c r="AN79" s="8"/>
      <c r="AO79" s="8"/>
      <c r="AP79" s="8"/>
      <c r="AQ79" s="8"/>
      <c r="AR79" s="8"/>
      <c r="AS79" s="8"/>
      <c r="AT79" s="8"/>
      <c r="AU79" s="8"/>
      <c r="AV79" s="8"/>
      <c r="AW79" s="8"/>
      <c r="AX79" s="8"/>
      <c r="AY79" s="8"/>
      <c r="AZ79" s="8"/>
      <c r="BA79" s="53">
        <v>76</v>
      </c>
      <c r="BB79" s="54">
        <f t="shared" si="36"/>
        <v>0</v>
      </c>
      <c r="BC79" s="50">
        <f t="shared" si="37"/>
        <v>0</v>
      </c>
      <c r="BD79" s="55">
        <f t="shared" si="38"/>
        <v>0</v>
      </c>
      <c r="BE79" s="55">
        <f t="shared" si="38"/>
        <v>0</v>
      </c>
      <c r="BF79" s="244"/>
      <c r="BJ79" s="106"/>
      <c r="BL79">
        <f t="shared" si="42"/>
        <v>0</v>
      </c>
      <c r="BN79" s="106"/>
      <c r="CC79" s="96" t="str">
        <f t="shared" ref="CC79" si="43">$BV$11&amp;BF28</f>
        <v>中泊/特・療・精</v>
      </c>
      <c r="CD79" s="99">
        <f t="shared" ref="CD79" si="44">BV28</f>
        <v>0</v>
      </c>
      <c r="CE79" s="471">
        <f>IF(OR(BV28="",BV28=0),0,37)</f>
        <v>0</v>
      </c>
      <c r="CF79" s="471">
        <v>330</v>
      </c>
      <c r="CG79" s="474">
        <v>37</v>
      </c>
    </row>
    <row r="80" spans="1:88" ht="36" customHeight="1">
      <c r="A80" s="1041" t="s">
        <v>71</v>
      </c>
      <c r="B80" s="1041"/>
      <c r="C80" s="1607" t="str">
        <f>C37</f>
        <v/>
      </c>
      <c r="D80" s="1607"/>
      <c r="E80" s="1607"/>
      <c r="F80" s="1607"/>
      <c r="G80" s="1607"/>
      <c r="H80" s="1607"/>
      <c r="I80" s="1607"/>
      <c r="J80" s="1607"/>
      <c r="K80" s="1607"/>
      <c r="L80" s="1607"/>
      <c r="M80" s="1607"/>
      <c r="N80" s="1607"/>
      <c r="O80" s="1607"/>
      <c r="P80" s="1607"/>
      <c r="Q80" s="1607"/>
      <c r="R80" s="1607"/>
      <c r="S80" s="1607"/>
      <c r="T80" s="1607"/>
      <c r="U80" s="326"/>
      <c r="V80" s="326"/>
      <c r="W80" s="326"/>
      <c r="X80" s="326"/>
      <c r="Y80" s="326"/>
      <c r="Z80" s="326"/>
      <c r="AA80" s="8"/>
      <c r="AB80" s="8"/>
      <c r="AC80" s="8"/>
      <c r="AD80" s="464"/>
      <c r="AE80" s="173"/>
      <c r="AF80" s="8"/>
      <c r="AG80" s="8"/>
      <c r="AH80" s="8"/>
      <c r="AI80" s="8"/>
      <c r="AJ80" s="8"/>
      <c r="AK80" s="8"/>
      <c r="AL80" s="8"/>
      <c r="AM80" s="8"/>
      <c r="AN80" s="8"/>
      <c r="AO80" s="8"/>
      <c r="AP80" s="8"/>
      <c r="AQ80" s="8"/>
      <c r="AR80" s="8"/>
      <c r="AS80" s="8"/>
      <c r="AT80" s="8"/>
      <c r="AU80" s="8"/>
      <c r="AV80" s="8"/>
      <c r="AW80" s="8"/>
      <c r="AX80" s="8"/>
      <c r="AY80" s="8"/>
      <c r="AZ80" s="8"/>
      <c r="BA80" s="53">
        <v>77</v>
      </c>
      <c r="BB80" s="54">
        <f t="shared" si="36"/>
        <v>0</v>
      </c>
      <c r="BC80" s="50">
        <f t="shared" si="37"/>
        <v>0</v>
      </c>
      <c r="BD80" s="55">
        <f t="shared" si="38"/>
        <v>0</v>
      </c>
      <c r="BE80" s="55">
        <f t="shared" si="38"/>
        <v>0</v>
      </c>
      <c r="BF80" s="244"/>
      <c r="BJ80" s="106"/>
      <c r="BL80">
        <f t="shared" si="42"/>
        <v>0</v>
      </c>
      <c r="BN80" s="106"/>
      <c r="CC80" s="96" t="str">
        <f t="shared" ref="CC80:CC94" si="45">$BW$11&amp;BF12</f>
        <v>中日帰/準</v>
      </c>
      <c r="CD80" s="99">
        <f t="shared" ref="CD80:CD94" si="46">BW12</f>
        <v>0</v>
      </c>
      <c r="CE80" s="471">
        <f>IF(OR(BW12="",BW12=0),0,36)</f>
        <v>0</v>
      </c>
      <c r="CF80" s="471">
        <v>110</v>
      </c>
      <c r="CG80" s="473">
        <v>36</v>
      </c>
    </row>
    <row r="81" spans="1:85" ht="15.95" customHeight="1">
      <c r="A81" s="1036" t="s">
        <v>70</v>
      </c>
      <c r="B81" s="1036"/>
      <c r="C81" s="1618">
        <f>C38</f>
        <v>0</v>
      </c>
      <c r="D81" s="1618"/>
      <c r="E81" s="1570" t="s">
        <v>13</v>
      </c>
      <c r="F81" s="1618">
        <f>F38</f>
        <v>0</v>
      </c>
      <c r="G81" s="1570" t="s">
        <v>12</v>
      </c>
      <c r="H81" s="1616">
        <f>H38</f>
        <v>0</v>
      </c>
      <c r="I81" s="1570" t="s">
        <v>11</v>
      </c>
      <c r="J81" s="1570" t="s">
        <v>289</v>
      </c>
      <c r="K81" s="1616">
        <f>K38</f>
        <v>0</v>
      </c>
      <c r="L81" s="1570" t="s">
        <v>309</v>
      </c>
      <c r="M81" s="1570" t="s">
        <v>292</v>
      </c>
      <c r="N81" s="1616">
        <f>N38</f>
        <v>0</v>
      </c>
      <c r="O81" s="1570" t="s">
        <v>12</v>
      </c>
      <c r="P81" s="1616">
        <f>P38</f>
        <v>0</v>
      </c>
      <c r="Q81" s="1570" t="s">
        <v>11</v>
      </c>
      <c r="R81" s="1570" t="s">
        <v>289</v>
      </c>
      <c r="S81" s="1616">
        <f>S38</f>
        <v>0</v>
      </c>
      <c r="T81" s="1570" t="s">
        <v>309</v>
      </c>
      <c r="U81" s="1570"/>
      <c r="V81" s="1570"/>
      <c r="W81" s="334" t="str">
        <f>W38</f>
        <v/>
      </c>
      <c r="X81" s="297" t="s">
        <v>41</v>
      </c>
      <c r="Y81" s="334" t="str">
        <f>Y38</f>
        <v/>
      </c>
      <c r="Z81" s="297" t="s">
        <v>11</v>
      </c>
      <c r="AA81" s="8"/>
      <c r="AB81" s="8"/>
      <c r="AC81" s="8"/>
      <c r="AD81" s="464"/>
      <c r="AE81" s="173"/>
      <c r="AF81" s="8"/>
      <c r="AG81" s="8"/>
      <c r="AH81" s="8"/>
      <c r="AI81" s="8"/>
      <c r="AJ81" s="8"/>
      <c r="AK81" s="8"/>
      <c r="AL81" s="8"/>
      <c r="AM81" s="8"/>
      <c r="AN81" s="8"/>
      <c r="AO81" s="8"/>
      <c r="AP81" s="8"/>
      <c r="AQ81" s="8"/>
      <c r="AR81" s="8"/>
      <c r="AS81" s="8"/>
      <c r="AT81" s="8"/>
      <c r="AU81" s="8"/>
      <c r="AV81" s="8"/>
      <c r="AW81" s="8"/>
      <c r="AX81" s="8"/>
      <c r="AY81" s="8"/>
      <c r="AZ81" s="8"/>
      <c r="BA81" s="53">
        <v>78</v>
      </c>
      <c r="BB81" s="54">
        <f t="shared" si="36"/>
        <v>0</v>
      </c>
      <c r="BC81" s="50">
        <f t="shared" si="37"/>
        <v>0</v>
      </c>
      <c r="BD81" s="55">
        <f t="shared" si="38"/>
        <v>0</v>
      </c>
      <c r="BE81" s="55">
        <f t="shared" si="38"/>
        <v>0</v>
      </c>
      <c r="BF81" s="244"/>
      <c r="BJ81" s="106"/>
      <c r="BL81">
        <f t="shared" si="42"/>
        <v>0</v>
      </c>
      <c r="BN81" s="106"/>
      <c r="CC81" s="96" t="str">
        <f t="shared" si="45"/>
        <v>中日帰/特</v>
      </c>
      <c r="CD81" s="99">
        <f t="shared" si="46"/>
        <v>0</v>
      </c>
      <c r="CE81" s="471">
        <f>IF(OR(BW13="",BW13=0),0,34)</f>
        <v>0</v>
      </c>
      <c r="CF81" s="471">
        <v>110</v>
      </c>
      <c r="CG81" s="473">
        <v>34</v>
      </c>
    </row>
    <row r="82" spans="1:85" ht="15.95" customHeight="1">
      <c r="A82" s="1041"/>
      <c r="B82" s="1041"/>
      <c r="C82" s="1617"/>
      <c r="D82" s="1617"/>
      <c r="E82" s="1608"/>
      <c r="F82" s="1617"/>
      <c r="G82" s="1608"/>
      <c r="H82" s="1617"/>
      <c r="I82" s="1608"/>
      <c r="J82" s="1608"/>
      <c r="K82" s="1617"/>
      <c r="L82" s="1608"/>
      <c r="M82" s="1608"/>
      <c r="N82" s="1617"/>
      <c r="O82" s="1608"/>
      <c r="P82" s="1617"/>
      <c r="Q82" s="1608"/>
      <c r="R82" s="1608"/>
      <c r="S82" s="1617"/>
      <c r="T82" s="1608"/>
      <c r="U82" s="1570"/>
      <c r="V82" s="1570"/>
      <c r="W82" s="1570" t="s">
        <v>42</v>
      </c>
      <c r="X82" s="1570"/>
      <c r="Y82" s="336" t="str">
        <f>Y39</f>
        <v/>
      </c>
      <c r="Z82" s="297" t="s">
        <v>11</v>
      </c>
      <c r="AA82" s="7"/>
      <c r="AB82" s="7"/>
      <c r="AC82" s="7"/>
      <c r="AD82" s="464"/>
      <c r="AE82" s="173"/>
      <c r="AF82" s="7"/>
      <c r="AG82" s="7"/>
      <c r="AH82" s="7"/>
      <c r="AI82" s="7"/>
      <c r="AK82" s="7"/>
      <c r="AL82" s="7"/>
      <c r="AM82" s="7"/>
      <c r="AN82" s="7"/>
      <c r="AO82" s="7"/>
      <c r="AP82" s="7"/>
      <c r="AQ82" s="7"/>
      <c r="AR82" s="7"/>
      <c r="AS82" s="7"/>
      <c r="AT82" s="7"/>
      <c r="AU82" s="7"/>
      <c r="AV82" s="7"/>
      <c r="AW82" s="7"/>
      <c r="AX82" s="7"/>
      <c r="AY82" s="7"/>
      <c r="AZ82" s="7"/>
      <c r="BA82" s="53">
        <v>79</v>
      </c>
      <c r="BB82" s="54">
        <f t="shared" si="36"/>
        <v>0</v>
      </c>
      <c r="BC82" s="50">
        <f t="shared" si="37"/>
        <v>0</v>
      </c>
      <c r="BD82" s="55">
        <f t="shared" si="38"/>
        <v>0</v>
      </c>
      <c r="BE82" s="55">
        <f t="shared" si="38"/>
        <v>0</v>
      </c>
      <c r="BF82" s="244"/>
      <c r="BJ82" s="106"/>
      <c r="BL82">
        <f t="shared" si="42"/>
        <v>0</v>
      </c>
      <c r="BN82" s="106"/>
      <c r="CC82" s="96" t="str">
        <f t="shared" si="45"/>
        <v>中日帰/身</v>
      </c>
      <c r="CD82" s="99">
        <f t="shared" si="46"/>
        <v>0</v>
      </c>
      <c r="CE82" s="471">
        <f>IF(OR(BW14="",BW14=0),0,33)</f>
        <v>0</v>
      </c>
      <c r="CF82" s="471">
        <v>110</v>
      </c>
      <c r="CG82" s="473">
        <v>33</v>
      </c>
    </row>
    <row r="83" spans="1:85" ht="24.95" customHeight="1">
      <c r="A83" s="337"/>
      <c r="B83" s="337"/>
      <c r="C83" s="337"/>
      <c r="D83" s="337"/>
      <c r="E83" s="337"/>
      <c r="F83" s="337"/>
      <c r="G83" s="337"/>
      <c r="H83" s="337"/>
      <c r="I83" s="337"/>
      <c r="J83" s="337"/>
      <c r="K83" s="337"/>
      <c r="L83" s="337"/>
      <c r="M83" s="337"/>
      <c r="N83" s="337"/>
      <c r="O83" s="337"/>
      <c r="P83" s="337"/>
      <c r="Q83" s="337"/>
      <c r="R83" s="337"/>
      <c r="S83" s="337"/>
      <c r="T83" s="337"/>
      <c r="U83" s="338"/>
      <c r="V83" s="338"/>
      <c r="W83" s="338"/>
      <c r="X83" s="338"/>
      <c r="Y83" s="338"/>
      <c r="Z83" s="338"/>
      <c r="AA83" s="7"/>
      <c r="AB83" s="7"/>
      <c r="AC83" s="7"/>
      <c r="AD83" s="464"/>
      <c r="AE83" s="173"/>
      <c r="AF83" s="7"/>
      <c r="AG83" s="7"/>
      <c r="AH83" s="7"/>
      <c r="AI83" s="7"/>
      <c r="AK83" s="7"/>
      <c r="AL83" s="7"/>
      <c r="AM83" s="7"/>
      <c r="AN83" s="7"/>
      <c r="AO83" s="7"/>
      <c r="AP83" s="7"/>
      <c r="AQ83" s="7"/>
      <c r="AR83" s="7"/>
      <c r="AS83" s="7"/>
      <c r="AT83" s="7"/>
      <c r="AU83" s="7"/>
      <c r="AV83" s="7"/>
      <c r="AW83" s="7"/>
      <c r="AX83" s="7"/>
      <c r="AY83" s="7"/>
      <c r="AZ83" s="7"/>
      <c r="BA83" s="53">
        <v>80</v>
      </c>
      <c r="BB83" s="54">
        <f t="shared" si="36"/>
        <v>0</v>
      </c>
      <c r="BC83" s="50">
        <f t="shared" si="37"/>
        <v>0</v>
      </c>
      <c r="BD83" s="55">
        <f t="shared" si="38"/>
        <v>0</v>
      </c>
      <c r="BE83" s="55">
        <f t="shared" si="38"/>
        <v>0</v>
      </c>
      <c r="BJ83" s="106"/>
      <c r="BL83">
        <f t="shared" si="42"/>
        <v>0</v>
      </c>
      <c r="BN83" s="106"/>
      <c r="CC83" s="96" t="str">
        <f t="shared" si="45"/>
        <v>中日帰/療</v>
      </c>
      <c r="CD83" s="99">
        <f t="shared" si="46"/>
        <v>0</v>
      </c>
      <c r="CE83" s="471">
        <f>IF(OR(BW15="",BW15=0),0,32)</f>
        <v>0</v>
      </c>
      <c r="CF83" s="471">
        <v>110</v>
      </c>
      <c r="CG83" s="473">
        <v>32</v>
      </c>
    </row>
    <row r="84" spans="1:85" ht="12.6" customHeight="1">
      <c r="A84" s="1622" t="s">
        <v>307</v>
      </c>
      <c r="B84" s="1571" t="s">
        <v>109</v>
      </c>
      <c r="C84" s="1572"/>
      <c r="D84" s="1572"/>
      <c r="E84" s="1572"/>
      <c r="F84" s="1572"/>
      <c r="G84" s="1573"/>
      <c r="H84" s="1601" t="s">
        <v>110</v>
      </c>
      <c r="I84" s="1573"/>
      <c r="J84" s="1571" t="s">
        <v>111</v>
      </c>
      <c r="K84" s="1572"/>
      <c r="L84" s="1572"/>
      <c r="M84" s="1587"/>
      <c r="N84" s="1613" t="s">
        <v>297</v>
      </c>
      <c r="O84" s="1571" t="s">
        <v>109</v>
      </c>
      <c r="P84" s="1572"/>
      <c r="Q84" s="1572"/>
      <c r="R84" s="1572"/>
      <c r="S84" s="1572"/>
      <c r="T84" s="1573"/>
      <c r="U84" s="1601" t="s">
        <v>110</v>
      </c>
      <c r="V84" s="1573"/>
      <c r="W84" s="1571" t="s">
        <v>111</v>
      </c>
      <c r="X84" s="1572"/>
      <c r="Y84" s="1572"/>
      <c r="Z84" s="1573"/>
      <c r="AA84" s="7"/>
      <c r="AB84" s="7"/>
      <c r="AC84" s="7"/>
      <c r="AD84" s="464"/>
      <c r="AE84" s="173"/>
      <c r="AF84" s="7"/>
      <c r="AG84" s="7"/>
      <c r="AH84" s="7"/>
      <c r="AI84" s="7"/>
      <c r="AK84" s="7"/>
      <c r="AL84" s="7"/>
      <c r="AM84" s="7"/>
      <c r="AN84" s="7"/>
      <c r="AO84" s="7"/>
      <c r="AP84" s="7"/>
      <c r="AQ84" s="7"/>
      <c r="AR84" s="7"/>
      <c r="AS84" s="7"/>
      <c r="AT84" s="7"/>
      <c r="AU84" s="7"/>
      <c r="AV84" s="7"/>
      <c r="AW84" s="7"/>
      <c r="AX84" s="7"/>
      <c r="AY84" s="7"/>
      <c r="AZ84" s="7"/>
      <c r="BA84" s="53">
        <v>81</v>
      </c>
      <c r="BB84" s="54">
        <f>COUNTA(H89:I89)</f>
        <v>0</v>
      </c>
      <c r="BC84" s="50">
        <f>COUNTA(K89)</f>
        <v>0</v>
      </c>
      <c r="BD84" s="55">
        <f>BB84-COUNTA(H89)</f>
        <v>0</v>
      </c>
      <c r="BE84" s="55">
        <f>BC84-COUNTA(I89)</f>
        <v>0</v>
      </c>
      <c r="BJ84" s="106"/>
      <c r="BL84">
        <f t="shared" si="42"/>
        <v>0</v>
      </c>
      <c r="BN84" s="106"/>
      <c r="CC84" s="96" t="str">
        <f t="shared" si="45"/>
        <v>中日帰/精</v>
      </c>
      <c r="CD84" s="99">
        <f t="shared" si="46"/>
        <v>0</v>
      </c>
      <c r="CE84" s="471">
        <f>IF(OR(BW16="",BW16=0),0,31)</f>
        <v>0</v>
      </c>
      <c r="CF84" s="471">
        <v>110</v>
      </c>
      <c r="CG84" s="473">
        <v>31</v>
      </c>
    </row>
    <row r="85" spans="1:85" ht="13.5" customHeight="1">
      <c r="A85" s="1622"/>
      <c r="B85" s="1610"/>
      <c r="C85" s="1611"/>
      <c r="D85" s="1611"/>
      <c r="E85" s="1611"/>
      <c r="F85" s="1611"/>
      <c r="G85" s="1612"/>
      <c r="H85" s="1574"/>
      <c r="I85" s="1576"/>
      <c r="J85" s="1574"/>
      <c r="K85" s="1575"/>
      <c r="L85" s="1575"/>
      <c r="M85" s="1588"/>
      <c r="N85" s="1614"/>
      <c r="O85" s="1610"/>
      <c r="P85" s="1611"/>
      <c r="Q85" s="1611"/>
      <c r="R85" s="1611"/>
      <c r="S85" s="1611"/>
      <c r="T85" s="1612"/>
      <c r="U85" s="1574"/>
      <c r="V85" s="1576"/>
      <c r="W85" s="1574"/>
      <c r="X85" s="1575"/>
      <c r="Y85" s="1575"/>
      <c r="Z85" s="1576"/>
      <c r="AA85" s="7"/>
      <c r="AB85" s="7"/>
      <c r="AC85" s="7"/>
      <c r="AD85" s="464"/>
      <c r="AE85" s="173"/>
      <c r="AF85" s="7"/>
      <c r="AG85" s="7"/>
      <c r="AH85" s="7"/>
      <c r="AI85" s="7"/>
      <c r="AK85" s="7"/>
      <c r="AL85" s="7"/>
      <c r="AM85" s="7"/>
      <c r="AN85" s="7"/>
      <c r="AO85" s="7"/>
      <c r="AP85" s="7"/>
      <c r="AQ85" s="7"/>
      <c r="AR85" s="7"/>
      <c r="AS85" s="7"/>
      <c r="AT85" s="7"/>
      <c r="AU85" s="7"/>
      <c r="AV85" s="7"/>
      <c r="AW85" s="7"/>
      <c r="AX85" s="7"/>
      <c r="AY85" s="7"/>
      <c r="AZ85" s="7"/>
      <c r="BA85" s="53">
        <v>82</v>
      </c>
      <c r="BB85" s="54">
        <f t="shared" ref="BB85:BB113" si="47">COUNTA(H90:I90)</f>
        <v>0</v>
      </c>
      <c r="BC85" s="50">
        <f t="shared" ref="BC85:BC113" si="48">COUNTA(K90)</f>
        <v>0</v>
      </c>
      <c r="BD85" s="55">
        <f t="shared" ref="BD85:BE113" si="49">BB85-COUNTA(H90)</f>
        <v>0</v>
      </c>
      <c r="BE85" s="55">
        <f t="shared" si="49"/>
        <v>0</v>
      </c>
      <c r="BJ85" s="106"/>
      <c r="BL85">
        <f t="shared" si="42"/>
        <v>0</v>
      </c>
      <c r="BN85" s="106"/>
      <c r="CC85" s="96" t="str">
        <f t="shared" si="45"/>
        <v>中日帰/介添</v>
      </c>
      <c r="CD85" s="99">
        <f t="shared" si="46"/>
        <v>0</v>
      </c>
      <c r="CE85" s="471">
        <f>IF(OR(BW17="",BW17=0),0,30)</f>
        <v>0</v>
      </c>
      <c r="CF85" s="471">
        <v>110</v>
      </c>
      <c r="CG85" s="473">
        <v>30</v>
      </c>
    </row>
    <row r="86" spans="1:85" ht="26.1" customHeight="1">
      <c r="A86" s="1622"/>
      <c r="B86" s="1610"/>
      <c r="C86" s="1611"/>
      <c r="D86" s="1611"/>
      <c r="E86" s="1611"/>
      <c r="F86" s="1611"/>
      <c r="G86" s="1612"/>
      <c r="H86" s="1596" t="s">
        <v>43</v>
      </c>
      <c r="I86" s="1597" t="s">
        <v>42</v>
      </c>
      <c r="J86" s="1591" t="s">
        <v>355</v>
      </c>
      <c r="K86" s="1577" t="s">
        <v>354</v>
      </c>
      <c r="L86" s="1578"/>
      <c r="M86" s="1589"/>
      <c r="N86" s="1614"/>
      <c r="O86" s="1610"/>
      <c r="P86" s="1611"/>
      <c r="Q86" s="1611"/>
      <c r="R86" s="1611"/>
      <c r="S86" s="1611"/>
      <c r="T86" s="1612"/>
      <c r="U86" s="1596" t="s">
        <v>43</v>
      </c>
      <c r="V86" s="1597" t="s">
        <v>42</v>
      </c>
      <c r="W86" s="1591" t="s">
        <v>355</v>
      </c>
      <c r="X86" s="1577" t="s">
        <v>354</v>
      </c>
      <c r="Y86" s="1578"/>
      <c r="Z86" s="1579"/>
      <c r="AA86" s="7"/>
      <c r="AB86" s="7"/>
      <c r="AC86" s="7"/>
      <c r="AD86" s="464"/>
      <c r="AE86" s="173"/>
      <c r="AF86" s="7"/>
      <c r="AG86" s="7"/>
      <c r="AH86" s="7"/>
      <c r="AI86" s="7"/>
      <c r="AK86" s="7"/>
      <c r="AL86" s="7"/>
      <c r="AM86" s="7"/>
      <c r="AN86" s="7"/>
      <c r="AO86" s="7"/>
      <c r="AP86" s="7"/>
      <c r="AQ86" s="7"/>
      <c r="AR86" s="7"/>
      <c r="AS86" s="7"/>
      <c r="AT86" s="7"/>
      <c r="AU86" s="7"/>
      <c r="AV86" s="7"/>
      <c r="AW86" s="7"/>
      <c r="AX86" s="7"/>
      <c r="AY86" s="7"/>
      <c r="AZ86" s="7"/>
      <c r="BA86" s="53">
        <v>83</v>
      </c>
      <c r="BB86" s="54">
        <f t="shared" si="47"/>
        <v>0</v>
      </c>
      <c r="BC86" s="50">
        <f t="shared" si="48"/>
        <v>0</v>
      </c>
      <c r="BD86" s="55">
        <f t="shared" si="49"/>
        <v>0</v>
      </c>
      <c r="BE86" s="55">
        <f t="shared" si="49"/>
        <v>0</v>
      </c>
      <c r="BJ86" s="106"/>
      <c r="BL86">
        <f t="shared" si="42"/>
        <v>0</v>
      </c>
      <c r="BN86" s="106"/>
      <c r="CC86" s="96" t="str">
        <f t="shared" si="45"/>
        <v>中日帰/準・特</v>
      </c>
      <c r="CD86" s="99">
        <f t="shared" si="46"/>
        <v>0</v>
      </c>
      <c r="CE86" s="471">
        <f>IF(OR(BW18="",BW18=0),0,29)</f>
        <v>0</v>
      </c>
      <c r="CF86" s="471">
        <v>110</v>
      </c>
      <c r="CG86" s="473">
        <v>29</v>
      </c>
    </row>
    <row r="87" spans="1:85" ht="26.1" customHeight="1">
      <c r="A87" s="1622"/>
      <c r="B87" s="1610"/>
      <c r="C87" s="1611"/>
      <c r="D87" s="1611"/>
      <c r="E87" s="1611"/>
      <c r="F87" s="1611"/>
      <c r="G87" s="1612"/>
      <c r="H87" s="1596"/>
      <c r="I87" s="1597"/>
      <c r="J87" s="1592"/>
      <c r="K87" s="1577"/>
      <c r="L87" s="1578"/>
      <c r="M87" s="1589"/>
      <c r="N87" s="1614"/>
      <c r="O87" s="1610"/>
      <c r="P87" s="1611"/>
      <c r="Q87" s="1611"/>
      <c r="R87" s="1611"/>
      <c r="S87" s="1611"/>
      <c r="T87" s="1612"/>
      <c r="U87" s="1596"/>
      <c r="V87" s="1597"/>
      <c r="W87" s="1592"/>
      <c r="X87" s="1577"/>
      <c r="Y87" s="1578"/>
      <c r="Z87" s="1579"/>
      <c r="AD87" s="464"/>
      <c r="AE87" s="173"/>
      <c r="BA87" s="53">
        <v>84</v>
      </c>
      <c r="BB87" s="54">
        <f t="shared" si="47"/>
        <v>0</v>
      </c>
      <c r="BC87" s="50">
        <f t="shared" si="48"/>
        <v>0</v>
      </c>
      <c r="BD87" s="55">
        <f t="shared" si="49"/>
        <v>0</v>
      </c>
      <c r="BE87" s="55">
        <f t="shared" si="49"/>
        <v>0</v>
      </c>
      <c r="BJ87" s="106"/>
      <c r="BL87">
        <f t="shared" si="42"/>
        <v>0</v>
      </c>
      <c r="BN87" s="106"/>
      <c r="CC87" s="96" t="str">
        <f t="shared" si="45"/>
        <v>中日帰/準・身</v>
      </c>
      <c r="CD87" s="99">
        <f t="shared" si="46"/>
        <v>0</v>
      </c>
      <c r="CE87" s="471">
        <f>IF(OR(BW19="",BW19=0),0,28)</f>
        <v>0</v>
      </c>
      <c r="CF87" s="471">
        <v>110</v>
      </c>
      <c r="CG87" s="473">
        <v>28</v>
      </c>
    </row>
    <row r="88" spans="1:85" ht="26.1" customHeight="1">
      <c r="A88" s="1622"/>
      <c r="B88" s="1574"/>
      <c r="C88" s="1575"/>
      <c r="D88" s="1575"/>
      <c r="E88" s="1575"/>
      <c r="F88" s="1575"/>
      <c r="G88" s="1576"/>
      <c r="H88" s="1596"/>
      <c r="I88" s="1597"/>
      <c r="J88" s="1592"/>
      <c r="K88" s="1580"/>
      <c r="L88" s="1581"/>
      <c r="M88" s="1590"/>
      <c r="N88" s="1615"/>
      <c r="O88" s="1574"/>
      <c r="P88" s="1575"/>
      <c r="Q88" s="1575"/>
      <c r="R88" s="1575"/>
      <c r="S88" s="1575"/>
      <c r="T88" s="1576"/>
      <c r="U88" s="1596"/>
      <c r="V88" s="1597"/>
      <c r="W88" s="1592"/>
      <c r="X88" s="1580"/>
      <c r="Y88" s="1581"/>
      <c r="Z88" s="1582"/>
      <c r="AD88" s="464"/>
      <c r="AE88" s="173"/>
      <c r="BA88" s="53">
        <v>85</v>
      </c>
      <c r="BB88" s="54">
        <f t="shared" si="47"/>
        <v>0</v>
      </c>
      <c r="BC88" s="50">
        <f t="shared" si="48"/>
        <v>0</v>
      </c>
      <c r="BD88" s="55">
        <f t="shared" si="49"/>
        <v>0</v>
      </c>
      <c r="BE88" s="55">
        <f t="shared" si="49"/>
        <v>0</v>
      </c>
      <c r="BJ88" s="106"/>
      <c r="BL88">
        <f t="shared" si="42"/>
        <v>0</v>
      </c>
      <c r="BN88" s="106"/>
      <c r="CC88" s="96" t="str">
        <f t="shared" si="45"/>
        <v>中日帰/準・療</v>
      </c>
      <c r="CD88" s="99">
        <f t="shared" si="46"/>
        <v>0</v>
      </c>
      <c r="CE88" s="471">
        <f>IF(OR(BW20="",BW20=0),0,27)</f>
        <v>0</v>
      </c>
      <c r="CF88" s="471">
        <v>110</v>
      </c>
      <c r="CG88" s="473">
        <v>27</v>
      </c>
    </row>
    <row r="89" spans="1:85" ht="24.95" customHeight="1">
      <c r="A89" s="510">
        <v>81</v>
      </c>
      <c r="B89" s="1598"/>
      <c r="C89" s="1599"/>
      <c r="D89" s="1599"/>
      <c r="E89" s="1599"/>
      <c r="F89" s="1599"/>
      <c r="G89" s="1600"/>
      <c r="H89" s="340"/>
      <c r="I89" s="341"/>
      <c r="J89" s="342"/>
      <c r="K89" s="498"/>
      <c r="L89" s="498"/>
      <c r="M89" s="533"/>
      <c r="N89" s="574">
        <v>111</v>
      </c>
      <c r="O89" s="1598"/>
      <c r="P89" s="1599"/>
      <c r="Q89" s="1599"/>
      <c r="R89" s="1599"/>
      <c r="S89" s="1599"/>
      <c r="T89" s="1600"/>
      <c r="U89" s="340"/>
      <c r="V89" s="341"/>
      <c r="W89" s="342"/>
      <c r="X89" s="498"/>
      <c r="Y89" s="498"/>
      <c r="Z89" s="342"/>
      <c r="AD89" s="464"/>
      <c r="AE89" s="465"/>
      <c r="BA89" s="53">
        <v>86</v>
      </c>
      <c r="BB89" s="54">
        <f t="shared" si="47"/>
        <v>0</v>
      </c>
      <c r="BC89" s="50">
        <f t="shared" si="48"/>
        <v>0</v>
      </c>
      <c r="BD89" s="55">
        <f t="shared" si="49"/>
        <v>0</v>
      </c>
      <c r="BE89" s="55">
        <f t="shared" si="49"/>
        <v>0</v>
      </c>
      <c r="BJ89" s="106"/>
      <c r="BL89">
        <f t="shared" si="42"/>
        <v>0</v>
      </c>
      <c r="BN89" s="106"/>
      <c r="CC89" s="96" t="str">
        <f t="shared" si="45"/>
        <v>中日帰/準・精</v>
      </c>
      <c r="CD89" s="99">
        <f t="shared" si="46"/>
        <v>0</v>
      </c>
      <c r="CE89" s="471">
        <f>IF(OR(BW21="",BW21=0),0,26)</f>
        <v>0</v>
      </c>
      <c r="CF89" s="471">
        <v>110</v>
      </c>
      <c r="CG89" s="473">
        <v>26</v>
      </c>
    </row>
    <row r="90" spans="1:85" ht="24.95" customHeight="1">
      <c r="A90" s="510">
        <v>82</v>
      </c>
      <c r="B90" s="1598"/>
      <c r="C90" s="1599"/>
      <c r="D90" s="1599"/>
      <c r="E90" s="1599"/>
      <c r="F90" s="1599"/>
      <c r="G90" s="1600"/>
      <c r="H90" s="340"/>
      <c r="I90" s="341"/>
      <c r="J90" s="342"/>
      <c r="K90" s="498"/>
      <c r="L90" s="498"/>
      <c r="M90" s="533"/>
      <c r="N90" s="509">
        <v>112</v>
      </c>
      <c r="O90" s="1598"/>
      <c r="P90" s="1599"/>
      <c r="Q90" s="1599"/>
      <c r="R90" s="1599"/>
      <c r="S90" s="1599"/>
      <c r="T90" s="1600"/>
      <c r="U90" s="340"/>
      <c r="V90" s="341"/>
      <c r="W90" s="342"/>
      <c r="X90" s="498"/>
      <c r="Y90" s="498"/>
      <c r="Z90" s="342"/>
      <c r="AD90" s="464"/>
      <c r="AE90" s="465"/>
      <c r="BA90" s="53">
        <v>87</v>
      </c>
      <c r="BB90" s="54">
        <f t="shared" si="47"/>
        <v>0</v>
      </c>
      <c r="BC90" s="50">
        <f t="shared" si="48"/>
        <v>0</v>
      </c>
      <c r="BD90" s="55">
        <f t="shared" si="49"/>
        <v>0</v>
      </c>
      <c r="BE90" s="55">
        <f t="shared" si="49"/>
        <v>0</v>
      </c>
      <c r="BJ90" s="106"/>
      <c r="BL90">
        <f t="shared" si="42"/>
        <v>0</v>
      </c>
      <c r="BN90" s="106"/>
      <c r="CC90" s="96" t="str">
        <f t="shared" si="45"/>
        <v>中日帰/特・身</v>
      </c>
      <c r="CD90" s="99">
        <f t="shared" si="46"/>
        <v>0</v>
      </c>
      <c r="CE90" s="471">
        <f>IF(OR(BW22="",BW22=0),0,25)</f>
        <v>0</v>
      </c>
      <c r="CF90" s="471">
        <v>110</v>
      </c>
      <c r="CG90" s="473">
        <v>25</v>
      </c>
    </row>
    <row r="91" spans="1:85" ht="24.95" customHeight="1">
      <c r="A91" s="510">
        <v>83</v>
      </c>
      <c r="B91" s="1598"/>
      <c r="C91" s="1599"/>
      <c r="D91" s="1599"/>
      <c r="E91" s="1599"/>
      <c r="F91" s="1599"/>
      <c r="G91" s="1600"/>
      <c r="H91" s="340"/>
      <c r="I91" s="341"/>
      <c r="J91" s="342"/>
      <c r="K91" s="498"/>
      <c r="L91" s="498"/>
      <c r="M91" s="533"/>
      <c r="N91" s="509">
        <v>113</v>
      </c>
      <c r="O91" s="1598"/>
      <c r="P91" s="1599"/>
      <c r="Q91" s="1599"/>
      <c r="R91" s="1599"/>
      <c r="S91" s="1599"/>
      <c r="T91" s="1600"/>
      <c r="U91" s="340"/>
      <c r="V91" s="341"/>
      <c r="W91" s="342"/>
      <c r="X91" s="498"/>
      <c r="Y91" s="498"/>
      <c r="Z91" s="342"/>
      <c r="AD91" s="464"/>
      <c r="AE91" s="465"/>
      <c r="BA91" s="53">
        <v>88</v>
      </c>
      <c r="BB91" s="54">
        <f t="shared" si="47"/>
        <v>0</v>
      </c>
      <c r="BC91" s="50">
        <f t="shared" si="48"/>
        <v>0</v>
      </c>
      <c r="BD91" s="55">
        <f t="shared" si="49"/>
        <v>0</v>
      </c>
      <c r="BE91" s="55">
        <f t="shared" si="49"/>
        <v>0</v>
      </c>
      <c r="BJ91" s="106"/>
      <c r="BL91">
        <f t="shared" si="42"/>
        <v>0</v>
      </c>
      <c r="BN91" s="106"/>
      <c r="CC91" s="96" t="str">
        <f t="shared" si="45"/>
        <v>中日帰/特・療</v>
      </c>
      <c r="CD91" s="99">
        <f t="shared" si="46"/>
        <v>0</v>
      </c>
      <c r="CE91" s="471">
        <f>IF(OR(BW23="",BW23=0),0,24)</f>
        <v>0</v>
      </c>
      <c r="CF91" s="471">
        <v>110</v>
      </c>
      <c r="CG91" s="473">
        <v>24</v>
      </c>
    </row>
    <row r="92" spans="1:85" ht="24.95" customHeight="1">
      <c r="A92" s="510">
        <v>84</v>
      </c>
      <c r="B92" s="1598"/>
      <c r="C92" s="1599"/>
      <c r="D92" s="1599"/>
      <c r="E92" s="1599"/>
      <c r="F92" s="1599"/>
      <c r="G92" s="1600"/>
      <c r="H92" s="340"/>
      <c r="I92" s="341"/>
      <c r="J92" s="342"/>
      <c r="K92" s="498"/>
      <c r="L92" s="498"/>
      <c r="M92" s="533"/>
      <c r="N92" s="509">
        <v>114</v>
      </c>
      <c r="O92" s="1598"/>
      <c r="P92" s="1599"/>
      <c r="Q92" s="1599"/>
      <c r="R92" s="1599"/>
      <c r="S92" s="1599"/>
      <c r="T92" s="1600"/>
      <c r="U92" s="340"/>
      <c r="V92" s="341"/>
      <c r="W92" s="342"/>
      <c r="X92" s="498"/>
      <c r="Y92" s="498"/>
      <c r="Z92" s="342"/>
      <c r="AD92" s="464"/>
      <c r="AE92" s="465"/>
      <c r="BA92" s="53">
        <v>89</v>
      </c>
      <c r="BB92" s="54">
        <f t="shared" si="47"/>
        <v>0</v>
      </c>
      <c r="BC92" s="50">
        <f t="shared" si="48"/>
        <v>0</v>
      </c>
      <c r="BD92" s="55">
        <f t="shared" si="49"/>
        <v>0</v>
      </c>
      <c r="BE92" s="55">
        <f t="shared" si="49"/>
        <v>0</v>
      </c>
      <c r="BJ92" s="106"/>
      <c r="BL92">
        <f t="shared" si="42"/>
        <v>0</v>
      </c>
      <c r="BN92" s="106"/>
      <c r="CC92" s="96" t="str">
        <f t="shared" si="45"/>
        <v>中日帰/特・精</v>
      </c>
      <c r="CD92" s="99">
        <f t="shared" si="46"/>
        <v>0</v>
      </c>
      <c r="CE92" s="471">
        <f>IF(OR(BW24="",BW24=0),0,23)</f>
        <v>0</v>
      </c>
      <c r="CF92" s="471">
        <v>110</v>
      </c>
      <c r="CG92" s="473">
        <v>23</v>
      </c>
    </row>
    <row r="93" spans="1:85" ht="24.95" customHeight="1">
      <c r="A93" s="510">
        <v>85</v>
      </c>
      <c r="B93" s="1598"/>
      <c r="C93" s="1599"/>
      <c r="D93" s="1599"/>
      <c r="E93" s="1599"/>
      <c r="F93" s="1599"/>
      <c r="G93" s="1600"/>
      <c r="H93" s="340"/>
      <c r="I93" s="341"/>
      <c r="J93" s="342"/>
      <c r="K93" s="498"/>
      <c r="L93" s="498"/>
      <c r="M93" s="533"/>
      <c r="N93" s="509">
        <v>115</v>
      </c>
      <c r="O93" s="1598"/>
      <c r="P93" s="1599"/>
      <c r="Q93" s="1599"/>
      <c r="R93" s="1599"/>
      <c r="S93" s="1599"/>
      <c r="T93" s="1600"/>
      <c r="U93" s="340"/>
      <c r="V93" s="341"/>
      <c r="W93" s="342"/>
      <c r="X93" s="498"/>
      <c r="Y93" s="498"/>
      <c r="Z93" s="342"/>
      <c r="AD93" s="464"/>
      <c r="AE93" s="465"/>
      <c r="BA93" s="53">
        <v>90</v>
      </c>
      <c r="BB93" s="54">
        <f t="shared" si="47"/>
        <v>0</v>
      </c>
      <c r="BC93" s="50">
        <f t="shared" si="48"/>
        <v>0</v>
      </c>
      <c r="BD93" s="55">
        <f t="shared" si="49"/>
        <v>0</v>
      </c>
      <c r="BE93" s="55">
        <f t="shared" si="49"/>
        <v>0</v>
      </c>
      <c r="CC93" s="96" t="str">
        <f t="shared" si="45"/>
        <v>中日帰/身・療</v>
      </c>
      <c r="CD93" s="99">
        <f t="shared" si="46"/>
        <v>0</v>
      </c>
      <c r="CE93" s="471">
        <f>IF(OR(BW25="",BW25=0),0,22)</f>
        <v>0</v>
      </c>
      <c r="CF93" s="471">
        <v>110</v>
      </c>
      <c r="CG93" s="473">
        <v>22</v>
      </c>
    </row>
    <row r="94" spans="1:85" ht="24.95" customHeight="1">
      <c r="A94" s="510">
        <v>86</v>
      </c>
      <c r="B94" s="1598"/>
      <c r="C94" s="1599"/>
      <c r="D94" s="1599"/>
      <c r="E94" s="1599"/>
      <c r="F94" s="1599"/>
      <c r="G94" s="1600"/>
      <c r="H94" s="340"/>
      <c r="I94" s="341"/>
      <c r="J94" s="342"/>
      <c r="K94" s="498"/>
      <c r="L94" s="498"/>
      <c r="M94" s="533"/>
      <c r="N94" s="509">
        <v>116</v>
      </c>
      <c r="O94" s="1598"/>
      <c r="P94" s="1599"/>
      <c r="Q94" s="1599"/>
      <c r="R94" s="1599"/>
      <c r="S94" s="1599"/>
      <c r="T94" s="1600"/>
      <c r="U94" s="340"/>
      <c r="V94" s="341"/>
      <c r="W94" s="342"/>
      <c r="X94" s="498"/>
      <c r="Y94" s="498"/>
      <c r="Z94" s="342"/>
      <c r="AD94" s="464"/>
      <c r="AE94" s="465"/>
      <c r="BA94" s="53">
        <v>91</v>
      </c>
      <c r="BB94" s="54">
        <f t="shared" si="47"/>
        <v>0</v>
      </c>
      <c r="BC94" s="50">
        <f t="shared" si="48"/>
        <v>0</v>
      </c>
      <c r="BD94" s="55">
        <f t="shared" si="49"/>
        <v>0</v>
      </c>
      <c r="BE94" s="55">
        <f t="shared" si="49"/>
        <v>0</v>
      </c>
      <c r="BF94" s="138" t="s">
        <v>386</v>
      </c>
      <c r="BG94" s="96" t="s">
        <v>387</v>
      </c>
      <c r="BH94" s="96" t="s">
        <v>388</v>
      </c>
      <c r="BI94" s="96" t="s">
        <v>385</v>
      </c>
      <c r="BJ94" s="138" t="s">
        <v>386</v>
      </c>
      <c r="BK94" s="96" t="s">
        <v>387</v>
      </c>
      <c r="BL94" s="96" t="s">
        <v>388</v>
      </c>
      <c r="BM94" s="96" t="s">
        <v>385</v>
      </c>
      <c r="CC94" s="96" t="str">
        <f t="shared" si="45"/>
        <v>中日帰/身・精</v>
      </c>
      <c r="CD94" s="99">
        <f t="shared" si="46"/>
        <v>0</v>
      </c>
      <c r="CE94" s="471">
        <f>IF(OR(BW26="",BW26=0),0,21)</f>
        <v>0</v>
      </c>
      <c r="CF94" s="471">
        <v>110</v>
      </c>
      <c r="CG94" s="473">
        <v>21</v>
      </c>
    </row>
    <row r="95" spans="1:85" ht="24.95" customHeight="1">
      <c r="A95" s="510">
        <v>87</v>
      </c>
      <c r="B95" s="1598"/>
      <c r="C95" s="1599"/>
      <c r="D95" s="1599"/>
      <c r="E95" s="1599"/>
      <c r="F95" s="1599"/>
      <c r="G95" s="1600"/>
      <c r="H95" s="340"/>
      <c r="I95" s="341"/>
      <c r="J95" s="342"/>
      <c r="K95" s="498"/>
      <c r="L95" s="498"/>
      <c r="M95" s="533"/>
      <c r="N95" s="509">
        <v>117</v>
      </c>
      <c r="O95" s="1598"/>
      <c r="P95" s="1599"/>
      <c r="Q95" s="1599"/>
      <c r="R95" s="1599"/>
      <c r="S95" s="1599"/>
      <c r="T95" s="1600"/>
      <c r="U95" s="340"/>
      <c r="V95" s="341"/>
      <c r="W95" s="342"/>
      <c r="X95" s="498"/>
      <c r="Y95" s="498"/>
      <c r="Z95" s="342"/>
      <c r="AD95" s="464"/>
      <c r="AE95" s="465"/>
      <c r="BA95" s="53">
        <v>92</v>
      </c>
      <c r="BB95" s="54">
        <f t="shared" si="47"/>
        <v>0</v>
      </c>
      <c r="BC95" s="50">
        <f t="shared" si="48"/>
        <v>0</v>
      </c>
      <c r="BD95" s="55">
        <f t="shared" si="49"/>
        <v>0</v>
      </c>
      <c r="BE95" s="55">
        <f t="shared" si="49"/>
        <v>0</v>
      </c>
      <c r="BF95" s="138">
        <v>81</v>
      </c>
      <c r="BG95" s="6"/>
      <c r="BH95" s="6"/>
      <c r="BI95" s="6" t="b">
        <v>0</v>
      </c>
      <c r="BJ95" s="96">
        <v>111</v>
      </c>
      <c r="BK95" s="6"/>
      <c r="BL95" s="6"/>
      <c r="BM95" s="6" t="b">
        <v>0</v>
      </c>
      <c r="CC95" s="96" t="e">
        <f>$BW$11&amp;#REF!</f>
        <v>#REF!</v>
      </c>
      <c r="CD95" s="99" t="e">
        <f>#REF!</f>
        <v>#REF!</v>
      </c>
      <c r="CE95" s="471" t="e">
        <f>IF(OR(#REF!="",#REF!=0),0,20)</f>
        <v>#REF!</v>
      </c>
      <c r="CF95" s="471">
        <v>110</v>
      </c>
      <c r="CG95" s="473">
        <v>20</v>
      </c>
    </row>
    <row r="96" spans="1:85" ht="24.95" customHeight="1">
      <c r="A96" s="510">
        <v>88</v>
      </c>
      <c r="B96" s="1598"/>
      <c r="C96" s="1599"/>
      <c r="D96" s="1599"/>
      <c r="E96" s="1599"/>
      <c r="F96" s="1599"/>
      <c r="G96" s="1600"/>
      <c r="H96" s="340"/>
      <c r="I96" s="341"/>
      <c r="J96" s="342"/>
      <c r="K96" s="498"/>
      <c r="L96" s="498"/>
      <c r="M96" s="533"/>
      <c r="N96" s="509">
        <v>118</v>
      </c>
      <c r="O96" s="1598"/>
      <c r="P96" s="1599"/>
      <c r="Q96" s="1599"/>
      <c r="R96" s="1599"/>
      <c r="S96" s="1599"/>
      <c r="T96" s="1600"/>
      <c r="U96" s="340"/>
      <c r="V96" s="341"/>
      <c r="W96" s="342"/>
      <c r="X96" s="498"/>
      <c r="Y96" s="498"/>
      <c r="Z96" s="342"/>
      <c r="AD96" s="464"/>
      <c r="AE96" s="465"/>
      <c r="BA96" s="53">
        <v>93</v>
      </c>
      <c r="BB96" s="54">
        <f t="shared" si="47"/>
        <v>0</v>
      </c>
      <c r="BC96" s="50">
        <f t="shared" si="48"/>
        <v>0</v>
      </c>
      <c r="BD96" s="55">
        <f t="shared" si="49"/>
        <v>0</v>
      </c>
      <c r="BE96" s="55">
        <f t="shared" si="49"/>
        <v>0</v>
      </c>
      <c r="BF96" s="138">
        <v>82</v>
      </c>
      <c r="BG96" s="6"/>
      <c r="BH96" s="6"/>
      <c r="BI96" s="6" t="b">
        <v>0</v>
      </c>
      <c r="BJ96" s="96">
        <v>112</v>
      </c>
      <c r="BK96" s="6"/>
      <c r="BL96" s="6"/>
      <c r="BM96" s="6" t="b">
        <v>0</v>
      </c>
      <c r="CC96" s="96" t="e">
        <f>$BW$11&amp;#REF!</f>
        <v>#REF!</v>
      </c>
      <c r="CD96" s="99" t="e">
        <f>#REF!</f>
        <v>#REF!</v>
      </c>
      <c r="CE96" s="471" t="e">
        <f>IF(OR(#REF!="",#REF!=0),0,19)</f>
        <v>#REF!</v>
      </c>
      <c r="CF96" s="471">
        <v>110</v>
      </c>
      <c r="CG96" s="473">
        <v>19</v>
      </c>
    </row>
    <row r="97" spans="1:85" ht="24.95" customHeight="1">
      <c r="A97" s="510">
        <v>89</v>
      </c>
      <c r="B97" s="1598"/>
      <c r="C97" s="1599"/>
      <c r="D97" s="1599"/>
      <c r="E97" s="1599"/>
      <c r="F97" s="1599"/>
      <c r="G97" s="1600"/>
      <c r="H97" s="340"/>
      <c r="I97" s="341"/>
      <c r="J97" s="342"/>
      <c r="K97" s="498"/>
      <c r="L97" s="498"/>
      <c r="M97" s="533"/>
      <c r="N97" s="509">
        <v>119</v>
      </c>
      <c r="O97" s="1598"/>
      <c r="P97" s="1599"/>
      <c r="Q97" s="1599"/>
      <c r="R97" s="1599"/>
      <c r="S97" s="1599"/>
      <c r="T97" s="1600"/>
      <c r="U97" s="340"/>
      <c r="V97" s="341"/>
      <c r="W97" s="342"/>
      <c r="X97" s="498"/>
      <c r="Y97" s="498"/>
      <c r="Z97" s="342"/>
      <c r="AD97" s="464"/>
      <c r="AE97" s="465"/>
      <c r="BA97" s="53">
        <v>94</v>
      </c>
      <c r="BB97" s="54">
        <f t="shared" si="47"/>
        <v>0</v>
      </c>
      <c r="BC97" s="50">
        <f t="shared" si="48"/>
        <v>0</v>
      </c>
      <c r="BD97" s="55">
        <f t="shared" si="49"/>
        <v>0</v>
      </c>
      <c r="BE97" s="55">
        <f t="shared" si="49"/>
        <v>0</v>
      </c>
      <c r="BF97" s="138">
        <v>83</v>
      </c>
      <c r="BG97" s="6"/>
      <c r="BH97" s="6"/>
      <c r="BI97" s="6" t="b">
        <v>0</v>
      </c>
      <c r="BJ97" s="96">
        <v>113</v>
      </c>
      <c r="BK97" s="6"/>
      <c r="BL97" s="6"/>
      <c r="BM97" s="6" t="b">
        <v>0</v>
      </c>
      <c r="CC97" s="96" t="e">
        <f>$BW$11&amp;#REF!</f>
        <v>#REF!</v>
      </c>
      <c r="CD97" s="99" t="e">
        <f>#REF!</f>
        <v>#REF!</v>
      </c>
      <c r="CE97" s="471" t="e">
        <f>IF(OR(#REF!="",#REF!=0),0,18)</f>
        <v>#REF!</v>
      </c>
      <c r="CF97" s="471">
        <v>110</v>
      </c>
      <c r="CG97" s="473">
        <v>18</v>
      </c>
    </row>
    <row r="98" spans="1:85" ht="24.95" customHeight="1">
      <c r="A98" s="510">
        <v>90</v>
      </c>
      <c r="B98" s="1598"/>
      <c r="C98" s="1599"/>
      <c r="D98" s="1599"/>
      <c r="E98" s="1599"/>
      <c r="F98" s="1599"/>
      <c r="G98" s="1600"/>
      <c r="H98" s="340"/>
      <c r="I98" s="341"/>
      <c r="J98" s="342"/>
      <c r="K98" s="498"/>
      <c r="L98" s="498"/>
      <c r="M98" s="533"/>
      <c r="N98" s="509">
        <v>120</v>
      </c>
      <c r="O98" s="1598"/>
      <c r="P98" s="1599"/>
      <c r="Q98" s="1599"/>
      <c r="R98" s="1599"/>
      <c r="S98" s="1599"/>
      <c r="T98" s="1600"/>
      <c r="U98" s="340"/>
      <c r="V98" s="341"/>
      <c r="W98" s="342"/>
      <c r="X98" s="498"/>
      <c r="Y98" s="498"/>
      <c r="Z98" s="342"/>
      <c r="AD98" s="464"/>
      <c r="AE98" s="465"/>
      <c r="BA98" s="53">
        <v>95</v>
      </c>
      <c r="BB98" s="54">
        <f t="shared" si="47"/>
        <v>0</v>
      </c>
      <c r="BC98" s="50">
        <f t="shared" si="48"/>
        <v>0</v>
      </c>
      <c r="BD98" s="55">
        <f t="shared" si="49"/>
        <v>0</v>
      </c>
      <c r="BE98" s="55">
        <f t="shared" si="49"/>
        <v>0</v>
      </c>
      <c r="BF98" s="138">
        <v>84</v>
      </c>
      <c r="BG98" s="6"/>
      <c r="BH98" s="6"/>
      <c r="BI98" s="6" t="b">
        <v>0</v>
      </c>
      <c r="BJ98" s="96">
        <v>114</v>
      </c>
      <c r="BK98" s="6"/>
      <c r="BL98" s="6"/>
      <c r="BM98" s="6" t="b">
        <v>0</v>
      </c>
      <c r="CC98" s="96" t="e">
        <f>$BW$11&amp;#REF!</f>
        <v>#REF!</v>
      </c>
      <c r="CD98" s="99" t="e">
        <f>#REF!</f>
        <v>#REF!</v>
      </c>
      <c r="CE98" s="471" t="e">
        <f>IF(OR(#REF!="",#REF!=0),0,17)</f>
        <v>#REF!</v>
      </c>
      <c r="CF98" s="471">
        <v>110</v>
      </c>
      <c r="CG98" s="473">
        <v>17</v>
      </c>
    </row>
    <row r="99" spans="1:85" ht="24.95" customHeight="1">
      <c r="A99" s="510">
        <v>91</v>
      </c>
      <c r="B99" s="1598"/>
      <c r="C99" s="1599"/>
      <c r="D99" s="1599"/>
      <c r="E99" s="1599"/>
      <c r="F99" s="1599"/>
      <c r="G99" s="1600"/>
      <c r="H99" s="340"/>
      <c r="I99" s="341"/>
      <c r="J99" s="342"/>
      <c r="K99" s="498"/>
      <c r="L99" s="498"/>
      <c r="M99" s="498"/>
      <c r="N99" s="573">
        <v>121</v>
      </c>
      <c r="O99" s="1598"/>
      <c r="P99" s="1599"/>
      <c r="Q99" s="1599"/>
      <c r="R99" s="1599"/>
      <c r="S99" s="1599"/>
      <c r="T99" s="1600"/>
      <c r="U99" s="340"/>
      <c r="V99" s="341"/>
      <c r="W99" s="342"/>
      <c r="X99" s="498"/>
      <c r="Y99" s="498"/>
      <c r="Z99" s="342"/>
      <c r="AD99" s="464"/>
      <c r="AE99" s="465"/>
      <c r="BA99" s="53">
        <v>96</v>
      </c>
      <c r="BB99" s="54">
        <f t="shared" si="47"/>
        <v>0</v>
      </c>
      <c r="BC99" s="50">
        <f t="shared" si="48"/>
        <v>0</v>
      </c>
      <c r="BD99" s="55">
        <f t="shared" si="49"/>
        <v>0</v>
      </c>
      <c r="BE99" s="55">
        <f t="shared" si="49"/>
        <v>0</v>
      </c>
      <c r="BF99" s="138">
        <v>85</v>
      </c>
      <c r="BG99" s="6"/>
      <c r="BH99" s="6"/>
      <c r="BI99" s="6" t="b">
        <v>0</v>
      </c>
      <c r="BJ99" s="96">
        <v>115</v>
      </c>
      <c r="BK99" s="6"/>
      <c r="BL99" s="6"/>
      <c r="BM99" s="6" t="b">
        <v>0</v>
      </c>
      <c r="CC99" s="96" t="e">
        <f>$BW$11&amp;#REF!</f>
        <v>#REF!</v>
      </c>
      <c r="CD99" s="99" t="e">
        <f>#REF!</f>
        <v>#REF!</v>
      </c>
      <c r="CE99" s="471" t="e">
        <f>IF(OR(#REF!="",#REF!=0),0,16)</f>
        <v>#REF!</v>
      </c>
      <c r="CF99" s="471">
        <v>110</v>
      </c>
      <c r="CG99" s="473">
        <v>16</v>
      </c>
    </row>
    <row r="100" spans="1:85" ht="24.95" customHeight="1">
      <c r="A100" s="510">
        <v>92</v>
      </c>
      <c r="B100" s="1598"/>
      <c r="C100" s="1599"/>
      <c r="D100" s="1599"/>
      <c r="E100" s="1599"/>
      <c r="F100" s="1599"/>
      <c r="G100" s="1600"/>
      <c r="H100" s="340"/>
      <c r="I100" s="341"/>
      <c r="J100" s="342"/>
      <c r="K100" s="498"/>
      <c r="L100" s="498"/>
      <c r="M100" s="533"/>
      <c r="N100" s="509">
        <v>122</v>
      </c>
      <c r="O100" s="1598"/>
      <c r="P100" s="1599"/>
      <c r="Q100" s="1599"/>
      <c r="R100" s="1599"/>
      <c r="S100" s="1599"/>
      <c r="T100" s="1600"/>
      <c r="U100" s="340"/>
      <c r="V100" s="341"/>
      <c r="W100" s="342"/>
      <c r="X100" s="498"/>
      <c r="Y100" s="498"/>
      <c r="Z100" s="342"/>
      <c r="AD100" s="464"/>
      <c r="AE100" s="465"/>
      <c r="BA100" s="53">
        <v>97</v>
      </c>
      <c r="BB100" s="54">
        <f t="shared" si="47"/>
        <v>0</v>
      </c>
      <c r="BC100" s="50">
        <f t="shared" si="48"/>
        <v>0</v>
      </c>
      <c r="BD100" s="55">
        <f t="shared" si="49"/>
        <v>0</v>
      </c>
      <c r="BE100" s="55">
        <f t="shared" si="49"/>
        <v>0</v>
      </c>
      <c r="BF100" s="138">
        <v>86</v>
      </c>
      <c r="BG100" s="6"/>
      <c r="BH100" s="6"/>
      <c r="BI100" s="6" t="b">
        <v>0</v>
      </c>
      <c r="BJ100" s="96">
        <v>116</v>
      </c>
      <c r="BK100" s="6"/>
      <c r="BL100" s="6"/>
      <c r="BM100" s="6" t="b">
        <v>0</v>
      </c>
      <c r="CC100" s="96" t="e">
        <f>$BW$11&amp;#REF!</f>
        <v>#REF!</v>
      </c>
      <c r="CD100" s="99" t="e">
        <f>#REF!</f>
        <v>#REF!</v>
      </c>
      <c r="CE100" s="471" t="e">
        <f>IF(OR(#REF!="",#REF!=0),0,15)</f>
        <v>#REF!</v>
      </c>
      <c r="CF100" s="471">
        <v>110</v>
      </c>
      <c r="CG100" s="473">
        <v>15</v>
      </c>
    </row>
    <row r="101" spans="1:85" ht="24.95" customHeight="1">
      <c r="A101" s="510">
        <v>93</v>
      </c>
      <c r="B101" s="1598"/>
      <c r="C101" s="1599"/>
      <c r="D101" s="1599"/>
      <c r="E101" s="1599"/>
      <c r="F101" s="1599"/>
      <c r="G101" s="1600"/>
      <c r="H101" s="340"/>
      <c r="I101" s="341"/>
      <c r="J101" s="342"/>
      <c r="K101" s="498"/>
      <c r="L101" s="498"/>
      <c r="M101" s="533"/>
      <c r="N101" s="509">
        <v>123</v>
      </c>
      <c r="O101" s="1598"/>
      <c r="P101" s="1599"/>
      <c r="Q101" s="1599"/>
      <c r="R101" s="1599"/>
      <c r="S101" s="1599"/>
      <c r="T101" s="1600"/>
      <c r="U101" s="340"/>
      <c r="V101" s="341"/>
      <c r="W101" s="342"/>
      <c r="X101" s="498"/>
      <c r="Y101" s="498"/>
      <c r="Z101" s="342"/>
      <c r="AD101" s="464"/>
      <c r="AE101" s="465"/>
      <c r="BA101" s="53">
        <v>98</v>
      </c>
      <c r="BB101" s="54">
        <f t="shared" si="47"/>
        <v>0</v>
      </c>
      <c r="BC101" s="50">
        <f t="shared" si="48"/>
        <v>0</v>
      </c>
      <c r="BD101" s="55">
        <f t="shared" si="49"/>
        <v>0</v>
      </c>
      <c r="BE101" s="55">
        <f t="shared" si="49"/>
        <v>0</v>
      </c>
      <c r="BF101" s="138">
        <v>87</v>
      </c>
      <c r="BG101" s="6"/>
      <c r="BH101" s="6"/>
      <c r="BI101" s="6" t="b">
        <v>0</v>
      </c>
      <c r="BJ101" s="96">
        <v>117</v>
      </c>
      <c r="BK101" s="6"/>
      <c r="BL101" s="6"/>
      <c r="BM101" s="6" t="b">
        <v>0</v>
      </c>
      <c r="CC101" s="96" t="e">
        <f>$BW$11&amp;#REF!</f>
        <v>#REF!</v>
      </c>
      <c r="CD101" s="99" t="e">
        <f>#REF!</f>
        <v>#REF!</v>
      </c>
      <c r="CE101" s="471" t="e">
        <f>IF(OR(#REF!="",#REF!=0),0,14)</f>
        <v>#REF!</v>
      </c>
      <c r="CF101" s="471">
        <v>110</v>
      </c>
      <c r="CG101" s="473">
        <v>14</v>
      </c>
    </row>
    <row r="102" spans="1:85" ht="24.95" customHeight="1">
      <c r="A102" s="510">
        <v>94</v>
      </c>
      <c r="B102" s="1598"/>
      <c r="C102" s="1599"/>
      <c r="D102" s="1599"/>
      <c r="E102" s="1599"/>
      <c r="F102" s="1599"/>
      <c r="G102" s="1600"/>
      <c r="H102" s="340"/>
      <c r="I102" s="341"/>
      <c r="J102" s="342"/>
      <c r="K102" s="498"/>
      <c r="L102" s="498"/>
      <c r="M102" s="533"/>
      <c r="N102" s="509">
        <v>124</v>
      </c>
      <c r="O102" s="1598"/>
      <c r="P102" s="1599"/>
      <c r="Q102" s="1599"/>
      <c r="R102" s="1599"/>
      <c r="S102" s="1599"/>
      <c r="T102" s="1600"/>
      <c r="U102" s="340"/>
      <c r="V102" s="341"/>
      <c r="W102" s="342"/>
      <c r="X102" s="498"/>
      <c r="Y102" s="498"/>
      <c r="Z102" s="342"/>
      <c r="AD102" s="464"/>
      <c r="AE102" s="465"/>
      <c r="BA102" s="53">
        <v>99</v>
      </c>
      <c r="BB102" s="54">
        <f t="shared" si="47"/>
        <v>0</v>
      </c>
      <c r="BC102" s="50">
        <f t="shared" si="48"/>
        <v>0</v>
      </c>
      <c r="BD102" s="55">
        <f t="shared" si="49"/>
        <v>0</v>
      </c>
      <c r="BE102" s="55">
        <f t="shared" si="49"/>
        <v>0</v>
      </c>
      <c r="BF102" s="138">
        <v>88</v>
      </c>
      <c r="BG102" s="6"/>
      <c r="BH102" s="6"/>
      <c r="BI102" s="6" t="b">
        <v>0</v>
      </c>
      <c r="BJ102" s="96">
        <v>118</v>
      </c>
      <c r="BK102" s="6"/>
      <c r="BL102" s="6"/>
      <c r="BM102" s="6" t="b">
        <v>0</v>
      </c>
      <c r="CC102" s="96" t="e">
        <f>$BW$11&amp;#REF!</f>
        <v>#REF!</v>
      </c>
      <c r="CD102" s="99" t="e">
        <f>#REF!</f>
        <v>#REF!</v>
      </c>
      <c r="CE102" s="471" t="e">
        <f>IF(OR(#REF!="",#REF!=0),0,13)</f>
        <v>#REF!</v>
      </c>
      <c r="CF102" s="471">
        <v>110</v>
      </c>
      <c r="CG102" s="473">
        <v>13</v>
      </c>
    </row>
    <row r="103" spans="1:85" ht="24.95" customHeight="1">
      <c r="A103" s="510">
        <v>95</v>
      </c>
      <c r="B103" s="1598"/>
      <c r="C103" s="1599"/>
      <c r="D103" s="1599"/>
      <c r="E103" s="1599"/>
      <c r="F103" s="1599"/>
      <c r="G103" s="1600"/>
      <c r="H103" s="340"/>
      <c r="I103" s="341"/>
      <c r="J103" s="342"/>
      <c r="K103" s="498"/>
      <c r="L103" s="498"/>
      <c r="M103" s="533"/>
      <c r="N103" s="509">
        <v>125</v>
      </c>
      <c r="O103" s="1598"/>
      <c r="P103" s="1599"/>
      <c r="Q103" s="1599"/>
      <c r="R103" s="1599"/>
      <c r="S103" s="1599"/>
      <c r="T103" s="1600"/>
      <c r="U103" s="340"/>
      <c r="V103" s="341"/>
      <c r="W103" s="342"/>
      <c r="X103" s="498"/>
      <c r="Y103" s="498"/>
      <c r="Z103" s="342"/>
      <c r="AD103" s="198"/>
      <c r="AE103" s="173"/>
      <c r="BA103" s="53">
        <v>100</v>
      </c>
      <c r="BB103" s="54">
        <f t="shared" si="47"/>
        <v>0</v>
      </c>
      <c r="BC103" s="50">
        <f t="shared" si="48"/>
        <v>0</v>
      </c>
      <c r="BD103" s="55">
        <f t="shared" si="49"/>
        <v>0</v>
      </c>
      <c r="BE103" s="55">
        <f t="shared" si="49"/>
        <v>0</v>
      </c>
      <c r="BF103" s="138">
        <v>89</v>
      </c>
      <c r="BG103" s="6"/>
      <c r="BH103" s="6"/>
      <c r="BI103" s="6" t="b">
        <v>0</v>
      </c>
      <c r="BJ103" s="96">
        <v>119</v>
      </c>
      <c r="BK103" s="6"/>
      <c r="BL103" s="6"/>
      <c r="BM103" s="6" t="b">
        <v>0</v>
      </c>
      <c r="CC103" s="96" t="e">
        <f>$BW$11&amp;#REF!</f>
        <v>#REF!</v>
      </c>
      <c r="CD103" s="99" t="e">
        <f>#REF!</f>
        <v>#REF!</v>
      </c>
      <c r="CE103" s="471" t="e">
        <f>IF(OR(#REF!="",#REF!=0),0,12)</f>
        <v>#REF!</v>
      </c>
      <c r="CF103" s="471">
        <v>110</v>
      </c>
      <c r="CG103" s="473">
        <v>12</v>
      </c>
    </row>
    <row r="104" spans="1:85" ht="24.95" customHeight="1">
      <c r="A104" s="510">
        <v>96</v>
      </c>
      <c r="B104" s="1598"/>
      <c r="C104" s="1599"/>
      <c r="D104" s="1599"/>
      <c r="E104" s="1599"/>
      <c r="F104" s="1599"/>
      <c r="G104" s="1600"/>
      <c r="H104" s="340"/>
      <c r="I104" s="341"/>
      <c r="J104" s="342"/>
      <c r="K104" s="498"/>
      <c r="L104" s="498"/>
      <c r="M104" s="533"/>
      <c r="N104" s="509">
        <v>126</v>
      </c>
      <c r="O104" s="1598"/>
      <c r="P104" s="1599"/>
      <c r="Q104" s="1599"/>
      <c r="R104" s="1599"/>
      <c r="S104" s="1599"/>
      <c r="T104" s="1600"/>
      <c r="U104" s="340"/>
      <c r="V104" s="341"/>
      <c r="W104" s="342"/>
      <c r="X104" s="498"/>
      <c r="Y104" s="498"/>
      <c r="Z104" s="342"/>
      <c r="AD104" s="198"/>
      <c r="AE104" s="173"/>
      <c r="BA104" s="53">
        <v>101</v>
      </c>
      <c r="BB104" s="54">
        <f t="shared" si="47"/>
        <v>0</v>
      </c>
      <c r="BC104" s="50">
        <f t="shared" si="48"/>
        <v>0</v>
      </c>
      <c r="BD104" s="55">
        <f t="shared" si="49"/>
        <v>0</v>
      </c>
      <c r="BE104" s="55">
        <f t="shared" si="49"/>
        <v>0</v>
      </c>
      <c r="BF104" s="138">
        <v>90</v>
      </c>
      <c r="BG104" s="6"/>
      <c r="BH104" s="6"/>
      <c r="BI104" s="6" t="b">
        <v>0</v>
      </c>
      <c r="BJ104" s="96">
        <v>120</v>
      </c>
      <c r="BK104" s="6"/>
      <c r="BL104" s="6"/>
      <c r="BM104" s="6" t="b">
        <v>0</v>
      </c>
      <c r="CC104" s="96" t="e">
        <f>$BW$11&amp;#REF!</f>
        <v>#REF!</v>
      </c>
      <c r="CD104" s="99" t="e">
        <f>#REF!</f>
        <v>#REF!</v>
      </c>
      <c r="CE104" s="471" t="e">
        <f>IF(OR(#REF!="",#REF!=0),0,11)</f>
        <v>#REF!</v>
      </c>
      <c r="CF104" s="471">
        <v>110</v>
      </c>
      <c r="CG104" s="473">
        <v>11</v>
      </c>
    </row>
    <row r="105" spans="1:85" ht="24.95" customHeight="1">
      <c r="A105" s="510">
        <v>97</v>
      </c>
      <c r="B105" s="1598"/>
      <c r="C105" s="1599"/>
      <c r="D105" s="1599"/>
      <c r="E105" s="1599"/>
      <c r="F105" s="1599"/>
      <c r="G105" s="1600"/>
      <c r="H105" s="340"/>
      <c r="I105" s="341"/>
      <c r="J105" s="342"/>
      <c r="K105" s="498"/>
      <c r="L105" s="498"/>
      <c r="M105" s="533"/>
      <c r="N105" s="509">
        <v>127</v>
      </c>
      <c r="O105" s="1598"/>
      <c r="P105" s="1599"/>
      <c r="Q105" s="1599"/>
      <c r="R105" s="1599"/>
      <c r="S105" s="1599"/>
      <c r="T105" s="1600"/>
      <c r="U105" s="340"/>
      <c r="V105" s="341"/>
      <c r="W105" s="342"/>
      <c r="X105" s="498"/>
      <c r="Y105" s="498"/>
      <c r="Z105" s="342"/>
      <c r="AD105" s="198"/>
      <c r="AE105" s="173"/>
      <c r="BA105" s="53">
        <v>102</v>
      </c>
      <c r="BB105" s="54">
        <f t="shared" si="47"/>
        <v>0</v>
      </c>
      <c r="BC105" s="50">
        <f t="shared" si="48"/>
        <v>0</v>
      </c>
      <c r="BD105" s="55">
        <f t="shared" si="49"/>
        <v>0</v>
      </c>
      <c r="BE105" s="55">
        <f t="shared" si="49"/>
        <v>0</v>
      </c>
      <c r="BF105" s="138">
        <v>91</v>
      </c>
      <c r="BG105" s="6"/>
      <c r="BH105" s="6"/>
      <c r="BI105" s="6" t="b">
        <v>0</v>
      </c>
      <c r="BJ105" s="96">
        <v>121</v>
      </c>
      <c r="BK105" s="6"/>
      <c r="BL105" s="6"/>
      <c r="BM105" s="6" t="b">
        <v>0</v>
      </c>
      <c r="CC105" s="96" t="str">
        <f t="shared" ref="CC105" si="50">$BW$11&amp;BF28</f>
        <v>中日帰/特・療・精</v>
      </c>
      <c r="CD105" s="99">
        <f t="shared" ref="CD105" si="51">BW28</f>
        <v>0</v>
      </c>
      <c r="CE105" s="471">
        <f>IF(OR(BW28="",BW28=0),0,10)</f>
        <v>0</v>
      </c>
      <c r="CF105" s="471">
        <v>110</v>
      </c>
      <c r="CG105" s="473">
        <v>10</v>
      </c>
    </row>
    <row r="106" spans="1:85" ht="24.95" customHeight="1">
      <c r="A106" s="510">
        <v>98</v>
      </c>
      <c r="B106" s="1598"/>
      <c r="C106" s="1599"/>
      <c r="D106" s="1599"/>
      <c r="E106" s="1599"/>
      <c r="F106" s="1599"/>
      <c r="G106" s="1600"/>
      <c r="H106" s="340"/>
      <c r="I106" s="341"/>
      <c r="J106" s="342"/>
      <c r="K106" s="498"/>
      <c r="L106" s="498"/>
      <c r="M106" s="533"/>
      <c r="N106" s="509">
        <v>128</v>
      </c>
      <c r="O106" s="1598"/>
      <c r="P106" s="1599"/>
      <c r="Q106" s="1599"/>
      <c r="R106" s="1599"/>
      <c r="S106" s="1599"/>
      <c r="T106" s="1600"/>
      <c r="U106" s="340"/>
      <c r="V106" s="341"/>
      <c r="W106" s="342"/>
      <c r="X106" s="498"/>
      <c r="Y106" s="498"/>
      <c r="Z106" s="342"/>
      <c r="AD106" s="198"/>
      <c r="AE106" s="173"/>
      <c r="BA106" s="53">
        <v>103</v>
      </c>
      <c r="BB106" s="54">
        <f t="shared" si="47"/>
        <v>0</v>
      </c>
      <c r="BC106" s="50">
        <f t="shared" si="48"/>
        <v>0</v>
      </c>
      <c r="BD106" s="55">
        <f t="shared" si="49"/>
        <v>0</v>
      </c>
      <c r="BE106" s="55">
        <f t="shared" si="49"/>
        <v>0</v>
      </c>
      <c r="BF106" s="138">
        <v>92</v>
      </c>
      <c r="BG106" s="6"/>
      <c r="BH106" s="6"/>
      <c r="BI106" s="6" t="b">
        <v>0</v>
      </c>
      <c r="BJ106" s="96">
        <v>122</v>
      </c>
      <c r="BK106" s="6"/>
      <c r="BL106" s="6"/>
      <c r="BM106" s="6" t="b">
        <v>0</v>
      </c>
      <c r="CC106" s="96" t="str">
        <f>BX11&amp;BF17</f>
        <v>引泊/介添</v>
      </c>
      <c r="CD106" s="99">
        <f>BX17</f>
        <v>0</v>
      </c>
      <c r="CE106" s="471">
        <f>IF(OR(BX17="",BX17=0),0,8)</f>
        <v>0</v>
      </c>
      <c r="CF106" s="471">
        <v>330</v>
      </c>
      <c r="CG106" s="472">
        <v>8</v>
      </c>
    </row>
    <row r="107" spans="1:85" ht="24.95" customHeight="1">
      <c r="A107" s="510">
        <v>99</v>
      </c>
      <c r="B107" s="1598"/>
      <c r="C107" s="1599"/>
      <c r="D107" s="1599"/>
      <c r="E107" s="1599"/>
      <c r="F107" s="1599"/>
      <c r="G107" s="1600"/>
      <c r="H107" s="340"/>
      <c r="I107" s="341"/>
      <c r="J107" s="342"/>
      <c r="K107" s="498"/>
      <c r="L107" s="498"/>
      <c r="M107" s="533"/>
      <c r="N107" s="509">
        <v>129</v>
      </c>
      <c r="O107" s="1598"/>
      <c r="P107" s="1599"/>
      <c r="Q107" s="1599"/>
      <c r="R107" s="1599"/>
      <c r="S107" s="1599"/>
      <c r="T107" s="1600"/>
      <c r="U107" s="340"/>
      <c r="V107" s="341"/>
      <c r="W107" s="342"/>
      <c r="X107" s="498"/>
      <c r="Y107" s="498"/>
      <c r="Z107" s="342"/>
      <c r="AD107" s="198"/>
      <c r="AE107" s="173"/>
      <c r="BA107" s="53">
        <v>104</v>
      </c>
      <c r="BB107" s="54">
        <f t="shared" si="47"/>
        <v>0</v>
      </c>
      <c r="BC107" s="50">
        <f t="shared" si="48"/>
        <v>0</v>
      </c>
      <c r="BD107" s="55">
        <f t="shared" si="49"/>
        <v>0</v>
      </c>
      <c r="BE107" s="55">
        <f t="shared" si="49"/>
        <v>0</v>
      </c>
      <c r="BF107" s="138">
        <v>93</v>
      </c>
      <c r="BG107" s="6"/>
      <c r="BH107" s="6"/>
      <c r="BI107" s="6" t="b">
        <v>0</v>
      </c>
      <c r="BJ107" s="96">
        <v>123</v>
      </c>
      <c r="BK107" s="6"/>
      <c r="BL107" s="6"/>
      <c r="BM107" s="6" t="b">
        <v>0</v>
      </c>
      <c r="CC107" s="96" t="str">
        <f>BY11&amp;BF17</f>
        <v>引日帰/介添</v>
      </c>
      <c r="CD107" s="99">
        <f>BY17</f>
        <v>0</v>
      </c>
      <c r="CE107" s="471">
        <f>IF(OR(BY17="",BY17=0),0,6)</f>
        <v>0</v>
      </c>
      <c r="CF107" s="471">
        <v>110</v>
      </c>
      <c r="CG107" s="472">
        <v>6</v>
      </c>
    </row>
    <row r="108" spans="1:85" ht="24.95" customHeight="1">
      <c r="A108" s="510">
        <v>100</v>
      </c>
      <c r="B108" s="1598"/>
      <c r="C108" s="1599"/>
      <c r="D108" s="1599"/>
      <c r="E108" s="1599"/>
      <c r="F108" s="1599"/>
      <c r="G108" s="1600"/>
      <c r="H108" s="340"/>
      <c r="I108" s="341"/>
      <c r="J108" s="342"/>
      <c r="K108" s="498"/>
      <c r="L108" s="498"/>
      <c r="M108" s="533"/>
      <c r="N108" s="509">
        <v>130</v>
      </c>
      <c r="O108" s="1598"/>
      <c r="P108" s="1599"/>
      <c r="Q108" s="1599"/>
      <c r="R108" s="1599"/>
      <c r="S108" s="1599"/>
      <c r="T108" s="1600"/>
      <c r="U108" s="340"/>
      <c r="V108" s="341"/>
      <c r="W108" s="342"/>
      <c r="X108" s="498"/>
      <c r="Y108" s="498"/>
      <c r="Z108" s="342"/>
      <c r="AD108" s="198"/>
      <c r="AE108" s="173"/>
      <c r="BA108" s="53">
        <v>105</v>
      </c>
      <c r="BB108" s="54">
        <f t="shared" si="47"/>
        <v>0</v>
      </c>
      <c r="BC108" s="50">
        <f t="shared" si="48"/>
        <v>0</v>
      </c>
      <c r="BD108" s="55">
        <f t="shared" si="49"/>
        <v>0</v>
      </c>
      <c r="BE108" s="55">
        <f t="shared" si="49"/>
        <v>0</v>
      </c>
      <c r="BF108" s="138">
        <v>94</v>
      </c>
      <c r="BG108" s="6"/>
      <c r="BH108" s="6"/>
      <c r="BI108" s="6" t="b">
        <v>0</v>
      </c>
      <c r="BJ108" s="96">
        <v>124</v>
      </c>
      <c r="BK108" s="6"/>
      <c r="BL108" s="6"/>
      <c r="BM108" s="6" t="b">
        <v>0</v>
      </c>
      <c r="CC108" s="96" t="str">
        <f>BZ11&amp;BF17</f>
        <v>一般泊/介添</v>
      </c>
      <c r="CD108" s="6">
        <f>BZ17</f>
        <v>0</v>
      </c>
      <c r="CE108" s="471">
        <f>IF(OR(BZ17="",BZ17=0),0,4)</f>
        <v>0</v>
      </c>
      <c r="CF108" s="471">
        <v>1100</v>
      </c>
      <c r="CG108" s="472">
        <v>4</v>
      </c>
    </row>
    <row r="109" spans="1:85" ht="24.95" customHeight="1">
      <c r="A109" s="510">
        <v>101</v>
      </c>
      <c r="B109" s="1598"/>
      <c r="C109" s="1599"/>
      <c r="D109" s="1599"/>
      <c r="E109" s="1599"/>
      <c r="F109" s="1599"/>
      <c r="G109" s="1600"/>
      <c r="H109" s="340"/>
      <c r="I109" s="341"/>
      <c r="J109" s="342"/>
      <c r="K109" s="498"/>
      <c r="L109" s="498"/>
      <c r="M109" s="498"/>
      <c r="N109" s="573">
        <v>131</v>
      </c>
      <c r="O109" s="1605"/>
      <c r="P109" s="1599"/>
      <c r="Q109" s="1599"/>
      <c r="R109" s="1599"/>
      <c r="S109" s="1599"/>
      <c r="T109" s="1600"/>
      <c r="U109" s="340"/>
      <c r="V109" s="341"/>
      <c r="W109" s="342"/>
      <c r="X109" s="498"/>
      <c r="Y109" s="498"/>
      <c r="Z109" s="342"/>
      <c r="AD109" s="198"/>
      <c r="AE109" s="173"/>
      <c r="BA109" s="53">
        <v>106</v>
      </c>
      <c r="BB109" s="54">
        <f t="shared" si="47"/>
        <v>0</v>
      </c>
      <c r="BC109" s="50">
        <f t="shared" si="48"/>
        <v>0</v>
      </c>
      <c r="BD109" s="55">
        <f t="shared" si="49"/>
        <v>0</v>
      </c>
      <c r="BE109" s="55">
        <f t="shared" si="49"/>
        <v>0</v>
      </c>
      <c r="BF109" s="138">
        <v>95</v>
      </c>
      <c r="BG109" s="6"/>
      <c r="BH109" s="6"/>
      <c r="BI109" s="6" t="b">
        <v>0</v>
      </c>
      <c r="BJ109" s="96">
        <v>125</v>
      </c>
      <c r="BK109" s="6"/>
      <c r="BL109" s="6"/>
      <c r="BM109" s="6" t="b">
        <v>0</v>
      </c>
      <c r="CC109" s="96" t="str">
        <f>CA11&amp;BF17</f>
        <v>一般日帰/介添</v>
      </c>
      <c r="CD109" s="99">
        <f>CA17</f>
        <v>0</v>
      </c>
      <c r="CE109" s="471">
        <f>IF(OR(CA17="",CA17=0),0,2)</f>
        <v>0</v>
      </c>
      <c r="CF109" s="471">
        <v>350</v>
      </c>
      <c r="CG109" s="472">
        <v>2</v>
      </c>
    </row>
    <row r="110" spans="1:85" ht="24.95" customHeight="1">
      <c r="A110" s="510">
        <v>102</v>
      </c>
      <c r="B110" s="1598"/>
      <c r="C110" s="1599"/>
      <c r="D110" s="1599"/>
      <c r="E110" s="1599"/>
      <c r="F110" s="1599"/>
      <c r="G110" s="1600"/>
      <c r="H110" s="340"/>
      <c r="I110" s="341"/>
      <c r="J110" s="342"/>
      <c r="K110" s="498"/>
      <c r="L110" s="498"/>
      <c r="M110" s="533"/>
      <c r="N110" s="509">
        <v>132</v>
      </c>
      <c r="O110" s="1605"/>
      <c r="P110" s="1599"/>
      <c r="Q110" s="1599"/>
      <c r="R110" s="1599"/>
      <c r="S110" s="1599"/>
      <c r="T110" s="1600"/>
      <c r="U110" s="340"/>
      <c r="V110" s="341"/>
      <c r="W110" s="342"/>
      <c r="X110" s="498"/>
      <c r="Y110" s="498"/>
      <c r="Z110" s="342"/>
      <c r="AD110" s="198"/>
      <c r="AE110" s="173"/>
      <c r="BA110" s="53">
        <v>107</v>
      </c>
      <c r="BB110" s="54">
        <f t="shared" si="47"/>
        <v>0</v>
      </c>
      <c r="BC110" s="50">
        <f t="shared" si="48"/>
        <v>0</v>
      </c>
      <c r="BD110" s="55">
        <f t="shared" si="49"/>
        <v>0</v>
      </c>
      <c r="BE110" s="55">
        <f t="shared" si="49"/>
        <v>0</v>
      </c>
      <c r="BF110" s="138">
        <v>96</v>
      </c>
      <c r="BG110" s="6"/>
      <c r="BH110" s="6"/>
      <c r="BI110" s="6" t="b">
        <v>0</v>
      </c>
      <c r="BJ110" s="96">
        <v>126</v>
      </c>
      <c r="BK110" s="6"/>
      <c r="BL110" s="6"/>
      <c r="BM110" s="6" t="b">
        <v>0</v>
      </c>
      <c r="CC110" t="s">
        <v>535</v>
      </c>
      <c r="CD110">
        <f>BK61</f>
        <v>0</v>
      </c>
      <c r="CE110" s="471">
        <f>IF(OR(BK61="",BK61=0),0,1)</f>
        <v>0</v>
      </c>
      <c r="CF110" s="472"/>
      <c r="CG110" s="472">
        <v>1</v>
      </c>
    </row>
    <row r="111" spans="1:85" ht="24.95" customHeight="1">
      <c r="A111" s="510">
        <v>103</v>
      </c>
      <c r="B111" s="1598"/>
      <c r="C111" s="1599"/>
      <c r="D111" s="1599"/>
      <c r="E111" s="1599"/>
      <c r="F111" s="1599"/>
      <c r="G111" s="1600"/>
      <c r="H111" s="340"/>
      <c r="I111" s="341"/>
      <c r="J111" s="342"/>
      <c r="K111" s="498"/>
      <c r="L111" s="498"/>
      <c r="M111" s="533"/>
      <c r="N111" s="509">
        <v>133</v>
      </c>
      <c r="O111" s="1605"/>
      <c r="P111" s="1599"/>
      <c r="Q111" s="1599"/>
      <c r="R111" s="1599"/>
      <c r="S111" s="1599"/>
      <c r="T111" s="1600"/>
      <c r="U111" s="340"/>
      <c r="V111" s="341"/>
      <c r="W111" s="342"/>
      <c r="X111" s="498"/>
      <c r="Y111" s="498"/>
      <c r="Z111" s="342"/>
      <c r="AD111" s="198"/>
      <c r="AE111" s="173"/>
      <c r="BA111" s="53">
        <v>108</v>
      </c>
      <c r="BB111" s="54">
        <f t="shared" si="47"/>
        <v>0</v>
      </c>
      <c r="BC111" s="50">
        <f t="shared" si="48"/>
        <v>0</v>
      </c>
      <c r="BD111" s="55">
        <f t="shared" si="49"/>
        <v>0</v>
      </c>
      <c r="BE111" s="55">
        <f t="shared" si="49"/>
        <v>0</v>
      </c>
      <c r="BF111" s="138">
        <v>97</v>
      </c>
      <c r="BG111" s="6"/>
      <c r="BH111" s="6"/>
      <c r="BI111" s="6" t="b">
        <v>0</v>
      </c>
      <c r="BJ111" s="96">
        <v>127</v>
      </c>
      <c r="BK111" s="6"/>
      <c r="BL111" s="6"/>
      <c r="BM111" s="6" t="b">
        <v>0</v>
      </c>
    </row>
    <row r="112" spans="1:85" ht="24.95" customHeight="1">
      <c r="A112" s="510">
        <v>104</v>
      </c>
      <c r="B112" s="1598"/>
      <c r="C112" s="1599"/>
      <c r="D112" s="1599"/>
      <c r="E112" s="1599"/>
      <c r="F112" s="1599"/>
      <c r="G112" s="1600"/>
      <c r="H112" s="340"/>
      <c r="I112" s="341"/>
      <c r="J112" s="342"/>
      <c r="K112" s="498"/>
      <c r="L112" s="498"/>
      <c r="M112" s="533"/>
      <c r="N112" s="509">
        <v>134</v>
      </c>
      <c r="O112" s="1605"/>
      <c r="P112" s="1599"/>
      <c r="Q112" s="1599"/>
      <c r="R112" s="1599"/>
      <c r="S112" s="1599"/>
      <c r="T112" s="1600"/>
      <c r="U112" s="340"/>
      <c r="V112" s="341"/>
      <c r="W112" s="342"/>
      <c r="X112" s="498"/>
      <c r="Y112" s="498"/>
      <c r="Z112" s="342"/>
      <c r="AD112" s="198"/>
      <c r="AE112" s="173"/>
      <c r="BA112" s="53">
        <v>109</v>
      </c>
      <c r="BB112" s="54">
        <f t="shared" si="47"/>
        <v>0</v>
      </c>
      <c r="BC112" s="50">
        <f t="shared" si="48"/>
        <v>0</v>
      </c>
      <c r="BD112" s="55">
        <f t="shared" si="49"/>
        <v>0</v>
      </c>
      <c r="BE112" s="55">
        <f t="shared" si="49"/>
        <v>0</v>
      </c>
      <c r="BF112" s="138">
        <v>98</v>
      </c>
      <c r="BG112" s="6"/>
      <c r="BH112" s="6"/>
      <c r="BI112" s="6" t="b">
        <v>0</v>
      </c>
      <c r="BJ112" s="96">
        <v>128</v>
      </c>
      <c r="BK112" s="6"/>
      <c r="BL112" s="6"/>
      <c r="BM112" s="6" t="b">
        <v>0</v>
      </c>
    </row>
    <row r="113" spans="1:65" ht="24.95" customHeight="1">
      <c r="A113" s="510">
        <v>105</v>
      </c>
      <c r="B113" s="1598"/>
      <c r="C113" s="1599"/>
      <c r="D113" s="1599"/>
      <c r="E113" s="1599"/>
      <c r="F113" s="1599"/>
      <c r="G113" s="1600"/>
      <c r="H113" s="340"/>
      <c r="I113" s="341"/>
      <c r="J113" s="342"/>
      <c r="K113" s="498"/>
      <c r="L113" s="498"/>
      <c r="M113" s="533"/>
      <c r="N113" s="509">
        <v>135</v>
      </c>
      <c r="O113" s="1605"/>
      <c r="P113" s="1599"/>
      <c r="Q113" s="1599"/>
      <c r="R113" s="1599"/>
      <c r="S113" s="1599"/>
      <c r="T113" s="1600"/>
      <c r="U113" s="340"/>
      <c r="V113" s="341"/>
      <c r="W113" s="342"/>
      <c r="X113" s="498"/>
      <c r="Y113" s="498"/>
      <c r="Z113" s="342"/>
      <c r="AD113" s="198"/>
      <c r="AE113" s="173"/>
      <c r="BA113" s="53">
        <v>110</v>
      </c>
      <c r="BB113" s="54">
        <f t="shared" si="47"/>
        <v>0</v>
      </c>
      <c r="BC113" s="50">
        <f t="shared" si="48"/>
        <v>0</v>
      </c>
      <c r="BD113" s="55">
        <f t="shared" si="49"/>
        <v>0</v>
      </c>
      <c r="BE113" s="55">
        <f t="shared" si="49"/>
        <v>0</v>
      </c>
      <c r="BF113" s="138">
        <v>99</v>
      </c>
      <c r="BG113" s="6"/>
      <c r="BH113" s="6"/>
      <c r="BI113" s="6" t="b">
        <v>0</v>
      </c>
      <c r="BJ113" s="96">
        <v>129</v>
      </c>
      <c r="BK113" s="6"/>
      <c r="BL113" s="6"/>
      <c r="BM113" s="6" t="b">
        <v>0</v>
      </c>
    </row>
    <row r="114" spans="1:65" ht="24.95" customHeight="1">
      <c r="A114" s="510">
        <v>106</v>
      </c>
      <c r="B114" s="1598"/>
      <c r="C114" s="1599"/>
      <c r="D114" s="1599"/>
      <c r="E114" s="1599"/>
      <c r="F114" s="1599"/>
      <c r="G114" s="1600"/>
      <c r="H114" s="340"/>
      <c r="I114" s="341"/>
      <c r="J114" s="342"/>
      <c r="K114" s="498"/>
      <c r="L114" s="498"/>
      <c r="M114" s="533"/>
      <c r="N114" s="509">
        <v>136</v>
      </c>
      <c r="O114" s="1605"/>
      <c r="P114" s="1599"/>
      <c r="Q114" s="1599"/>
      <c r="R114" s="1599"/>
      <c r="S114" s="1599"/>
      <c r="T114" s="1600"/>
      <c r="U114" s="340"/>
      <c r="V114" s="341"/>
      <c r="W114" s="342"/>
      <c r="X114" s="498"/>
      <c r="Y114" s="498"/>
      <c r="Z114" s="342"/>
      <c r="AD114" s="198"/>
      <c r="AE114" s="173"/>
      <c r="BA114" s="53">
        <v>111</v>
      </c>
      <c r="BB114" s="54">
        <f t="shared" ref="BB114:BB143" si="52">COUNTA(U89:V89)</f>
        <v>0</v>
      </c>
      <c r="BC114" s="50">
        <f>COUNTA(X89)</f>
        <v>0</v>
      </c>
      <c r="BD114" s="55">
        <f t="shared" ref="BD114:BD143" si="53">BB114-COUNTA(U89)</f>
        <v>0</v>
      </c>
      <c r="BE114" s="55">
        <f t="shared" ref="BE114:BE143" si="54">BC114-COUNTA(V89)</f>
        <v>0</v>
      </c>
      <c r="BF114" s="138">
        <v>100</v>
      </c>
      <c r="BG114" s="6"/>
      <c r="BH114" s="6"/>
      <c r="BI114" s="6" t="b">
        <v>0</v>
      </c>
      <c r="BJ114" s="96">
        <v>130</v>
      </c>
      <c r="BK114" s="6"/>
      <c r="BL114" s="6"/>
      <c r="BM114" s="6" t="b">
        <v>0</v>
      </c>
    </row>
    <row r="115" spans="1:65" ht="24.95" customHeight="1">
      <c r="A115" s="510">
        <v>107</v>
      </c>
      <c r="B115" s="1598"/>
      <c r="C115" s="1599"/>
      <c r="D115" s="1599"/>
      <c r="E115" s="1599"/>
      <c r="F115" s="1599"/>
      <c r="G115" s="1600"/>
      <c r="H115" s="340"/>
      <c r="I115" s="341"/>
      <c r="J115" s="342"/>
      <c r="K115" s="498"/>
      <c r="L115" s="498"/>
      <c r="M115" s="533"/>
      <c r="N115" s="509">
        <v>137</v>
      </c>
      <c r="O115" s="1605"/>
      <c r="P115" s="1599"/>
      <c r="Q115" s="1599"/>
      <c r="R115" s="1599"/>
      <c r="S115" s="1599"/>
      <c r="T115" s="1600"/>
      <c r="U115" s="340"/>
      <c r="V115" s="341"/>
      <c r="W115" s="342"/>
      <c r="X115" s="498"/>
      <c r="Y115" s="498"/>
      <c r="Z115" s="342"/>
      <c r="AD115" s="198"/>
      <c r="AE115" s="465"/>
      <c r="BA115" s="53">
        <v>112</v>
      </c>
      <c r="BB115" s="54">
        <f t="shared" si="52"/>
        <v>0</v>
      </c>
      <c r="BC115" s="50">
        <f t="shared" ref="BC115:BC143" si="55">COUNTA(X90)</f>
        <v>0</v>
      </c>
      <c r="BD115" s="55">
        <f t="shared" si="53"/>
        <v>0</v>
      </c>
      <c r="BE115" s="55">
        <f t="shared" si="54"/>
        <v>0</v>
      </c>
      <c r="BF115" s="138">
        <v>101</v>
      </c>
      <c r="BG115" s="6"/>
      <c r="BH115" s="6"/>
      <c r="BI115" s="6" t="b">
        <v>0</v>
      </c>
      <c r="BJ115" s="96">
        <v>131</v>
      </c>
      <c r="BK115" s="6"/>
      <c r="BL115" s="6"/>
      <c r="BM115" s="6" t="b">
        <v>0</v>
      </c>
    </row>
    <row r="116" spans="1:65" ht="24.95" customHeight="1">
      <c r="A116" s="510">
        <v>108</v>
      </c>
      <c r="B116" s="1598"/>
      <c r="C116" s="1599"/>
      <c r="D116" s="1599"/>
      <c r="E116" s="1599"/>
      <c r="F116" s="1599"/>
      <c r="G116" s="1600"/>
      <c r="H116" s="340"/>
      <c r="I116" s="341"/>
      <c r="J116" s="342"/>
      <c r="K116" s="498"/>
      <c r="L116" s="498"/>
      <c r="M116" s="533"/>
      <c r="N116" s="509">
        <v>138</v>
      </c>
      <c r="O116" s="1605"/>
      <c r="P116" s="1599"/>
      <c r="Q116" s="1599"/>
      <c r="R116" s="1599"/>
      <c r="S116" s="1599"/>
      <c r="T116" s="1600"/>
      <c r="U116" s="340"/>
      <c r="V116" s="341"/>
      <c r="W116" s="342"/>
      <c r="X116" s="498"/>
      <c r="Y116" s="498"/>
      <c r="Z116" s="342"/>
      <c r="AD116" s="198"/>
      <c r="AE116" s="465"/>
      <c r="BA116" s="53">
        <v>113</v>
      </c>
      <c r="BB116" s="54">
        <f t="shared" si="52"/>
        <v>0</v>
      </c>
      <c r="BC116" s="50">
        <f t="shared" si="55"/>
        <v>0</v>
      </c>
      <c r="BD116" s="55">
        <f t="shared" si="53"/>
        <v>0</v>
      </c>
      <c r="BE116" s="55">
        <f t="shared" si="54"/>
        <v>0</v>
      </c>
      <c r="BF116" s="138">
        <v>102</v>
      </c>
      <c r="BG116" s="6"/>
      <c r="BH116" s="6"/>
      <c r="BI116" s="6" t="b">
        <v>0</v>
      </c>
      <c r="BJ116" s="96">
        <v>132</v>
      </c>
      <c r="BK116" s="6"/>
      <c r="BL116" s="6"/>
      <c r="BM116" s="6" t="b">
        <v>0</v>
      </c>
    </row>
    <row r="117" spans="1:65" ht="24.95" customHeight="1">
      <c r="A117" s="510">
        <v>109</v>
      </c>
      <c r="B117" s="1598"/>
      <c r="C117" s="1599"/>
      <c r="D117" s="1599"/>
      <c r="E117" s="1599"/>
      <c r="F117" s="1599"/>
      <c r="G117" s="1600"/>
      <c r="H117" s="340"/>
      <c r="I117" s="341"/>
      <c r="J117" s="342"/>
      <c r="K117" s="498"/>
      <c r="L117" s="498"/>
      <c r="M117" s="533"/>
      <c r="N117" s="509">
        <v>139</v>
      </c>
      <c r="O117" s="1605"/>
      <c r="P117" s="1599"/>
      <c r="Q117" s="1599"/>
      <c r="R117" s="1599"/>
      <c r="S117" s="1599"/>
      <c r="T117" s="1600"/>
      <c r="U117" s="340"/>
      <c r="V117" s="341"/>
      <c r="W117" s="342"/>
      <c r="X117" s="498"/>
      <c r="Y117" s="498"/>
      <c r="Z117" s="342"/>
      <c r="AD117" s="198"/>
      <c r="AE117" s="465"/>
      <c r="BA117" s="53">
        <v>114</v>
      </c>
      <c r="BB117" s="54">
        <f t="shared" si="52"/>
        <v>0</v>
      </c>
      <c r="BC117" s="50">
        <f t="shared" si="55"/>
        <v>0</v>
      </c>
      <c r="BD117" s="55">
        <f t="shared" si="53"/>
        <v>0</v>
      </c>
      <c r="BE117" s="55">
        <f t="shared" si="54"/>
        <v>0</v>
      </c>
      <c r="BF117" s="138">
        <v>103</v>
      </c>
      <c r="BG117" s="6"/>
      <c r="BH117" s="6"/>
      <c r="BI117" s="6" t="b">
        <v>0</v>
      </c>
      <c r="BJ117" s="96">
        <v>133</v>
      </c>
      <c r="BK117" s="6"/>
      <c r="BL117" s="6"/>
      <c r="BM117" s="6" t="b">
        <v>0</v>
      </c>
    </row>
    <row r="118" spans="1:65" ht="24.95" customHeight="1">
      <c r="A118" s="510">
        <v>110</v>
      </c>
      <c r="B118" s="1598"/>
      <c r="C118" s="1599"/>
      <c r="D118" s="1599"/>
      <c r="E118" s="1599"/>
      <c r="F118" s="1599"/>
      <c r="G118" s="1600"/>
      <c r="H118" s="340"/>
      <c r="I118" s="341"/>
      <c r="J118" s="342"/>
      <c r="K118" s="498"/>
      <c r="L118" s="498"/>
      <c r="M118" s="533"/>
      <c r="N118" s="509">
        <v>140</v>
      </c>
      <c r="O118" s="1605"/>
      <c r="P118" s="1599"/>
      <c r="Q118" s="1599"/>
      <c r="R118" s="1599"/>
      <c r="S118" s="1599"/>
      <c r="T118" s="1600"/>
      <c r="U118" s="340"/>
      <c r="V118" s="341"/>
      <c r="W118" s="342"/>
      <c r="X118" s="498"/>
      <c r="Y118" s="498"/>
      <c r="Z118" s="342"/>
      <c r="AD118" s="198"/>
      <c r="AE118" s="465"/>
      <c r="BA118" s="53">
        <v>115</v>
      </c>
      <c r="BB118" s="54">
        <f t="shared" si="52"/>
        <v>0</v>
      </c>
      <c r="BC118" s="50">
        <f t="shared" si="55"/>
        <v>0</v>
      </c>
      <c r="BD118" s="55">
        <f t="shared" si="53"/>
        <v>0</v>
      </c>
      <c r="BE118" s="55">
        <f t="shared" si="54"/>
        <v>0</v>
      </c>
      <c r="BF118" s="138">
        <v>104</v>
      </c>
      <c r="BG118" s="6"/>
      <c r="BH118" s="6"/>
      <c r="BI118" s="6" t="b">
        <v>0</v>
      </c>
      <c r="BJ118" s="96">
        <v>134</v>
      </c>
      <c r="BK118" s="6"/>
      <c r="BL118" s="6"/>
      <c r="BM118" s="6" t="b">
        <v>0</v>
      </c>
    </row>
    <row r="119" spans="1:65" ht="24.95" customHeight="1">
      <c r="A119" s="353"/>
      <c r="B119" s="350"/>
      <c r="C119" s="350"/>
      <c r="D119" s="350"/>
      <c r="E119" s="350"/>
      <c r="F119" s="350"/>
      <c r="G119" s="350"/>
      <c r="H119" s="350"/>
      <c r="I119" s="350"/>
      <c r="J119" s="350"/>
      <c r="K119" s="350"/>
      <c r="L119" s="350"/>
      <c r="M119" s="350"/>
      <c r="N119" s="350"/>
      <c r="O119" s="350"/>
      <c r="P119" s="350"/>
      <c r="Q119" s="350"/>
      <c r="R119" s="350"/>
      <c r="S119" s="350"/>
      <c r="T119" s="350"/>
      <c r="U119" s="350"/>
      <c r="V119" s="350"/>
      <c r="W119" s="350"/>
      <c r="X119" s="350"/>
      <c r="Y119" s="350"/>
      <c r="Z119" s="350"/>
      <c r="AD119" s="198"/>
      <c r="AE119" s="465"/>
      <c r="BA119" s="53">
        <v>116</v>
      </c>
      <c r="BB119" s="54">
        <f t="shared" si="52"/>
        <v>0</v>
      </c>
      <c r="BC119" s="50">
        <f t="shared" si="55"/>
        <v>0</v>
      </c>
      <c r="BD119" s="55">
        <f t="shared" si="53"/>
        <v>0</v>
      </c>
      <c r="BE119" s="55">
        <f t="shared" si="54"/>
        <v>0</v>
      </c>
      <c r="BF119" s="138">
        <v>105</v>
      </c>
      <c r="BG119" s="6"/>
      <c r="BH119" s="6"/>
      <c r="BI119" s="6" t="b">
        <v>0</v>
      </c>
      <c r="BJ119" s="96">
        <v>135</v>
      </c>
      <c r="BK119" s="6"/>
      <c r="BL119" s="6"/>
      <c r="BM119" s="6" t="b">
        <v>0</v>
      </c>
    </row>
    <row r="120" spans="1:65" ht="23.25">
      <c r="A120" s="1185" t="s">
        <v>108</v>
      </c>
      <c r="B120" s="1185"/>
      <c r="C120" s="1185"/>
      <c r="D120" s="1185"/>
      <c r="E120" s="1185"/>
      <c r="F120" s="1185"/>
      <c r="G120" s="1185"/>
      <c r="H120" s="1185"/>
      <c r="I120" s="1185"/>
      <c r="J120" s="1185"/>
      <c r="K120" s="1185"/>
      <c r="L120" s="1185"/>
      <c r="M120" s="1185"/>
      <c r="N120" s="1185"/>
      <c r="O120" s="1185"/>
      <c r="P120" s="1185"/>
      <c r="Q120" s="1185"/>
      <c r="R120" s="1185"/>
      <c r="S120" s="1185"/>
      <c r="T120" s="1185"/>
      <c r="U120" s="1185"/>
      <c r="V120" s="1185"/>
      <c r="W120" s="1185"/>
      <c r="X120" s="1185"/>
      <c r="Y120" s="1185"/>
      <c r="Z120" s="1185"/>
      <c r="AA120" s="8"/>
      <c r="AB120" s="8"/>
      <c r="AC120" s="8"/>
      <c r="AD120" s="198"/>
      <c r="AE120" s="465"/>
      <c r="AF120" s="8"/>
      <c r="AG120" s="8"/>
      <c r="AH120" s="8"/>
      <c r="AI120" s="8"/>
      <c r="AJ120" s="8"/>
      <c r="AK120" s="8"/>
      <c r="AL120" s="8"/>
      <c r="AM120" s="8"/>
      <c r="AN120" s="8"/>
      <c r="AO120" s="8"/>
      <c r="AP120" s="8"/>
      <c r="AQ120" s="8"/>
      <c r="AR120" s="8"/>
      <c r="AS120" s="8"/>
      <c r="AT120" s="8"/>
      <c r="AU120" s="8"/>
      <c r="AV120" s="8"/>
      <c r="AW120" s="8"/>
      <c r="AX120" s="8"/>
      <c r="AY120" s="8"/>
      <c r="AZ120" s="8"/>
      <c r="BA120" s="53">
        <v>117</v>
      </c>
      <c r="BB120" s="54">
        <f t="shared" si="52"/>
        <v>0</v>
      </c>
      <c r="BC120" s="50">
        <f t="shared" si="55"/>
        <v>0</v>
      </c>
      <c r="BD120" s="55">
        <f t="shared" si="53"/>
        <v>0</v>
      </c>
      <c r="BE120" s="55">
        <f t="shared" si="54"/>
        <v>0</v>
      </c>
      <c r="BF120" s="138">
        <v>106</v>
      </c>
      <c r="BG120" s="6"/>
      <c r="BH120" s="6"/>
      <c r="BI120" s="6" t="b">
        <v>0</v>
      </c>
      <c r="BJ120" s="96">
        <v>136</v>
      </c>
      <c r="BK120" s="6"/>
      <c r="BL120" s="6"/>
      <c r="BM120" s="6" t="b">
        <v>0</v>
      </c>
    </row>
    <row r="121" spans="1:65" ht="24" thickBot="1">
      <c r="A121" s="331">
        <f>COUNTIFS(K132:K161,"a",H132:H161,"&gt;0")</f>
        <v>0</v>
      </c>
      <c r="B121" s="331">
        <f>COUNTIFS(X132:X161,"a",U132:U161,"&gt;0")</f>
        <v>0</v>
      </c>
      <c r="C121" s="331">
        <f>COUNTIFS(K132:K161,"b",H132:H161,"&gt;0")</f>
        <v>0</v>
      </c>
      <c r="D121" s="331">
        <f>COUNTIFS(X132:X161,"b",U132:U161,"&gt;0")</f>
        <v>0</v>
      </c>
      <c r="E121" s="331">
        <f>COUNTIFS(K132:K161,"c",H132:H161,"&gt;0")</f>
        <v>0</v>
      </c>
      <c r="F121" s="331">
        <f>COUNTIFS(X132:X161,"c",U132:U161,"&gt;0")</f>
        <v>0</v>
      </c>
      <c r="G121" s="331">
        <f>COUNTIFS(K132:K161,"d",H132:H161,"&gt;0")</f>
        <v>0</v>
      </c>
      <c r="H121" s="331">
        <f>COUNTIFS(X132:X161,"d",U132:U161,"&gt;0")</f>
        <v>0</v>
      </c>
      <c r="I121" s="331">
        <f>COUNTIFS(K132:K161,"e",H132:H161,"&gt;0")</f>
        <v>0</v>
      </c>
      <c r="J121" s="331">
        <f>COUNTIFS(X132:X161,"e",U132:U161,"&gt;0")</f>
        <v>0</v>
      </c>
      <c r="K121" s="331">
        <f>COUNTIFS(K132:K161,"f",H132:H161,"&gt;0")</f>
        <v>0</v>
      </c>
      <c r="L121" s="331">
        <f>COUNTIFS(X132:X161,"f",U132:U161,"&gt;0")</f>
        <v>0</v>
      </c>
      <c r="M121" s="331">
        <f>COUNTIFS(K132:K161,"g",H132:H161,"&gt;0")</f>
        <v>0</v>
      </c>
      <c r="N121" s="331">
        <f>COUNTIFS(X132:X161,"g",U132:U161,"&gt;0")</f>
        <v>0</v>
      </c>
      <c r="O121" s="331">
        <f>COUNTIFS(K132:K161,"h",H132:H161,"&gt;0")</f>
        <v>0</v>
      </c>
      <c r="P121" s="331">
        <f>COUNTIFS(X132:X161,"h",U132:U161,"&gt;0")</f>
        <v>0</v>
      </c>
      <c r="Q121" s="331">
        <f>COUNTIFS(K132:K161,"i",H132:H161,"&gt;0")</f>
        <v>0</v>
      </c>
      <c r="R121" s="331">
        <f>COUNTIFS(X132:X161,"i",U132:U161,"&gt;0")</f>
        <v>0</v>
      </c>
      <c r="S121" s="332">
        <f>SUM(A121:R121)</f>
        <v>0</v>
      </c>
      <c r="T121" s="332"/>
      <c r="U121" s="332"/>
      <c r="V121" s="332"/>
      <c r="W121" s="1603" t="s">
        <v>310</v>
      </c>
      <c r="X121" s="1603"/>
      <c r="Y121" s="1603">
        <v>4</v>
      </c>
      <c r="Z121" s="1603"/>
      <c r="AA121" s="8"/>
      <c r="AB121" s="8"/>
      <c r="AC121" s="8"/>
      <c r="AD121" s="198"/>
      <c r="AE121" s="465"/>
      <c r="AF121" s="8"/>
      <c r="AG121" s="8"/>
      <c r="AH121" s="8"/>
      <c r="AI121" s="8"/>
      <c r="AJ121" s="8"/>
      <c r="AK121" s="8"/>
      <c r="AL121" s="8"/>
      <c r="AM121" s="8"/>
      <c r="AN121" s="8"/>
      <c r="AO121" s="8"/>
      <c r="AP121" s="8"/>
      <c r="AQ121" s="8"/>
      <c r="AR121" s="8"/>
      <c r="AS121" s="8"/>
      <c r="AT121" s="8"/>
      <c r="AU121" s="8"/>
      <c r="AV121" s="8"/>
      <c r="AW121" s="8"/>
      <c r="AX121" s="8"/>
      <c r="AY121" s="8"/>
      <c r="AZ121" s="8"/>
      <c r="BA121" s="53">
        <v>118</v>
      </c>
      <c r="BB121" s="54">
        <f t="shared" si="52"/>
        <v>0</v>
      </c>
      <c r="BC121" s="50">
        <f t="shared" si="55"/>
        <v>0</v>
      </c>
      <c r="BD121" s="55">
        <f t="shared" si="53"/>
        <v>0</v>
      </c>
      <c r="BE121" s="55">
        <f t="shared" si="54"/>
        <v>0</v>
      </c>
      <c r="BF121" s="138">
        <v>107</v>
      </c>
      <c r="BG121" s="6"/>
      <c r="BH121" s="6"/>
      <c r="BI121" s="6" t="b">
        <v>0</v>
      </c>
      <c r="BJ121" s="96">
        <v>137</v>
      </c>
      <c r="BK121" s="6"/>
      <c r="BL121" s="6"/>
      <c r="BM121" s="6" t="b">
        <v>0</v>
      </c>
    </row>
    <row r="122" spans="1:65" ht="23.25">
      <c r="A122" s="331">
        <f>COUNTIFS(K132:K161,"a",I132:I161,"&gt;0")</f>
        <v>0</v>
      </c>
      <c r="B122" s="331">
        <f>COUNTIFS(X132:X161,"a",V132:V161,"&gt;0")</f>
        <v>0</v>
      </c>
      <c r="C122" s="331">
        <f>COUNTIFS(K132:K161,"b",I132:I161,"&gt;0")</f>
        <v>0</v>
      </c>
      <c r="D122" s="331">
        <f>COUNTIFS(X132:X161,"b",V132:V161,"&gt;0")</f>
        <v>0</v>
      </c>
      <c r="E122" s="331">
        <f>COUNTIFS(K132:K161,"c",I132:I161,"&gt;0")</f>
        <v>0</v>
      </c>
      <c r="F122" s="331">
        <f>COUNTIFS(X132:X161,"c",V132:V161,"&gt;0")</f>
        <v>0</v>
      </c>
      <c r="G122" s="331">
        <f>COUNTIFS(K132:K161,"d",I132:I161,"&gt;0")</f>
        <v>0</v>
      </c>
      <c r="H122" s="331">
        <f>COUNTIFS(X132:X161,"d",V132:V161,"&gt;0")</f>
        <v>0</v>
      </c>
      <c r="I122" s="331">
        <f>COUNTIFS(K132:K161,"e",I132:I161,"&gt;0")</f>
        <v>0</v>
      </c>
      <c r="J122" s="331">
        <f>COUNTIFS(X132:X161,"e",V132:V161,"&gt;0")</f>
        <v>0</v>
      </c>
      <c r="K122" s="331">
        <f>COUNTIFS(K132:K161,"f",I132:I161,"&gt;0")</f>
        <v>0</v>
      </c>
      <c r="L122" s="331">
        <f>COUNTIFS(X132:X161,"f",V132:V161,"&gt;0")</f>
        <v>0</v>
      </c>
      <c r="M122" s="331">
        <f>COUNTIFS(K132:K161,"g",I132:I161,"&gt;0")</f>
        <v>0</v>
      </c>
      <c r="N122" s="331">
        <f>COUNTIFS(X132:X161,"g",V132:V161,"&gt;0")</f>
        <v>0</v>
      </c>
      <c r="O122" s="331">
        <f>COUNTIFS(K132:K161,"h",I132:I161,"&gt;0")</f>
        <v>0</v>
      </c>
      <c r="P122" s="331">
        <f>COUNTIFS(X132:X161,"h",V132:V161,"&gt;0")</f>
        <v>0</v>
      </c>
      <c r="Q122" s="331">
        <f>COUNTIFS(K132:K161,"i",I132:I161,"&gt;0")</f>
        <v>0</v>
      </c>
      <c r="R122" s="331">
        <f>COUNTIFS(X132:X161,"i",V132:V161,"&gt;0")</f>
        <v>0</v>
      </c>
      <c r="S122" s="332">
        <f>SUM(A122:R122)</f>
        <v>0</v>
      </c>
      <c r="T122" s="332"/>
      <c r="U122" s="332"/>
      <c r="V122" s="332"/>
      <c r="W122" s="333"/>
      <c r="X122" s="333"/>
      <c r="Y122" s="333"/>
      <c r="Z122" s="333"/>
      <c r="AA122" s="8"/>
      <c r="AB122" s="8"/>
      <c r="AC122" s="8"/>
      <c r="AD122" s="198"/>
      <c r="AE122" s="465"/>
      <c r="AF122" s="8"/>
      <c r="AG122" s="8"/>
      <c r="AH122" s="8"/>
      <c r="AI122" s="8"/>
      <c r="AJ122" s="8"/>
      <c r="AK122" s="8"/>
      <c r="AL122" s="8"/>
      <c r="AM122" s="8"/>
      <c r="AN122" s="8"/>
      <c r="AO122" s="8"/>
      <c r="AP122" s="8"/>
      <c r="AQ122" s="8"/>
      <c r="AR122" s="8"/>
      <c r="AS122" s="8"/>
      <c r="AT122" s="8"/>
      <c r="AU122" s="8"/>
      <c r="AV122" s="8"/>
      <c r="AW122" s="8"/>
      <c r="AX122" s="8"/>
      <c r="AY122" s="8"/>
      <c r="AZ122" s="8"/>
      <c r="BA122" s="53">
        <v>119</v>
      </c>
      <c r="BB122" s="54">
        <f t="shared" si="52"/>
        <v>0</v>
      </c>
      <c r="BC122" s="50">
        <f t="shared" si="55"/>
        <v>0</v>
      </c>
      <c r="BD122" s="55">
        <f t="shared" si="53"/>
        <v>0</v>
      </c>
      <c r="BE122" s="55">
        <f t="shared" si="54"/>
        <v>0</v>
      </c>
      <c r="BF122" s="138">
        <v>108</v>
      </c>
      <c r="BG122" s="6"/>
      <c r="BH122" s="6"/>
      <c r="BI122" s="6" t="b">
        <v>0</v>
      </c>
      <c r="BJ122" s="96">
        <v>138</v>
      </c>
      <c r="BK122" s="6"/>
      <c r="BL122" s="6"/>
      <c r="BM122" s="6" t="b">
        <v>0</v>
      </c>
    </row>
    <row r="123" spans="1:65" ht="36" customHeight="1">
      <c r="A123" s="1041" t="s">
        <v>71</v>
      </c>
      <c r="B123" s="1041"/>
      <c r="C123" s="1607" t="str">
        <f>C4</f>
        <v/>
      </c>
      <c r="D123" s="1607"/>
      <c r="E123" s="1607"/>
      <c r="F123" s="1607"/>
      <c r="G123" s="1607"/>
      <c r="H123" s="1607"/>
      <c r="I123" s="1607"/>
      <c r="J123" s="1607"/>
      <c r="K123" s="1607"/>
      <c r="L123" s="1607"/>
      <c r="M123" s="1607"/>
      <c r="N123" s="1607"/>
      <c r="O123" s="1607"/>
      <c r="P123" s="1607"/>
      <c r="Q123" s="1607"/>
      <c r="R123" s="1607"/>
      <c r="S123" s="1607"/>
      <c r="T123" s="1607"/>
      <c r="U123" s="326"/>
      <c r="V123" s="326"/>
      <c r="W123" s="326"/>
      <c r="X123" s="326"/>
      <c r="Y123" s="326"/>
      <c r="Z123" s="326"/>
      <c r="AA123" s="8"/>
      <c r="AB123" s="8"/>
      <c r="AC123" s="8"/>
      <c r="AD123" s="198"/>
      <c r="AE123" s="465"/>
      <c r="AF123" s="8"/>
      <c r="AG123" s="8"/>
      <c r="AH123" s="8"/>
      <c r="AI123" s="8"/>
      <c r="AJ123" s="8"/>
      <c r="AK123" s="8"/>
      <c r="AL123" s="8"/>
      <c r="AM123" s="8"/>
      <c r="AN123" s="8"/>
      <c r="AO123" s="8"/>
      <c r="AP123" s="8"/>
      <c r="AQ123" s="8"/>
      <c r="AR123" s="8"/>
      <c r="AS123" s="8"/>
      <c r="AT123" s="8"/>
      <c r="AU123" s="8"/>
      <c r="AV123" s="8"/>
      <c r="AW123" s="8"/>
      <c r="AX123" s="8"/>
      <c r="AY123" s="8"/>
      <c r="AZ123" s="8"/>
      <c r="BA123" s="53">
        <v>120</v>
      </c>
      <c r="BB123" s="54">
        <f t="shared" si="52"/>
        <v>0</v>
      </c>
      <c r="BC123" s="50">
        <f t="shared" si="55"/>
        <v>0</v>
      </c>
      <c r="BD123" s="55">
        <f t="shared" si="53"/>
        <v>0</v>
      </c>
      <c r="BE123" s="55">
        <f t="shared" si="54"/>
        <v>0</v>
      </c>
      <c r="BF123" s="138">
        <v>109</v>
      </c>
      <c r="BG123" s="6"/>
      <c r="BH123" s="6"/>
      <c r="BI123" s="6" t="b">
        <v>0</v>
      </c>
      <c r="BJ123" s="96">
        <v>139</v>
      </c>
      <c r="BK123" s="6"/>
      <c r="BL123" s="6"/>
      <c r="BM123" s="6" t="b">
        <v>0</v>
      </c>
    </row>
    <row r="124" spans="1:65" ht="15.95" customHeight="1">
      <c r="A124" s="1036" t="s">
        <v>70</v>
      </c>
      <c r="B124" s="1036"/>
      <c r="C124" s="1618">
        <f>C5</f>
        <v>0</v>
      </c>
      <c r="D124" s="1618"/>
      <c r="E124" s="1570" t="s">
        <v>13</v>
      </c>
      <c r="F124" s="1618">
        <f>F5</f>
        <v>0</v>
      </c>
      <c r="G124" s="1570" t="s">
        <v>12</v>
      </c>
      <c r="H124" s="1616">
        <f>H5</f>
        <v>0</v>
      </c>
      <c r="I124" s="1570" t="s">
        <v>11</v>
      </c>
      <c r="J124" s="1570" t="s">
        <v>311</v>
      </c>
      <c r="K124" s="1616">
        <f>K5</f>
        <v>0</v>
      </c>
      <c r="L124" s="1570" t="s">
        <v>312</v>
      </c>
      <c r="M124" s="1570" t="s">
        <v>292</v>
      </c>
      <c r="N124" s="1616">
        <f>N5</f>
        <v>0</v>
      </c>
      <c r="O124" s="1570" t="s">
        <v>12</v>
      </c>
      <c r="P124" s="1616">
        <f>P5</f>
        <v>0</v>
      </c>
      <c r="Q124" s="1570" t="s">
        <v>11</v>
      </c>
      <c r="R124" s="1570" t="s">
        <v>313</v>
      </c>
      <c r="S124" s="1616">
        <f>S5</f>
        <v>0</v>
      </c>
      <c r="T124" s="1570" t="s">
        <v>291</v>
      </c>
      <c r="U124" s="1570"/>
      <c r="V124" s="1570"/>
      <c r="W124" s="334" t="str">
        <f>W81</f>
        <v/>
      </c>
      <c r="X124" s="297" t="s">
        <v>41</v>
      </c>
      <c r="Y124" s="334" t="str">
        <f>Y81</f>
        <v/>
      </c>
      <c r="Z124" s="297" t="s">
        <v>11</v>
      </c>
      <c r="AA124" s="7"/>
      <c r="AB124" s="7"/>
      <c r="AC124" s="7"/>
      <c r="AD124" s="198"/>
      <c r="AE124" s="465"/>
      <c r="AF124" s="7"/>
      <c r="AG124" s="7"/>
      <c r="AH124" s="7"/>
      <c r="AI124" s="7"/>
      <c r="AJ124" s="7"/>
      <c r="AK124" s="7"/>
      <c r="AL124" s="7"/>
      <c r="AM124" s="7"/>
      <c r="AN124" s="7"/>
      <c r="AO124" s="7"/>
      <c r="AP124" s="7"/>
      <c r="AQ124" s="7"/>
      <c r="AR124" s="7"/>
      <c r="AS124" s="7"/>
      <c r="AT124" s="7"/>
      <c r="AU124" s="7"/>
      <c r="AV124" s="7"/>
      <c r="AW124" s="7"/>
      <c r="AX124" s="7"/>
      <c r="AY124" s="7"/>
      <c r="AZ124" s="7"/>
      <c r="BA124" s="53">
        <v>121</v>
      </c>
      <c r="BB124" s="54">
        <f t="shared" si="52"/>
        <v>0</v>
      </c>
      <c r="BC124" s="50">
        <f t="shared" si="55"/>
        <v>0</v>
      </c>
      <c r="BD124" s="55">
        <f t="shared" si="53"/>
        <v>0</v>
      </c>
      <c r="BE124" s="55">
        <f t="shared" si="54"/>
        <v>0</v>
      </c>
      <c r="BF124" s="138">
        <v>110</v>
      </c>
      <c r="BG124" s="6"/>
      <c r="BH124" s="6"/>
      <c r="BI124" s="6" t="b">
        <v>0</v>
      </c>
      <c r="BJ124" s="96">
        <v>140</v>
      </c>
      <c r="BK124" s="6"/>
      <c r="BL124" s="6"/>
      <c r="BM124" s="6" t="b">
        <v>0</v>
      </c>
    </row>
    <row r="125" spans="1:65" ht="15.95" customHeight="1">
      <c r="A125" s="1041"/>
      <c r="B125" s="1041"/>
      <c r="C125" s="1617"/>
      <c r="D125" s="1617"/>
      <c r="E125" s="1608"/>
      <c r="F125" s="1617"/>
      <c r="G125" s="1608"/>
      <c r="H125" s="1617"/>
      <c r="I125" s="1608"/>
      <c r="J125" s="1608"/>
      <c r="K125" s="1617"/>
      <c r="L125" s="1608"/>
      <c r="M125" s="1608"/>
      <c r="N125" s="1617"/>
      <c r="O125" s="1608"/>
      <c r="P125" s="1617"/>
      <c r="Q125" s="1608"/>
      <c r="R125" s="1608"/>
      <c r="S125" s="1617"/>
      <c r="T125" s="1608"/>
      <c r="U125" s="1570"/>
      <c r="V125" s="1570"/>
      <c r="W125" s="1570" t="s">
        <v>42</v>
      </c>
      <c r="X125" s="1570"/>
      <c r="Y125" s="336" t="str">
        <f>Y82</f>
        <v/>
      </c>
      <c r="Z125" s="297" t="s">
        <v>11</v>
      </c>
      <c r="AA125" s="7"/>
      <c r="AB125" s="7"/>
      <c r="AC125" s="7"/>
      <c r="AD125" s="198"/>
      <c r="AE125" s="465"/>
      <c r="AF125" s="7"/>
      <c r="AG125" s="7"/>
      <c r="AH125" s="7"/>
      <c r="AI125" s="7"/>
      <c r="AJ125" s="7"/>
      <c r="AK125" s="7"/>
      <c r="AL125" s="7"/>
      <c r="AM125" s="7"/>
      <c r="AN125" s="7"/>
      <c r="AO125" s="7"/>
      <c r="AP125" s="7"/>
      <c r="AQ125" s="7"/>
      <c r="AR125" s="7"/>
      <c r="AS125" s="7"/>
      <c r="AT125" s="7"/>
      <c r="AU125" s="7"/>
      <c r="AV125" s="7"/>
      <c r="AW125" s="7"/>
      <c r="AX125" s="7"/>
      <c r="AY125" s="7"/>
      <c r="AZ125" s="7"/>
      <c r="BA125" s="53">
        <v>122</v>
      </c>
      <c r="BB125" s="54">
        <f t="shared" si="52"/>
        <v>0</v>
      </c>
      <c r="BC125" s="50">
        <f t="shared" si="55"/>
        <v>0</v>
      </c>
      <c r="BD125" s="55">
        <f t="shared" si="53"/>
        <v>0</v>
      </c>
      <c r="BE125" s="55">
        <f t="shared" si="54"/>
        <v>0</v>
      </c>
    </row>
    <row r="126" spans="1:65" ht="24.95" customHeight="1">
      <c r="A126" s="337"/>
      <c r="B126" s="337"/>
      <c r="C126" s="337"/>
      <c r="D126" s="337"/>
      <c r="E126" s="337"/>
      <c r="F126" s="337"/>
      <c r="G126" s="337"/>
      <c r="H126" s="337"/>
      <c r="I126" s="337"/>
      <c r="J126" s="337"/>
      <c r="K126" s="337"/>
      <c r="L126" s="337"/>
      <c r="M126" s="337"/>
      <c r="N126" s="337"/>
      <c r="O126" s="337"/>
      <c r="P126" s="337"/>
      <c r="Q126" s="337"/>
      <c r="R126" s="337"/>
      <c r="S126" s="337"/>
      <c r="T126" s="337"/>
      <c r="U126" s="338"/>
      <c r="V126" s="338"/>
      <c r="W126" s="338"/>
      <c r="X126" s="338"/>
      <c r="Y126" s="338"/>
      <c r="Z126" s="338"/>
      <c r="AA126" s="7"/>
      <c r="AB126" s="7"/>
      <c r="AC126" s="7"/>
      <c r="AD126" s="198"/>
      <c r="AE126" s="465"/>
      <c r="AF126" s="7"/>
      <c r="AG126" s="7"/>
      <c r="AH126" s="7"/>
      <c r="AI126" s="7"/>
      <c r="AJ126" s="7"/>
      <c r="AK126" s="7"/>
      <c r="AL126" s="7"/>
      <c r="AM126" s="7"/>
      <c r="AN126" s="7"/>
      <c r="AO126" s="7"/>
      <c r="AP126" s="7"/>
      <c r="AQ126" s="7"/>
      <c r="AR126" s="7"/>
      <c r="AS126" s="7"/>
      <c r="AT126" s="7"/>
      <c r="AU126" s="7"/>
      <c r="AV126" s="7"/>
      <c r="AW126" s="7"/>
      <c r="AX126" s="7"/>
      <c r="AY126" s="7"/>
      <c r="AZ126" s="7"/>
      <c r="BA126" s="53">
        <v>123</v>
      </c>
      <c r="BB126" s="54">
        <f t="shared" si="52"/>
        <v>0</v>
      </c>
      <c r="BC126" s="50">
        <f t="shared" si="55"/>
        <v>0</v>
      </c>
      <c r="BD126" s="55">
        <f t="shared" si="53"/>
        <v>0</v>
      </c>
      <c r="BE126" s="55">
        <f t="shared" si="54"/>
        <v>0</v>
      </c>
    </row>
    <row r="127" spans="1:65" ht="13.5" customHeight="1">
      <c r="A127" s="1622" t="s">
        <v>307</v>
      </c>
      <c r="B127" s="1571" t="s">
        <v>109</v>
      </c>
      <c r="C127" s="1572"/>
      <c r="D127" s="1572"/>
      <c r="E127" s="1572"/>
      <c r="F127" s="1572"/>
      <c r="G127" s="1573"/>
      <c r="H127" s="1601" t="s">
        <v>110</v>
      </c>
      <c r="I127" s="1573"/>
      <c r="J127" s="1571" t="s">
        <v>111</v>
      </c>
      <c r="K127" s="1572"/>
      <c r="L127" s="1572"/>
      <c r="M127" s="1587"/>
      <c r="N127" s="1613" t="s">
        <v>307</v>
      </c>
      <c r="O127" s="1571" t="s">
        <v>109</v>
      </c>
      <c r="P127" s="1572"/>
      <c r="Q127" s="1572"/>
      <c r="R127" s="1572"/>
      <c r="S127" s="1572"/>
      <c r="T127" s="1573"/>
      <c r="U127" s="1601" t="s">
        <v>110</v>
      </c>
      <c r="V127" s="1573"/>
      <c r="W127" s="1571" t="s">
        <v>111</v>
      </c>
      <c r="X127" s="1572"/>
      <c r="Y127" s="1572"/>
      <c r="Z127" s="1573"/>
      <c r="AA127" s="7"/>
      <c r="AB127" s="7"/>
      <c r="AC127" s="7"/>
      <c r="AD127" s="198"/>
      <c r="AE127" s="465"/>
      <c r="AF127" s="7"/>
      <c r="AG127" s="7"/>
      <c r="AH127" s="7"/>
      <c r="AI127" s="7"/>
      <c r="AJ127" s="7"/>
      <c r="AK127" s="7"/>
      <c r="AL127" s="7"/>
      <c r="AM127" s="7"/>
      <c r="AN127" s="7"/>
      <c r="AO127" s="7"/>
      <c r="AP127" s="7"/>
      <c r="AQ127" s="7"/>
      <c r="AR127" s="7"/>
      <c r="AS127" s="7"/>
      <c r="AT127" s="7"/>
      <c r="AU127" s="7"/>
      <c r="AV127" s="7"/>
      <c r="AW127" s="7"/>
      <c r="AX127" s="7"/>
      <c r="AY127" s="7"/>
      <c r="AZ127" s="7"/>
      <c r="BA127" s="53">
        <v>124</v>
      </c>
      <c r="BB127" s="54">
        <f t="shared" si="52"/>
        <v>0</v>
      </c>
      <c r="BC127" s="50">
        <f t="shared" si="55"/>
        <v>0</v>
      </c>
      <c r="BD127" s="55">
        <f t="shared" si="53"/>
        <v>0</v>
      </c>
      <c r="BE127" s="55">
        <f t="shared" si="54"/>
        <v>0</v>
      </c>
    </row>
    <row r="128" spans="1:65">
      <c r="A128" s="1622"/>
      <c r="B128" s="1610"/>
      <c r="C128" s="1611"/>
      <c r="D128" s="1611"/>
      <c r="E128" s="1611"/>
      <c r="F128" s="1611"/>
      <c r="G128" s="1612"/>
      <c r="H128" s="1574"/>
      <c r="I128" s="1576"/>
      <c r="J128" s="1574"/>
      <c r="K128" s="1575"/>
      <c r="L128" s="1575"/>
      <c r="M128" s="1588"/>
      <c r="N128" s="1614"/>
      <c r="O128" s="1610"/>
      <c r="P128" s="1611"/>
      <c r="Q128" s="1611"/>
      <c r="R128" s="1611"/>
      <c r="S128" s="1611"/>
      <c r="T128" s="1612"/>
      <c r="U128" s="1574"/>
      <c r="V128" s="1576"/>
      <c r="W128" s="1574"/>
      <c r="X128" s="1575"/>
      <c r="Y128" s="1575"/>
      <c r="Z128" s="1576"/>
      <c r="AA128" s="7"/>
      <c r="AB128" s="7"/>
      <c r="AC128" s="7"/>
      <c r="AD128" s="198"/>
      <c r="AE128" s="465"/>
      <c r="AF128" s="7"/>
      <c r="AG128" s="7"/>
      <c r="AH128" s="7"/>
      <c r="AI128" s="7"/>
      <c r="AJ128" s="7"/>
      <c r="AK128" s="7"/>
      <c r="AL128" s="7"/>
      <c r="AM128" s="7"/>
      <c r="AN128" s="7"/>
      <c r="AO128" s="7"/>
      <c r="AP128" s="7"/>
      <c r="AQ128" s="7"/>
      <c r="AR128" s="7"/>
      <c r="AS128" s="7"/>
      <c r="AT128" s="7"/>
      <c r="AU128" s="7"/>
      <c r="AV128" s="7"/>
      <c r="AW128" s="7"/>
      <c r="AX128" s="7"/>
      <c r="AY128" s="7"/>
      <c r="AZ128" s="7"/>
      <c r="BA128" s="53">
        <v>125</v>
      </c>
      <c r="BB128" s="54">
        <f t="shared" si="52"/>
        <v>0</v>
      </c>
      <c r="BC128" s="50">
        <f t="shared" si="55"/>
        <v>0</v>
      </c>
      <c r="BD128" s="55">
        <f t="shared" si="53"/>
        <v>0</v>
      </c>
      <c r="BE128" s="55">
        <f t="shared" si="54"/>
        <v>0</v>
      </c>
    </row>
    <row r="129" spans="1:65" ht="26.1" customHeight="1">
      <c r="A129" s="1622"/>
      <c r="B129" s="1610"/>
      <c r="C129" s="1611"/>
      <c r="D129" s="1611"/>
      <c r="E129" s="1611"/>
      <c r="F129" s="1611"/>
      <c r="G129" s="1612"/>
      <c r="H129" s="1596" t="s">
        <v>43</v>
      </c>
      <c r="I129" s="1597" t="s">
        <v>42</v>
      </c>
      <c r="J129" s="1591" t="s">
        <v>355</v>
      </c>
      <c r="K129" s="1577" t="s">
        <v>354</v>
      </c>
      <c r="L129" s="1578"/>
      <c r="M129" s="1589"/>
      <c r="N129" s="1614"/>
      <c r="O129" s="1610"/>
      <c r="P129" s="1611"/>
      <c r="Q129" s="1611"/>
      <c r="R129" s="1611"/>
      <c r="S129" s="1611"/>
      <c r="T129" s="1612"/>
      <c r="U129" s="1596" t="s">
        <v>43</v>
      </c>
      <c r="V129" s="1597" t="s">
        <v>42</v>
      </c>
      <c r="W129" s="1591" t="s">
        <v>355</v>
      </c>
      <c r="X129" s="1577" t="s">
        <v>354</v>
      </c>
      <c r="Y129" s="1578"/>
      <c r="Z129" s="1579"/>
      <c r="AD129" s="198"/>
      <c r="AE129" s="198"/>
      <c r="BA129" s="53">
        <v>126</v>
      </c>
      <c r="BB129" s="54">
        <f t="shared" si="52"/>
        <v>0</v>
      </c>
      <c r="BC129" s="50">
        <f t="shared" si="55"/>
        <v>0</v>
      </c>
      <c r="BD129" s="55">
        <f t="shared" si="53"/>
        <v>0</v>
      </c>
      <c r="BE129" s="55">
        <f t="shared" si="54"/>
        <v>0</v>
      </c>
    </row>
    <row r="130" spans="1:65" ht="26.1" customHeight="1">
      <c r="A130" s="1622"/>
      <c r="B130" s="1610"/>
      <c r="C130" s="1611"/>
      <c r="D130" s="1611"/>
      <c r="E130" s="1611"/>
      <c r="F130" s="1611"/>
      <c r="G130" s="1612"/>
      <c r="H130" s="1596"/>
      <c r="I130" s="1597"/>
      <c r="J130" s="1592"/>
      <c r="K130" s="1577"/>
      <c r="L130" s="1578"/>
      <c r="M130" s="1589"/>
      <c r="N130" s="1614"/>
      <c r="O130" s="1610"/>
      <c r="P130" s="1611"/>
      <c r="Q130" s="1611"/>
      <c r="R130" s="1611"/>
      <c r="S130" s="1611"/>
      <c r="T130" s="1612"/>
      <c r="U130" s="1596"/>
      <c r="V130" s="1597"/>
      <c r="W130" s="1592"/>
      <c r="X130" s="1577"/>
      <c r="Y130" s="1578"/>
      <c r="Z130" s="1579"/>
      <c r="BA130" s="53">
        <v>127</v>
      </c>
      <c r="BB130" s="54">
        <f t="shared" si="52"/>
        <v>0</v>
      </c>
      <c r="BC130" s="50">
        <f t="shared" si="55"/>
        <v>0</v>
      </c>
      <c r="BD130" s="55">
        <f t="shared" si="53"/>
        <v>0</v>
      </c>
      <c r="BE130" s="55">
        <f t="shared" si="54"/>
        <v>0</v>
      </c>
    </row>
    <row r="131" spans="1:65" ht="26.1" customHeight="1">
      <c r="A131" s="1622"/>
      <c r="B131" s="1574"/>
      <c r="C131" s="1575"/>
      <c r="D131" s="1575"/>
      <c r="E131" s="1575"/>
      <c r="F131" s="1575"/>
      <c r="G131" s="1576"/>
      <c r="H131" s="1596"/>
      <c r="I131" s="1597"/>
      <c r="J131" s="1592"/>
      <c r="K131" s="1580"/>
      <c r="L131" s="1581"/>
      <c r="M131" s="1590"/>
      <c r="N131" s="1615"/>
      <c r="O131" s="1574"/>
      <c r="P131" s="1575"/>
      <c r="Q131" s="1575"/>
      <c r="R131" s="1575"/>
      <c r="S131" s="1575"/>
      <c r="T131" s="1576"/>
      <c r="U131" s="1596"/>
      <c r="V131" s="1597"/>
      <c r="W131" s="1592"/>
      <c r="X131" s="1580"/>
      <c r="Y131" s="1581"/>
      <c r="Z131" s="1582"/>
      <c r="BA131" s="53">
        <v>128</v>
      </c>
      <c r="BB131" s="54">
        <f t="shared" si="52"/>
        <v>0</v>
      </c>
      <c r="BC131" s="50">
        <f t="shared" si="55"/>
        <v>0</v>
      </c>
      <c r="BD131" s="55">
        <f t="shared" si="53"/>
        <v>0</v>
      </c>
      <c r="BE131" s="55">
        <f t="shared" si="54"/>
        <v>0</v>
      </c>
      <c r="BF131" s="138" t="s">
        <v>386</v>
      </c>
      <c r="BG131" s="96" t="s">
        <v>387</v>
      </c>
      <c r="BH131" s="96" t="s">
        <v>388</v>
      </c>
      <c r="BI131" s="96" t="s">
        <v>385</v>
      </c>
      <c r="BJ131" s="138" t="s">
        <v>386</v>
      </c>
      <c r="BK131" s="96" t="s">
        <v>387</v>
      </c>
      <c r="BL131" s="96" t="s">
        <v>388</v>
      </c>
      <c r="BM131" s="96" t="s">
        <v>385</v>
      </c>
    </row>
    <row r="132" spans="1:65" ht="24.95" customHeight="1">
      <c r="A132" s="510">
        <v>141</v>
      </c>
      <c r="B132" s="1605"/>
      <c r="C132" s="1599"/>
      <c r="D132" s="1599"/>
      <c r="E132" s="1599"/>
      <c r="F132" s="1599"/>
      <c r="G132" s="1600"/>
      <c r="H132" s="340"/>
      <c r="I132" s="341"/>
      <c r="J132" s="342"/>
      <c r="K132" s="498"/>
      <c r="L132" s="498"/>
      <c r="M132" s="533"/>
      <c r="N132" s="574">
        <v>171</v>
      </c>
      <c r="O132" s="1605"/>
      <c r="P132" s="1599"/>
      <c r="Q132" s="1599"/>
      <c r="R132" s="1599"/>
      <c r="S132" s="1599"/>
      <c r="T132" s="1600"/>
      <c r="U132" s="340"/>
      <c r="V132" s="341"/>
      <c r="W132" s="342"/>
      <c r="X132" s="498"/>
      <c r="Y132" s="498"/>
      <c r="Z132" s="342"/>
      <c r="BA132" s="53">
        <v>129</v>
      </c>
      <c r="BB132" s="54">
        <f t="shared" si="52"/>
        <v>0</v>
      </c>
      <c r="BC132" s="50">
        <f t="shared" si="55"/>
        <v>0</v>
      </c>
      <c r="BD132" s="55">
        <f t="shared" si="53"/>
        <v>0</v>
      </c>
      <c r="BE132" s="55">
        <f t="shared" si="54"/>
        <v>0</v>
      </c>
      <c r="BF132" s="138">
        <v>141</v>
      </c>
      <c r="BG132" s="6">
        <f>H132</f>
        <v>0</v>
      </c>
      <c r="BH132" s="6">
        <f>I132</f>
        <v>0</v>
      </c>
      <c r="BI132" s="6" t="b">
        <v>0</v>
      </c>
      <c r="BJ132" s="96">
        <v>171</v>
      </c>
      <c r="BK132" s="6"/>
      <c r="BL132" s="6"/>
      <c r="BM132" s="6" t="b">
        <v>0</v>
      </c>
    </row>
    <row r="133" spans="1:65" ht="24.95" customHeight="1">
      <c r="A133" s="510">
        <v>142</v>
      </c>
      <c r="B133" s="1605"/>
      <c r="C133" s="1599"/>
      <c r="D133" s="1599"/>
      <c r="E133" s="1599"/>
      <c r="F133" s="1599"/>
      <c r="G133" s="1600"/>
      <c r="H133" s="340"/>
      <c r="I133" s="341"/>
      <c r="J133" s="342"/>
      <c r="K133" s="498"/>
      <c r="L133" s="498"/>
      <c r="M133" s="533"/>
      <c r="N133" s="509">
        <v>172</v>
      </c>
      <c r="O133" s="1605"/>
      <c r="P133" s="1599"/>
      <c r="Q133" s="1599"/>
      <c r="R133" s="1599"/>
      <c r="S133" s="1599"/>
      <c r="T133" s="1600"/>
      <c r="U133" s="340"/>
      <c r="V133" s="341"/>
      <c r="W133" s="342"/>
      <c r="X133" s="498"/>
      <c r="Y133" s="498"/>
      <c r="Z133" s="342"/>
      <c r="BA133" s="53">
        <v>130</v>
      </c>
      <c r="BB133" s="54">
        <f t="shared" si="52"/>
        <v>0</v>
      </c>
      <c r="BC133" s="50">
        <f t="shared" si="55"/>
        <v>0</v>
      </c>
      <c r="BD133" s="55">
        <f t="shared" si="53"/>
        <v>0</v>
      </c>
      <c r="BE133" s="55">
        <f t="shared" si="54"/>
        <v>0</v>
      </c>
      <c r="BF133" s="138">
        <v>142</v>
      </c>
      <c r="BG133" s="6">
        <f t="shared" ref="BG133:BG161" si="56">H133</f>
        <v>0</v>
      </c>
      <c r="BH133" s="6">
        <f t="shared" ref="BH133:BH161" si="57">I133</f>
        <v>0</v>
      </c>
      <c r="BI133" s="6" t="b">
        <v>0</v>
      </c>
      <c r="BJ133" s="96">
        <v>172</v>
      </c>
      <c r="BK133" s="6"/>
      <c r="BL133" s="6"/>
      <c r="BM133" s="6" t="b">
        <v>0</v>
      </c>
    </row>
    <row r="134" spans="1:65" ht="24.95" customHeight="1">
      <c r="A134" s="510">
        <v>143</v>
      </c>
      <c r="B134" s="1605"/>
      <c r="C134" s="1599"/>
      <c r="D134" s="1599"/>
      <c r="E134" s="1599"/>
      <c r="F134" s="1599"/>
      <c r="G134" s="1600"/>
      <c r="H134" s="340"/>
      <c r="I134" s="341"/>
      <c r="J134" s="342"/>
      <c r="K134" s="498"/>
      <c r="L134" s="498"/>
      <c r="M134" s="533"/>
      <c r="N134" s="509">
        <v>173</v>
      </c>
      <c r="O134" s="1605"/>
      <c r="P134" s="1599"/>
      <c r="Q134" s="1599"/>
      <c r="R134" s="1599"/>
      <c r="S134" s="1599"/>
      <c r="T134" s="1600"/>
      <c r="U134" s="340"/>
      <c r="V134" s="341"/>
      <c r="W134" s="342"/>
      <c r="X134" s="498"/>
      <c r="Y134" s="498"/>
      <c r="Z134" s="342"/>
      <c r="BA134" s="53">
        <v>131</v>
      </c>
      <c r="BB134" s="54">
        <f t="shared" si="52"/>
        <v>0</v>
      </c>
      <c r="BC134" s="50">
        <f t="shared" si="55"/>
        <v>0</v>
      </c>
      <c r="BD134" s="55">
        <f t="shared" si="53"/>
        <v>0</v>
      </c>
      <c r="BE134" s="55">
        <f t="shared" si="54"/>
        <v>0</v>
      </c>
      <c r="BF134" s="138">
        <v>143</v>
      </c>
      <c r="BG134" s="6">
        <f t="shared" si="56"/>
        <v>0</v>
      </c>
      <c r="BH134" s="6">
        <f t="shared" si="57"/>
        <v>0</v>
      </c>
      <c r="BI134" s="6" t="b">
        <v>0</v>
      </c>
      <c r="BJ134" s="96">
        <v>173</v>
      </c>
      <c r="BK134" s="6"/>
      <c r="BL134" s="6"/>
      <c r="BM134" s="6" t="b">
        <v>0</v>
      </c>
    </row>
    <row r="135" spans="1:65" ht="24.95" customHeight="1">
      <c r="A135" s="510">
        <v>144</v>
      </c>
      <c r="B135" s="1605"/>
      <c r="C135" s="1599"/>
      <c r="D135" s="1599"/>
      <c r="E135" s="1599"/>
      <c r="F135" s="1599"/>
      <c r="G135" s="1600"/>
      <c r="H135" s="340"/>
      <c r="I135" s="341"/>
      <c r="J135" s="342"/>
      <c r="K135" s="498"/>
      <c r="L135" s="498"/>
      <c r="M135" s="533"/>
      <c r="N135" s="509">
        <v>174</v>
      </c>
      <c r="O135" s="1605"/>
      <c r="P135" s="1599"/>
      <c r="Q135" s="1599"/>
      <c r="R135" s="1599"/>
      <c r="S135" s="1599"/>
      <c r="T135" s="1600"/>
      <c r="U135" s="340"/>
      <c r="V135" s="341"/>
      <c r="W135" s="342"/>
      <c r="X135" s="498"/>
      <c r="Y135" s="498"/>
      <c r="Z135" s="342"/>
      <c r="BA135" s="53">
        <v>132</v>
      </c>
      <c r="BB135" s="54">
        <f t="shared" si="52"/>
        <v>0</v>
      </c>
      <c r="BC135" s="50">
        <f t="shared" si="55"/>
        <v>0</v>
      </c>
      <c r="BD135" s="55">
        <f t="shared" si="53"/>
        <v>0</v>
      </c>
      <c r="BE135" s="55">
        <f t="shared" si="54"/>
        <v>0</v>
      </c>
      <c r="BF135" s="138">
        <v>144</v>
      </c>
      <c r="BG135" s="6">
        <f t="shared" si="56"/>
        <v>0</v>
      </c>
      <c r="BH135" s="6">
        <f t="shared" si="57"/>
        <v>0</v>
      </c>
      <c r="BI135" s="6" t="b">
        <v>0</v>
      </c>
      <c r="BJ135" s="96">
        <v>174</v>
      </c>
      <c r="BK135" s="6"/>
      <c r="BL135" s="6"/>
      <c r="BM135" s="6" t="b">
        <v>0</v>
      </c>
    </row>
    <row r="136" spans="1:65" ht="24.95" customHeight="1">
      <c r="A136" s="510">
        <v>145</v>
      </c>
      <c r="B136" s="1605"/>
      <c r="C136" s="1599"/>
      <c r="D136" s="1599"/>
      <c r="E136" s="1599"/>
      <c r="F136" s="1599"/>
      <c r="G136" s="1600"/>
      <c r="H136" s="340"/>
      <c r="I136" s="341"/>
      <c r="J136" s="342"/>
      <c r="K136" s="498"/>
      <c r="L136" s="498"/>
      <c r="M136" s="533"/>
      <c r="N136" s="509">
        <v>175</v>
      </c>
      <c r="O136" s="1605"/>
      <c r="P136" s="1599"/>
      <c r="Q136" s="1599"/>
      <c r="R136" s="1599"/>
      <c r="S136" s="1599"/>
      <c r="T136" s="1600"/>
      <c r="U136" s="340"/>
      <c r="V136" s="341"/>
      <c r="W136" s="342"/>
      <c r="X136" s="498"/>
      <c r="Y136" s="498"/>
      <c r="Z136" s="342"/>
      <c r="BA136" s="53">
        <v>133</v>
      </c>
      <c r="BB136" s="54">
        <f t="shared" si="52"/>
        <v>0</v>
      </c>
      <c r="BC136" s="50">
        <f t="shared" si="55"/>
        <v>0</v>
      </c>
      <c r="BD136" s="55">
        <f t="shared" si="53"/>
        <v>0</v>
      </c>
      <c r="BE136" s="55">
        <f t="shared" si="54"/>
        <v>0</v>
      </c>
      <c r="BF136" s="138">
        <v>145</v>
      </c>
      <c r="BG136" s="6">
        <f t="shared" si="56"/>
        <v>0</v>
      </c>
      <c r="BH136" s="6">
        <f t="shared" si="57"/>
        <v>0</v>
      </c>
      <c r="BI136" s="6" t="b">
        <v>0</v>
      </c>
      <c r="BJ136" s="96">
        <v>175</v>
      </c>
      <c r="BK136" s="6"/>
      <c r="BL136" s="6"/>
      <c r="BM136" s="6" t="b">
        <v>0</v>
      </c>
    </row>
    <row r="137" spans="1:65" ht="24.95" customHeight="1">
      <c r="A137" s="510">
        <v>146</v>
      </c>
      <c r="B137" s="1605"/>
      <c r="C137" s="1599"/>
      <c r="D137" s="1599"/>
      <c r="E137" s="1599"/>
      <c r="F137" s="1599"/>
      <c r="G137" s="1600"/>
      <c r="H137" s="340"/>
      <c r="I137" s="341"/>
      <c r="J137" s="342"/>
      <c r="K137" s="498"/>
      <c r="L137" s="498"/>
      <c r="M137" s="533"/>
      <c r="N137" s="509">
        <v>176</v>
      </c>
      <c r="O137" s="1605"/>
      <c r="P137" s="1599"/>
      <c r="Q137" s="1599"/>
      <c r="R137" s="1599"/>
      <c r="S137" s="1599"/>
      <c r="T137" s="1600"/>
      <c r="U137" s="340"/>
      <c r="V137" s="341"/>
      <c r="W137" s="342"/>
      <c r="X137" s="498"/>
      <c r="Y137" s="498"/>
      <c r="Z137" s="342"/>
      <c r="BA137" s="53">
        <v>134</v>
      </c>
      <c r="BB137" s="54">
        <f t="shared" si="52"/>
        <v>0</v>
      </c>
      <c r="BC137" s="50">
        <f t="shared" si="55"/>
        <v>0</v>
      </c>
      <c r="BD137" s="55">
        <f t="shared" si="53"/>
        <v>0</v>
      </c>
      <c r="BE137" s="55">
        <f t="shared" si="54"/>
        <v>0</v>
      </c>
      <c r="BF137" s="138">
        <v>146</v>
      </c>
      <c r="BG137" s="6">
        <f t="shared" si="56"/>
        <v>0</v>
      </c>
      <c r="BH137" s="6">
        <f t="shared" si="57"/>
        <v>0</v>
      </c>
      <c r="BI137" s="6" t="b">
        <v>0</v>
      </c>
      <c r="BJ137" s="96">
        <v>176</v>
      </c>
      <c r="BK137" s="6"/>
      <c r="BL137" s="6"/>
      <c r="BM137" s="6" t="b">
        <v>0</v>
      </c>
    </row>
    <row r="138" spans="1:65" ht="24.95" customHeight="1">
      <c r="A138" s="510">
        <v>147</v>
      </c>
      <c r="B138" s="1605"/>
      <c r="C138" s="1599"/>
      <c r="D138" s="1599"/>
      <c r="E138" s="1599"/>
      <c r="F138" s="1599"/>
      <c r="G138" s="1600"/>
      <c r="H138" s="340"/>
      <c r="I138" s="341"/>
      <c r="J138" s="342"/>
      <c r="K138" s="498"/>
      <c r="L138" s="498"/>
      <c r="M138" s="533"/>
      <c r="N138" s="509">
        <v>177</v>
      </c>
      <c r="O138" s="1605"/>
      <c r="P138" s="1599"/>
      <c r="Q138" s="1599"/>
      <c r="R138" s="1599"/>
      <c r="S138" s="1599"/>
      <c r="T138" s="1600"/>
      <c r="U138" s="340"/>
      <c r="V138" s="341"/>
      <c r="W138" s="342"/>
      <c r="X138" s="498"/>
      <c r="Y138" s="498"/>
      <c r="Z138" s="342"/>
      <c r="BA138" s="53">
        <v>135</v>
      </c>
      <c r="BB138" s="54">
        <f t="shared" si="52"/>
        <v>0</v>
      </c>
      <c r="BC138" s="50">
        <f t="shared" si="55"/>
        <v>0</v>
      </c>
      <c r="BD138" s="55">
        <f t="shared" si="53"/>
        <v>0</v>
      </c>
      <c r="BE138" s="55">
        <f t="shared" si="54"/>
        <v>0</v>
      </c>
      <c r="BF138" s="138">
        <v>147</v>
      </c>
      <c r="BG138" s="6">
        <f t="shared" si="56"/>
        <v>0</v>
      </c>
      <c r="BH138" s="6">
        <f t="shared" si="57"/>
        <v>0</v>
      </c>
      <c r="BI138" s="6" t="b">
        <v>0</v>
      </c>
      <c r="BJ138" s="96">
        <v>177</v>
      </c>
      <c r="BK138" s="6"/>
      <c r="BL138" s="6"/>
      <c r="BM138" s="6" t="b">
        <v>0</v>
      </c>
    </row>
    <row r="139" spans="1:65" ht="24.95" customHeight="1">
      <c r="A139" s="510">
        <v>148</v>
      </c>
      <c r="B139" s="1605"/>
      <c r="C139" s="1599"/>
      <c r="D139" s="1599"/>
      <c r="E139" s="1599"/>
      <c r="F139" s="1599"/>
      <c r="G139" s="1600"/>
      <c r="H139" s="340"/>
      <c r="I139" s="341"/>
      <c r="J139" s="342"/>
      <c r="K139" s="498"/>
      <c r="L139" s="498"/>
      <c r="M139" s="533"/>
      <c r="N139" s="509">
        <v>178</v>
      </c>
      <c r="O139" s="1605"/>
      <c r="P139" s="1599"/>
      <c r="Q139" s="1599"/>
      <c r="R139" s="1599"/>
      <c r="S139" s="1599"/>
      <c r="T139" s="1600"/>
      <c r="U139" s="340"/>
      <c r="V139" s="341"/>
      <c r="W139" s="342"/>
      <c r="X139" s="498"/>
      <c r="Y139" s="498"/>
      <c r="Z139" s="342"/>
      <c r="BA139" s="53">
        <v>136</v>
      </c>
      <c r="BB139" s="54">
        <f t="shared" si="52"/>
        <v>0</v>
      </c>
      <c r="BC139" s="50">
        <f t="shared" si="55"/>
        <v>0</v>
      </c>
      <c r="BD139" s="55">
        <f t="shared" si="53"/>
        <v>0</v>
      </c>
      <c r="BE139" s="55">
        <f t="shared" si="54"/>
        <v>0</v>
      </c>
      <c r="BF139" s="138">
        <v>148</v>
      </c>
      <c r="BG139" s="6">
        <f t="shared" si="56"/>
        <v>0</v>
      </c>
      <c r="BH139" s="6">
        <f t="shared" si="57"/>
        <v>0</v>
      </c>
      <c r="BI139" s="6" t="b">
        <v>0</v>
      </c>
      <c r="BJ139" s="96">
        <v>178</v>
      </c>
      <c r="BK139" s="6"/>
      <c r="BL139" s="6"/>
      <c r="BM139" s="6" t="b">
        <v>0</v>
      </c>
    </row>
    <row r="140" spans="1:65" ht="24.95" customHeight="1">
      <c r="A140" s="510">
        <v>149</v>
      </c>
      <c r="B140" s="1605"/>
      <c r="C140" s="1599"/>
      <c r="D140" s="1599"/>
      <c r="E140" s="1599"/>
      <c r="F140" s="1599"/>
      <c r="G140" s="1600"/>
      <c r="H140" s="340"/>
      <c r="I140" s="341"/>
      <c r="J140" s="342"/>
      <c r="K140" s="498"/>
      <c r="L140" s="498"/>
      <c r="M140" s="533"/>
      <c r="N140" s="509">
        <v>179</v>
      </c>
      <c r="O140" s="1605"/>
      <c r="P140" s="1599"/>
      <c r="Q140" s="1599"/>
      <c r="R140" s="1599"/>
      <c r="S140" s="1599"/>
      <c r="T140" s="1600"/>
      <c r="U140" s="340"/>
      <c r="V140" s="341"/>
      <c r="W140" s="342"/>
      <c r="X140" s="498"/>
      <c r="Y140" s="498"/>
      <c r="Z140" s="342"/>
      <c r="BA140" s="53">
        <v>137</v>
      </c>
      <c r="BB140" s="54">
        <f t="shared" si="52"/>
        <v>0</v>
      </c>
      <c r="BC140" s="50">
        <f t="shared" si="55"/>
        <v>0</v>
      </c>
      <c r="BD140" s="55">
        <f t="shared" si="53"/>
        <v>0</v>
      </c>
      <c r="BE140" s="55">
        <f t="shared" si="54"/>
        <v>0</v>
      </c>
      <c r="BF140" s="138">
        <v>149</v>
      </c>
      <c r="BG140" s="6">
        <f t="shared" si="56"/>
        <v>0</v>
      </c>
      <c r="BH140" s="6">
        <f t="shared" si="57"/>
        <v>0</v>
      </c>
      <c r="BI140" s="6" t="b">
        <v>0</v>
      </c>
      <c r="BJ140" s="96">
        <v>179</v>
      </c>
      <c r="BK140" s="6"/>
      <c r="BL140" s="6"/>
      <c r="BM140" s="6" t="b">
        <v>0</v>
      </c>
    </row>
    <row r="141" spans="1:65" ht="24.95" customHeight="1">
      <c r="A141" s="510">
        <v>150</v>
      </c>
      <c r="B141" s="1605"/>
      <c r="C141" s="1599"/>
      <c r="D141" s="1599"/>
      <c r="E141" s="1599"/>
      <c r="F141" s="1599"/>
      <c r="G141" s="1600"/>
      <c r="H141" s="340"/>
      <c r="I141" s="341"/>
      <c r="J141" s="342"/>
      <c r="K141" s="498"/>
      <c r="L141" s="498"/>
      <c r="M141" s="533"/>
      <c r="N141" s="509">
        <v>180</v>
      </c>
      <c r="O141" s="1605"/>
      <c r="P141" s="1599"/>
      <c r="Q141" s="1599"/>
      <c r="R141" s="1599"/>
      <c r="S141" s="1599"/>
      <c r="T141" s="1600"/>
      <c r="U141" s="340"/>
      <c r="V141" s="341"/>
      <c r="W141" s="342"/>
      <c r="X141" s="498"/>
      <c r="Y141" s="498"/>
      <c r="Z141" s="342"/>
      <c r="BA141" s="53">
        <v>138</v>
      </c>
      <c r="BB141" s="54">
        <f t="shared" si="52"/>
        <v>0</v>
      </c>
      <c r="BC141" s="50">
        <f t="shared" si="55"/>
        <v>0</v>
      </c>
      <c r="BD141" s="55">
        <f t="shared" si="53"/>
        <v>0</v>
      </c>
      <c r="BE141" s="55">
        <f t="shared" si="54"/>
        <v>0</v>
      </c>
      <c r="BF141" s="138">
        <v>150</v>
      </c>
      <c r="BG141" s="6">
        <f t="shared" si="56"/>
        <v>0</v>
      </c>
      <c r="BH141" s="6">
        <f t="shared" si="57"/>
        <v>0</v>
      </c>
      <c r="BI141" s="6" t="b">
        <v>0</v>
      </c>
      <c r="BJ141" s="96">
        <v>180</v>
      </c>
      <c r="BK141" s="6"/>
      <c r="BL141" s="6"/>
      <c r="BM141" s="6" t="b">
        <v>0</v>
      </c>
    </row>
    <row r="142" spans="1:65" ht="24.95" customHeight="1">
      <c r="A142" s="510">
        <v>151</v>
      </c>
      <c r="B142" s="1605"/>
      <c r="C142" s="1599"/>
      <c r="D142" s="1599"/>
      <c r="E142" s="1599"/>
      <c r="F142" s="1599"/>
      <c r="G142" s="1600"/>
      <c r="H142" s="340"/>
      <c r="I142" s="341"/>
      <c r="J142" s="342"/>
      <c r="K142" s="498"/>
      <c r="L142" s="498"/>
      <c r="M142" s="498"/>
      <c r="N142" s="573">
        <v>181</v>
      </c>
      <c r="O142" s="1605"/>
      <c r="P142" s="1599"/>
      <c r="Q142" s="1599"/>
      <c r="R142" s="1599"/>
      <c r="S142" s="1599"/>
      <c r="T142" s="1600"/>
      <c r="U142" s="340"/>
      <c r="V142" s="341"/>
      <c r="W142" s="342"/>
      <c r="X142" s="498"/>
      <c r="Y142" s="498"/>
      <c r="Z142" s="342"/>
      <c r="BA142" s="53">
        <v>139</v>
      </c>
      <c r="BB142" s="54">
        <f t="shared" si="52"/>
        <v>0</v>
      </c>
      <c r="BC142" s="50">
        <f t="shared" si="55"/>
        <v>0</v>
      </c>
      <c r="BD142" s="55">
        <f t="shared" si="53"/>
        <v>0</v>
      </c>
      <c r="BE142" s="55">
        <f t="shared" si="54"/>
        <v>0</v>
      </c>
      <c r="BF142" s="138">
        <v>151</v>
      </c>
      <c r="BG142" s="6">
        <f t="shared" si="56"/>
        <v>0</v>
      </c>
      <c r="BH142" s="6">
        <f t="shared" si="57"/>
        <v>0</v>
      </c>
      <c r="BI142" s="6" t="b">
        <v>0</v>
      </c>
      <c r="BJ142" s="96">
        <v>181</v>
      </c>
      <c r="BK142" s="6"/>
      <c r="BL142" s="6"/>
      <c r="BM142" s="6" t="b">
        <v>0</v>
      </c>
    </row>
    <row r="143" spans="1:65" ht="24.95" customHeight="1">
      <c r="A143" s="510">
        <v>152</v>
      </c>
      <c r="B143" s="1605"/>
      <c r="C143" s="1599"/>
      <c r="D143" s="1599"/>
      <c r="E143" s="1599"/>
      <c r="F143" s="1599"/>
      <c r="G143" s="1600"/>
      <c r="H143" s="340"/>
      <c r="I143" s="341"/>
      <c r="J143" s="342"/>
      <c r="K143" s="498"/>
      <c r="L143" s="498"/>
      <c r="M143" s="533"/>
      <c r="N143" s="509">
        <v>182</v>
      </c>
      <c r="O143" s="1605"/>
      <c r="P143" s="1599"/>
      <c r="Q143" s="1599"/>
      <c r="R143" s="1599"/>
      <c r="S143" s="1599"/>
      <c r="T143" s="1600"/>
      <c r="U143" s="340"/>
      <c r="V143" s="341"/>
      <c r="W143" s="342"/>
      <c r="X143" s="498"/>
      <c r="Y143" s="498"/>
      <c r="Z143" s="342"/>
      <c r="BA143" s="53">
        <v>140</v>
      </c>
      <c r="BB143" s="54">
        <f t="shared" si="52"/>
        <v>0</v>
      </c>
      <c r="BC143" s="50">
        <f t="shared" si="55"/>
        <v>0</v>
      </c>
      <c r="BD143" s="55">
        <f t="shared" si="53"/>
        <v>0</v>
      </c>
      <c r="BE143" s="55">
        <f t="shared" si="54"/>
        <v>0</v>
      </c>
      <c r="BF143" s="138">
        <v>152</v>
      </c>
      <c r="BG143" s="6">
        <f t="shared" si="56"/>
        <v>0</v>
      </c>
      <c r="BH143" s="6">
        <f t="shared" si="57"/>
        <v>0</v>
      </c>
      <c r="BI143" s="6" t="b">
        <v>0</v>
      </c>
      <c r="BJ143" s="96">
        <v>182</v>
      </c>
      <c r="BK143" s="6"/>
      <c r="BL143" s="6"/>
      <c r="BM143" s="6" t="b">
        <v>0</v>
      </c>
    </row>
    <row r="144" spans="1:65" ht="24.95" customHeight="1">
      <c r="A144" s="510">
        <v>153</v>
      </c>
      <c r="B144" s="1605"/>
      <c r="C144" s="1599"/>
      <c r="D144" s="1599"/>
      <c r="E144" s="1599"/>
      <c r="F144" s="1599"/>
      <c r="G144" s="1600"/>
      <c r="H144" s="340"/>
      <c r="I144" s="341"/>
      <c r="J144" s="342"/>
      <c r="K144" s="498"/>
      <c r="L144" s="498"/>
      <c r="M144" s="533"/>
      <c r="N144" s="509">
        <v>183</v>
      </c>
      <c r="O144" s="1605"/>
      <c r="P144" s="1599"/>
      <c r="Q144" s="1599"/>
      <c r="R144" s="1599"/>
      <c r="S144" s="1599"/>
      <c r="T144" s="1600"/>
      <c r="U144" s="340"/>
      <c r="V144" s="341"/>
      <c r="W144" s="342"/>
      <c r="X144" s="498"/>
      <c r="Y144" s="498"/>
      <c r="Z144" s="342"/>
      <c r="BA144" s="53">
        <v>141</v>
      </c>
      <c r="BB144" s="54">
        <f>COUNTA(H132:I132)</f>
        <v>0</v>
      </c>
      <c r="BC144" s="50">
        <f>COUNTA(K132)</f>
        <v>0</v>
      </c>
      <c r="BD144" s="55">
        <f t="shared" ref="BD144:BE173" si="58">BB144-COUNTA(H132)</f>
        <v>0</v>
      </c>
      <c r="BE144" s="55">
        <f t="shared" si="58"/>
        <v>0</v>
      </c>
      <c r="BF144" s="138">
        <v>153</v>
      </c>
      <c r="BG144" s="6">
        <f t="shared" si="56"/>
        <v>0</v>
      </c>
      <c r="BH144" s="6">
        <f t="shared" si="57"/>
        <v>0</v>
      </c>
      <c r="BI144" s="6" t="b">
        <v>0</v>
      </c>
      <c r="BJ144" s="96">
        <v>183</v>
      </c>
      <c r="BK144" s="6"/>
      <c r="BL144" s="6"/>
      <c r="BM144" s="6" t="b">
        <v>0</v>
      </c>
    </row>
    <row r="145" spans="1:65" ht="24.95" customHeight="1">
      <c r="A145" s="510">
        <v>154</v>
      </c>
      <c r="B145" s="1605"/>
      <c r="C145" s="1599"/>
      <c r="D145" s="1599"/>
      <c r="E145" s="1599"/>
      <c r="F145" s="1599"/>
      <c r="G145" s="1600"/>
      <c r="H145" s="340"/>
      <c r="I145" s="341"/>
      <c r="J145" s="342"/>
      <c r="K145" s="498"/>
      <c r="L145" s="498"/>
      <c r="M145" s="533"/>
      <c r="N145" s="509">
        <v>184</v>
      </c>
      <c r="O145" s="1605"/>
      <c r="P145" s="1599"/>
      <c r="Q145" s="1599"/>
      <c r="R145" s="1599"/>
      <c r="S145" s="1599"/>
      <c r="T145" s="1600"/>
      <c r="U145" s="340"/>
      <c r="V145" s="341"/>
      <c r="W145" s="342"/>
      <c r="X145" s="498"/>
      <c r="Y145" s="498"/>
      <c r="Z145" s="342"/>
      <c r="BA145" s="53">
        <v>142</v>
      </c>
      <c r="BB145" s="54">
        <f t="shared" ref="BB145:BB173" si="59">COUNTA(H133:I133)</f>
        <v>0</v>
      </c>
      <c r="BC145" s="50">
        <f t="shared" ref="BC145:BC173" si="60">COUNTA(K133)</f>
        <v>0</v>
      </c>
      <c r="BD145" s="55">
        <f t="shared" si="58"/>
        <v>0</v>
      </c>
      <c r="BE145" s="55">
        <f t="shared" si="58"/>
        <v>0</v>
      </c>
      <c r="BF145" s="138">
        <v>154</v>
      </c>
      <c r="BG145" s="6">
        <f t="shared" si="56"/>
        <v>0</v>
      </c>
      <c r="BH145" s="6">
        <f t="shared" si="57"/>
        <v>0</v>
      </c>
      <c r="BI145" s="6" t="b">
        <v>0</v>
      </c>
      <c r="BJ145" s="96">
        <v>184</v>
      </c>
      <c r="BK145" s="6"/>
      <c r="BL145" s="6"/>
      <c r="BM145" s="6" t="b">
        <v>0</v>
      </c>
    </row>
    <row r="146" spans="1:65" ht="24.95" customHeight="1">
      <c r="A146" s="510">
        <v>155</v>
      </c>
      <c r="B146" s="1605"/>
      <c r="C146" s="1599"/>
      <c r="D146" s="1599"/>
      <c r="E146" s="1599"/>
      <c r="F146" s="1599"/>
      <c r="G146" s="1600"/>
      <c r="H146" s="340"/>
      <c r="I146" s="341"/>
      <c r="J146" s="342"/>
      <c r="K146" s="498"/>
      <c r="L146" s="498"/>
      <c r="M146" s="533"/>
      <c r="N146" s="509">
        <v>185</v>
      </c>
      <c r="O146" s="1605"/>
      <c r="P146" s="1599"/>
      <c r="Q146" s="1599"/>
      <c r="R146" s="1599"/>
      <c r="S146" s="1599"/>
      <c r="T146" s="1600"/>
      <c r="U146" s="340"/>
      <c r="V146" s="341"/>
      <c r="W146" s="342"/>
      <c r="X146" s="498"/>
      <c r="Y146" s="498"/>
      <c r="Z146" s="342"/>
      <c r="BA146" s="53">
        <v>143</v>
      </c>
      <c r="BB146" s="54">
        <f t="shared" si="59"/>
        <v>0</v>
      </c>
      <c r="BC146" s="50">
        <f t="shared" si="60"/>
        <v>0</v>
      </c>
      <c r="BD146" s="55">
        <f t="shared" si="58"/>
        <v>0</v>
      </c>
      <c r="BE146" s="55">
        <f t="shared" si="58"/>
        <v>0</v>
      </c>
      <c r="BF146" s="138">
        <v>155</v>
      </c>
      <c r="BG146" s="6">
        <f t="shared" si="56"/>
        <v>0</v>
      </c>
      <c r="BH146" s="6">
        <f t="shared" si="57"/>
        <v>0</v>
      </c>
      <c r="BI146" s="6" t="b">
        <v>0</v>
      </c>
      <c r="BJ146" s="96">
        <v>185</v>
      </c>
      <c r="BK146" s="6"/>
      <c r="BL146" s="6"/>
      <c r="BM146" s="6" t="b">
        <v>0</v>
      </c>
    </row>
    <row r="147" spans="1:65" ht="24.95" customHeight="1">
      <c r="A147" s="510">
        <v>156</v>
      </c>
      <c r="B147" s="1605"/>
      <c r="C147" s="1599"/>
      <c r="D147" s="1599"/>
      <c r="E147" s="1599"/>
      <c r="F147" s="1599"/>
      <c r="G147" s="1600"/>
      <c r="H147" s="340"/>
      <c r="I147" s="341"/>
      <c r="J147" s="342"/>
      <c r="K147" s="498"/>
      <c r="L147" s="498"/>
      <c r="M147" s="533"/>
      <c r="N147" s="509">
        <v>186</v>
      </c>
      <c r="O147" s="1605"/>
      <c r="P147" s="1599"/>
      <c r="Q147" s="1599"/>
      <c r="R147" s="1599"/>
      <c r="S147" s="1599"/>
      <c r="T147" s="1600"/>
      <c r="U147" s="340"/>
      <c r="V147" s="341"/>
      <c r="W147" s="342"/>
      <c r="X147" s="498"/>
      <c r="Y147" s="498"/>
      <c r="Z147" s="342"/>
      <c r="BA147" s="53">
        <v>144</v>
      </c>
      <c r="BB147" s="54">
        <f t="shared" si="59"/>
        <v>0</v>
      </c>
      <c r="BC147" s="50">
        <f t="shared" si="60"/>
        <v>0</v>
      </c>
      <c r="BD147" s="55">
        <f t="shared" si="58"/>
        <v>0</v>
      </c>
      <c r="BE147" s="55">
        <f t="shared" si="58"/>
        <v>0</v>
      </c>
      <c r="BF147" s="138">
        <v>156</v>
      </c>
      <c r="BG147" s="6">
        <f t="shared" si="56"/>
        <v>0</v>
      </c>
      <c r="BH147" s="6">
        <f t="shared" si="57"/>
        <v>0</v>
      </c>
      <c r="BI147" s="6" t="b">
        <v>0</v>
      </c>
      <c r="BJ147" s="96">
        <v>186</v>
      </c>
      <c r="BK147" s="6"/>
      <c r="BL147" s="6"/>
      <c r="BM147" s="6" t="b">
        <v>0</v>
      </c>
    </row>
    <row r="148" spans="1:65" ht="24.95" customHeight="1">
      <c r="A148" s="510">
        <v>157</v>
      </c>
      <c r="B148" s="1605"/>
      <c r="C148" s="1599"/>
      <c r="D148" s="1599"/>
      <c r="E148" s="1599"/>
      <c r="F148" s="1599"/>
      <c r="G148" s="1600"/>
      <c r="H148" s="340"/>
      <c r="I148" s="341"/>
      <c r="J148" s="342"/>
      <c r="K148" s="498"/>
      <c r="L148" s="498"/>
      <c r="M148" s="533"/>
      <c r="N148" s="509">
        <v>187</v>
      </c>
      <c r="O148" s="1605"/>
      <c r="P148" s="1599"/>
      <c r="Q148" s="1599"/>
      <c r="R148" s="1599"/>
      <c r="S148" s="1599"/>
      <c r="T148" s="1600"/>
      <c r="U148" s="340"/>
      <c r="V148" s="341"/>
      <c r="W148" s="342"/>
      <c r="X148" s="498"/>
      <c r="Y148" s="498"/>
      <c r="Z148" s="342"/>
      <c r="BA148" s="53">
        <v>145</v>
      </c>
      <c r="BB148" s="54">
        <f t="shared" si="59"/>
        <v>0</v>
      </c>
      <c r="BC148" s="50">
        <f t="shared" si="60"/>
        <v>0</v>
      </c>
      <c r="BD148" s="55">
        <f t="shared" si="58"/>
        <v>0</v>
      </c>
      <c r="BE148" s="55">
        <f t="shared" si="58"/>
        <v>0</v>
      </c>
      <c r="BF148" s="138">
        <v>157</v>
      </c>
      <c r="BG148" s="6">
        <f t="shared" si="56"/>
        <v>0</v>
      </c>
      <c r="BH148" s="6">
        <f t="shared" si="57"/>
        <v>0</v>
      </c>
      <c r="BI148" s="6" t="b">
        <v>0</v>
      </c>
      <c r="BJ148" s="96">
        <v>187</v>
      </c>
      <c r="BK148" s="6"/>
      <c r="BL148" s="6"/>
      <c r="BM148" s="6" t="b">
        <v>0</v>
      </c>
    </row>
    <row r="149" spans="1:65" ht="24.95" customHeight="1">
      <c r="A149" s="510">
        <v>158</v>
      </c>
      <c r="B149" s="1605"/>
      <c r="C149" s="1599"/>
      <c r="D149" s="1599"/>
      <c r="E149" s="1599"/>
      <c r="F149" s="1599"/>
      <c r="G149" s="1600"/>
      <c r="H149" s="340"/>
      <c r="I149" s="341"/>
      <c r="J149" s="342"/>
      <c r="K149" s="498"/>
      <c r="L149" s="498"/>
      <c r="M149" s="533"/>
      <c r="N149" s="509">
        <v>188</v>
      </c>
      <c r="O149" s="1605"/>
      <c r="P149" s="1599"/>
      <c r="Q149" s="1599"/>
      <c r="R149" s="1599"/>
      <c r="S149" s="1599"/>
      <c r="T149" s="1600"/>
      <c r="U149" s="340"/>
      <c r="V149" s="341"/>
      <c r="W149" s="342"/>
      <c r="X149" s="498"/>
      <c r="Y149" s="498"/>
      <c r="Z149" s="342"/>
      <c r="BA149" s="53">
        <v>146</v>
      </c>
      <c r="BB149" s="54">
        <f t="shared" si="59"/>
        <v>0</v>
      </c>
      <c r="BC149" s="50">
        <f t="shared" si="60"/>
        <v>0</v>
      </c>
      <c r="BD149" s="55">
        <f t="shared" si="58"/>
        <v>0</v>
      </c>
      <c r="BE149" s="55">
        <f t="shared" si="58"/>
        <v>0</v>
      </c>
      <c r="BF149" s="138">
        <v>158</v>
      </c>
      <c r="BG149" s="6">
        <f t="shared" si="56"/>
        <v>0</v>
      </c>
      <c r="BH149" s="6">
        <f t="shared" si="57"/>
        <v>0</v>
      </c>
      <c r="BI149" s="6" t="b">
        <v>0</v>
      </c>
      <c r="BJ149" s="96">
        <v>188</v>
      </c>
      <c r="BK149" s="6"/>
      <c r="BL149" s="6"/>
      <c r="BM149" s="6" t="b">
        <v>0</v>
      </c>
    </row>
    <row r="150" spans="1:65" ht="24.95" customHeight="1">
      <c r="A150" s="510">
        <v>159</v>
      </c>
      <c r="B150" s="1605"/>
      <c r="C150" s="1599"/>
      <c r="D150" s="1599"/>
      <c r="E150" s="1599"/>
      <c r="F150" s="1599"/>
      <c r="G150" s="1600"/>
      <c r="H150" s="340"/>
      <c r="I150" s="341"/>
      <c r="J150" s="342"/>
      <c r="K150" s="498"/>
      <c r="L150" s="498"/>
      <c r="M150" s="533"/>
      <c r="N150" s="509">
        <v>189</v>
      </c>
      <c r="O150" s="1605"/>
      <c r="P150" s="1599"/>
      <c r="Q150" s="1599"/>
      <c r="R150" s="1599"/>
      <c r="S150" s="1599"/>
      <c r="T150" s="1600"/>
      <c r="U150" s="340"/>
      <c r="V150" s="341"/>
      <c r="W150" s="342"/>
      <c r="X150" s="498"/>
      <c r="Y150" s="498"/>
      <c r="Z150" s="342"/>
      <c r="BA150" s="53">
        <v>147</v>
      </c>
      <c r="BB150" s="54">
        <f t="shared" si="59"/>
        <v>0</v>
      </c>
      <c r="BC150" s="50">
        <f t="shared" si="60"/>
        <v>0</v>
      </c>
      <c r="BD150" s="55">
        <f t="shared" si="58"/>
        <v>0</v>
      </c>
      <c r="BE150" s="55">
        <f t="shared" si="58"/>
        <v>0</v>
      </c>
      <c r="BF150" s="138">
        <v>159</v>
      </c>
      <c r="BG150" s="6">
        <f t="shared" si="56"/>
        <v>0</v>
      </c>
      <c r="BH150" s="6">
        <f t="shared" si="57"/>
        <v>0</v>
      </c>
      <c r="BI150" s="6" t="b">
        <v>0</v>
      </c>
      <c r="BJ150" s="96">
        <v>189</v>
      </c>
      <c r="BK150" s="6"/>
      <c r="BL150" s="6"/>
      <c r="BM150" s="6" t="b">
        <v>0</v>
      </c>
    </row>
    <row r="151" spans="1:65" ht="24.95" customHeight="1">
      <c r="A151" s="510">
        <v>160</v>
      </c>
      <c r="B151" s="1609"/>
      <c r="C151" s="1609"/>
      <c r="D151" s="1609"/>
      <c r="E151" s="1609"/>
      <c r="F151" s="1609"/>
      <c r="G151" s="1609"/>
      <c r="H151" s="340"/>
      <c r="I151" s="341"/>
      <c r="J151" s="342"/>
      <c r="K151" s="498"/>
      <c r="L151" s="498"/>
      <c r="M151" s="533"/>
      <c r="N151" s="509">
        <v>190</v>
      </c>
      <c r="O151" s="1619"/>
      <c r="P151" s="1620"/>
      <c r="Q151" s="1620"/>
      <c r="R151" s="1620"/>
      <c r="S151" s="1620"/>
      <c r="T151" s="1621"/>
      <c r="U151" s="340"/>
      <c r="V151" s="341"/>
      <c r="W151" s="342"/>
      <c r="X151" s="498"/>
      <c r="Y151" s="498"/>
      <c r="Z151" s="342"/>
      <c r="BA151" s="53">
        <v>148</v>
      </c>
      <c r="BB151" s="54">
        <f t="shared" si="59"/>
        <v>0</v>
      </c>
      <c r="BC151" s="50">
        <f t="shared" si="60"/>
        <v>0</v>
      </c>
      <c r="BD151" s="55">
        <f t="shared" si="58"/>
        <v>0</v>
      </c>
      <c r="BE151" s="55">
        <f t="shared" si="58"/>
        <v>0</v>
      </c>
      <c r="BF151" s="138">
        <v>160</v>
      </c>
      <c r="BG151" s="6">
        <f t="shared" si="56"/>
        <v>0</v>
      </c>
      <c r="BH151" s="6">
        <f t="shared" si="57"/>
        <v>0</v>
      </c>
      <c r="BI151" s="6" t="b">
        <v>0</v>
      </c>
      <c r="BJ151" s="96">
        <v>190</v>
      </c>
      <c r="BK151" s="6"/>
      <c r="BL151" s="6"/>
      <c r="BM151" s="6" t="b">
        <v>0</v>
      </c>
    </row>
    <row r="152" spans="1:65" ht="24.95" customHeight="1">
      <c r="A152" s="510">
        <v>161</v>
      </c>
      <c r="B152" s="1609"/>
      <c r="C152" s="1609"/>
      <c r="D152" s="1609"/>
      <c r="E152" s="1609"/>
      <c r="F152" s="1609"/>
      <c r="G152" s="1609"/>
      <c r="H152" s="340"/>
      <c r="I152" s="341"/>
      <c r="J152" s="342"/>
      <c r="K152" s="498"/>
      <c r="L152" s="498"/>
      <c r="M152" s="533"/>
      <c r="N152" s="574">
        <v>191</v>
      </c>
      <c r="O152" s="1605"/>
      <c r="P152" s="1599"/>
      <c r="Q152" s="1599"/>
      <c r="R152" s="1599"/>
      <c r="S152" s="1599"/>
      <c r="T152" s="1600"/>
      <c r="U152" s="340"/>
      <c r="V152" s="341"/>
      <c r="W152" s="342"/>
      <c r="X152" s="498"/>
      <c r="Y152" s="498"/>
      <c r="Z152" s="342"/>
      <c r="BA152" s="53">
        <v>149</v>
      </c>
      <c r="BB152" s="54">
        <f t="shared" si="59"/>
        <v>0</v>
      </c>
      <c r="BC152" s="50">
        <f t="shared" si="60"/>
        <v>0</v>
      </c>
      <c r="BD152" s="55">
        <f t="shared" si="58"/>
        <v>0</v>
      </c>
      <c r="BE152" s="55">
        <f t="shared" si="58"/>
        <v>0</v>
      </c>
      <c r="BF152" s="138">
        <v>161</v>
      </c>
      <c r="BG152" s="6">
        <f t="shared" si="56"/>
        <v>0</v>
      </c>
      <c r="BH152" s="6">
        <f t="shared" si="57"/>
        <v>0</v>
      </c>
      <c r="BI152" s="6" t="b">
        <v>0</v>
      </c>
      <c r="BJ152" s="96">
        <v>191</v>
      </c>
      <c r="BK152" s="6"/>
      <c r="BL152" s="6"/>
      <c r="BM152" s="6" t="b">
        <v>0</v>
      </c>
    </row>
    <row r="153" spans="1:65" ht="24.95" customHeight="1">
      <c r="A153" s="510">
        <v>162</v>
      </c>
      <c r="B153" s="1609"/>
      <c r="C153" s="1609"/>
      <c r="D153" s="1609"/>
      <c r="E153" s="1609"/>
      <c r="F153" s="1609"/>
      <c r="G153" s="1609"/>
      <c r="H153" s="340"/>
      <c r="I153" s="341"/>
      <c r="J153" s="342"/>
      <c r="K153" s="498"/>
      <c r="L153" s="498"/>
      <c r="M153" s="533"/>
      <c r="N153" s="509">
        <v>192</v>
      </c>
      <c r="O153" s="1605"/>
      <c r="P153" s="1599"/>
      <c r="Q153" s="1599"/>
      <c r="R153" s="1599"/>
      <c r="S153" s="1599"/>
      <c r="T153" s="1600"/>
      <c r="U153" s="340"/>
      <c r="V153" s="341"/>
      <c r="W153" s="342"/>
      <c r="X153" s="498"/>
      <c r="Y153" s="498"/>
      <c r="Z153" s="342"/>
      <c r="BA153" s="53">
        <v>150</v>
      </c>
      <c r="BB153" s="54">
        <f t="shared" si="59"/>
        <v>0</v>
      </c>
      <c r="BC153" s="50">
        <f t="shared" si="60"/>
        <v>0</v>
      </c>
      <c r="BD153" s="55">
        <f t="shared" si="58"/>
        <v>0</v>
      </c>
      <c r="BE153" s="55">
        <f t="shared" si="58"/>
        <v>0</v>
      </c>
      <c r="BF153" s="138">
        <v>162</v>
      </c>
      <c r="BG153" s="6">
        <f t="shared" si="56"/>
        <v>0</v>
      </c>
      <c r="BH153" s="6">
        <f t="shared" si="57"/>
        <v>0</v>
      </c>
      <c r="BI153" s="6" t="b">
        <v>0</v>
      </c>
      <c r="BJ153" s="96">
        <v>192</v>
      </c>
      <c r="BK153" s="6"/>
      <c r="BL153" s="6"/>
      <c r="BM153" s="6" t="b">
        <v>0</v>
      </c>
    </row>
    <row r="154" spans="1:65" ht="24.95" customHeight="1">
      <c r="A154" s="510">
        <v>163</v>
      </c>
      <c r="B154" s="1609"/>
      <c r="C154" s="1609"/>
      <c r="D154" s="1609"/>
      <c r="E154" s="1609"/>
      <c r="F154" s="1609"/>
      <c r="G154" s="1609"/>
      <c r="H154" s="340"/>
      <c r="I154" s="341"/>
      <c r="J154" s="342"/>
      <c r="K154" s="498"/>
      <c r="L154" s="498"/>
      <c r="M154" s="533"/>
      <c r="N154" s="509">
        <v>193</v>
      </c>
      <c r="O154" s="1605"/>
      <c r="P154" s="1599"/>
      <c r="Q154" s="1599"/>
      <c r="R154" s="1599"/>
      <c r="S154" s="1599"/>
      <c r="T154" s="1600"/>
      <c r="U154" s="340"/>
      <c r="V154" s="341"/>
      <c r="W154" s="342"/>
      <c r="X154" s="498"/>
      <c r="Y154" s="498"/>
      <c r="Z154" s="342"/>
      <c r="BA154" s="53">
        <v>151</v>
      </c>
      <c r="BB154" s="54">
        <f t="shared" si="59"/>
        <v>0</v>
      </c>
      <c r="BC154" s="50">
        <f t="shared" si="60"/>
        <v>0</v>
      </c>
      <c r="BD154" s="55">
        <f t="shared" si="58"/>
        <v>0</v>
      </c>
      <c r="BE154" s="55">
        <f t="shared" si="58"/>
        <v>0</v>
      </c>
      <c r="BF154" s="138">
        <v>163</v>
      </c>
      <c r="BG154" s="6">
        <f t="shared" si="56"/>
        <v>0</v>
      </c>
      <c r="BH154" s="6">
        <f t="shared" si="57"/>
        <v>0</v>
      </c>
      <c r="BI154" s="6" t="b">
        <v>0</v>
      </c>
      <c r="BJ154" s="96">
        <v>193</v>
      </c>
      <c r="BK154" s="6"/>
      <c r="BL154" s="6"/>
      <c r="BM154" s="6" t="b">
        <v>0</v>
      </c>
    </row>
    <row r="155" spans="1:65" ht="24.95" customHeight="1">
      <c r="A155" s="510">
        <v>164</v>
      </c>
      <c r="B155" s="1609"/>
      <c r="C155" s="1609"/>
      <c r="D155" s="1609"/>
      <c r="E155" s="1609"/>
      <c r="F155" s="1609"/>
      <c r="G155" s="1609"/>
      <c r="H155" s="340"/>
      <c r="I155" s="341"/>
      <c r="J155" s="342"/>
      <c r="K155" s="498"/>
      <c r="L155" s="498"/>
      <c r="M155" s="533"/>
      <c r="N155" s="509">
        <v>194</v>
      </c>
      <c r="O155" s="1605"/>
      <c r="P155" s="1599"/>
      <c r="Q155" s="1599"/>
      <c r="R155" s="1599"/>
      <c r="S155" s="1599"/>
      <c r="T155" s="1600"/>
      <c r="U155" s="340"/>
      <c r="V155" s="341"/>
      <c r="W155" s="342"/>
      <c r="X155" s="498"/>
      <c r="Y155" s="498"/>
      <c r="Z155" s="342"/>
      <c r="BA155" s="53">
        <v>152</v>
      </c>
      <c r="BB155" s="54">
        <f t="shared" si="59"/>
        <v>0</v>
      </c>
      <c r="BC155" s="50">
        <f t="shared" si="60"/>
        <v>0</v>
      </c>
      <c r="BD155" s="55">
        <f t="shared" si="58"/>
        <v>0</v>
      </c>
      <c r="BE155" s="55">
        <f t="shared" si="58"/>
        <v>0</v>
      </c>
      <c r="BF155" s="138">
        <v>164</v>
      </c>
      <c r="BG155" s="6">
        <f t="shared" si="56"/>
        <v>0</v>
      </c>
      <c r="BH155" s="6">
        <f t="shared" si="57"/>
        <v>0</v>
      </c>
      <c r="BI155" s="6" t="b">
        <v>0</v>
      </c>
      <c r="BJ155" s="96">
        <v>194</v>
      </c>
      <c r="BK155" s="6"/>
      <c r="BL155" s="6"/>
      <c r="BM155" s="6" t="b">
        <v>0</v>
      </c>
    </row>
    <row r="156" spans="1:65" ht="24.95" customHeight="1">
      <c r="A156" s="510">
        <v>165</v>
      </c>
      <c r="B156" s="1609"/>
      <c r="C156" s="1609"/>
      <c r="D156" s="1609"/>
      <c r="E156" s="1609"/>
      <c r="F156" s="1609"/>
      <c r="G156" s="1609"/>
      <c r="H156" s="340"/>
      <c r="I156" s="341"/>
      <c r="J156" s="342"/>
      <c r="K156" s="498"/>
      <c r="L156" s="498"/>
      <c r="M156" s="533"/>
      <c r="N156" s="509">
        <v>195</v>
      </c>
      <c r="O156" s="1605"/>
      <c r="P156" s="1599"/>
      <c r="Q156" s="1599"/>
      <c r="R156" s="1599"/>
      <c r="S156" s="1599"/>
      <c r="T156" s="1600"/>
      <c r="U156" s="340"/>
      <c r="V156" s="341"/>
      <c r="W156" s="342"/>
      <c r="X156" s="498"/>
      <c r="Y156" s="498"/>
      <c r="Z156" s="342"/>
      <c r="BA156" s="53">
        <v>153</v>
      </c>
      <c r="BB156" s="54">
        <f t="shared" si="59"/>
        <v>0</v>
      </c>
      <c r="BC156" s="50">
        <f t="shared" si="60"/>
        <v>0</v>
      </c>
      <c r="BD156" s="55">
        <f t="shared" si="58"/>
        <v>0</v>
      </c>
      <c r="BE156" s="55">
        <f t="shared" si="58"/>
        <v>0</v>
      </c>
      <c r="BF156" s="138">
        <v>165</v>
      </c>
      <c r="BG156" s="6">
        <f t="shared" si="56"/>
        <v>0</v>
      </c>
      <c r="BH156" s="6">
        <f t="shared" si="57"/>
        <v>0</v>
      </c>
      <c r="BI156" s="6" t="b">
        <v>0</v>
      </c>
      <c r="BJ156" s="96">
        <v>195</v>
      </c>
      <c r="BK156" s="6"/>
      <c r="BL156" s="6"/>
      <c r="BM156" s="6" t="b">
        <v>0</v>
      </c>
    </row>
    <row r="157" spans="1:65" ht="24.95" customHeight="1">
      <c r="A157" s="510">
        <v>166</v>
      </c>
      <c r="B157" s="1609"/>
      <c r="C157" s="1609"/>
      <c r="D157" s="1609"/>
      <c r="E157" s="1609"/>
      <c r="F157" s="1609"/>
      <c r="G157" s="1609"/>
      <c r="H157" s="340"/>
      <c r="I157" s="341"/>
      <c r="J157" s="342"/>
      <c r="K157" s="498"/>
      <c r="L157" s="498"/>
      <c r="M157" s="533"/>
      <c r="N157" s="509">
        <v>196</v>
      </c>
      <c r="O157" s="1605"/>
      <c r="P157" s="1599"/>
      <c r="Q157" s="1599"/>
      <c r="R157" s="1599"/>
      <c r="S157" s="1599"/>
      <c r="T157" s="1600"/>
      <c r="U157" s="340"/>
      <c r="V157" s="341"/>
      <c r="W157" s="342"/>
      <c r="X157" s="498"/>
      <c r="Y157" s="498"/>
      <c r="Z157" s="342"/>
      <c r="BA157" s="53">
        <v>154</v>
      </c>
      <c r="BB157" s="54">
        <f t="shared" si="59"/>
        <v>0</v>
      </c>
      <c r="BC157" s="50">
        <f t="shared" si="60"/>
        <v>0</v>
      </c>
      <c r="BD157" s="55">
        <f t="shared" si="58"/>
        <v>0</v>
      </c>
      <c r="BE157" s="55">
        <f t="shared" si="58"/>
        <v>0</v>
      </c>
      <c r="BF157" s="138">
        <v>166</v>
      </c>
      <c r="BG157" s="6">
        <f t="shared" si="56"/>
        <v>0</v>
      </c>
      <c r="BH157" s="6">
        <f t="shared" si="57"/>
        <v>0</v>
      </c>
      <c r="BI157" s="6" t="b">
        <v>0</v>
      </c>
      <c r="BJ157" s="96">
        <v>196</v>
      </c>
      <c r="BK157" s="6"/>
      <c r="BL157" s="6"/>
      <c r="BM157" s="6" t="b">
        <v>0</v>
      </c>
    </row>
    <row r="158" spans="1:65" ht="24.95" customHeight="1">
      <c r="A158" s="510">
        <v>167</v>
      </c>
      <c r="B158" s="1609"/>
      <c r="C158" s="1609"/>
      <c r="D158" s="1609"/>
      <c r="E158" s="1609"/>
      <c r="F158" s="1609"/>
      <c r="G158" s="1609"/>
      <c r="H158" s="340"/>
      <c r="I158" s="341"/>
      <c r="J158" s="342"/>
      <c r="K158" s="498"/>
      <c r="L158" s="498"/>
      <c r="M158" s="533"/>
      <c r="N158" s="509">
        <v>197</v>
      </c>
      <c r="O158" s="1605"/>
      <c r="P158" s="1599"/>
      <c r="Q158" s="1599"/>
      <c r="R158" s="1599"/>
      <c r="S158" s="1599"/>
      <c r="T158" s="1600"/>
      <c r="U158" s="340"/>
      <c r="V158" s="341"/>
      <c r="W158" s="342"/>
      <c r="X158" s="498"/>
      <c r="Y158" s="498"/>
      <c r="Z158" s="342"/>
      <c r="BA158" s="53">
        <v>155</v>
      </c>
      <c r="BB158" s="54">
        <f t="shared" si="59"/>
        <v>0</v>
      </c>
      <c r="BC158" s="50">
        <f t="shared" si="60"/>
        <v>0</v>
      </c>
      <c r="BD158" s="55">
        <f t="shared" si="58"/>
        <v>0</v>
      </c>
      <c r="BE158" s="55">
        <f t="shared" si="58"/>
        <v>0</v>
      </c>
      <c r="BF158" s="138">
        <v>167</v>
      </c>
      <c r="BG158" s="6">
        <f t="shared" si="56"/>
        <v>0</v>
      </c>
      <c r="BH158" s="6">
        <f t="shared" si="57"/>
        <v>0</v>
      </c>
      <c r="BI158" s="6" t="b">
        <v>0</v>
      </c>
      <c r="BJ158" s="96">
        <v>197</v>
      </c>
      <c r="BK158" s="6"/>
      <c r="BL158" s="6"/>
      <c r="BM158" s="6" t="b">
        <v>0</v>
      </c>
    </row>
    <row r="159" spans="1:65" ht="24.95" customHeight="1">
      <c r="A159" s="510">
        <v>168</v>
      </c>
      <c r="B159" s="1609"/>
      <c r="C159" s="1609"/>
      <c r="D159" s="1609"/>
      <c r="E159" s="1609"/>
      <c r="F159" s="1609"/>
      <c r="G159" s="1609"/>
      <c r="H159" s="340"/>
      <c r="I159" s="341"/>
      <c r="J159" s="342"/>
      <c r="K159" s="498"/>
      <c r="L159" s="498"/>
      <c r="M159" s="533"/>
      <c r="N159" s="509">
        <v>198</v>
      </c>
      <c r="O159" s="1605"/>
      <c r="P159" s="1599"/>
      <c r="Q159" s="1599"/>
      <c r="R159" s="1599"/>
      <c r="S159" s="1599"/>
      <c r="T159" s="1600"/>
      <c r="U159" s="340"/>
      <c r="V159" s="341"/>
      <c r="W159" s="342"/>
      <c r="X159" s="498"/>
      <c r="Y159" s="498"/>
      <c r="Z159" s="342"/>
      <c r="BA159" s="53">
        <v>156</v>
      </c>
      <c r="BB159" s="54">
        <f t="shared" si="59"/>
        <v>0</v>
      </c>
      <c r="BC159" s="50">
        <f t="shared" si="60"/>
        <v>0</v>
      </c>
      <c r="BD159" s="55">
        <f t="shared" si="58"/>
        <v>0</v>
      </c>
      <c r="BE159" s="55">
        <f t="shared" si="58"/>
        <v>0</v>
      </c>
      <c r="BF159" s="138">
        <v>168</v>
      </c>
      <c r="BG159" s="6">
        <f t="shared" si="56"/>
        <v>0</v>
      </c>
      <c r="BH159" s="6">
        <f t="shared" si="57"/>
        <v>0</v>
      </c>
      <c r="BI159" s="6" t="b">
        <v>0</v>
      </c>
      <c r="BJ159" s="96">
        <v>198</v>
      </c>
      <c r="BK159" s="6"/>
      <c r="BL159" s="6"/>
      <c r="BM159" s="6" t="b">
        <v>0</v>
      </c>
    </row>
    <row r="160" spans="1:65" ht="24.95" customHeight="1">
      <c r="A160" s="510">
        <v>169</v>
      </c>
      <c r="B160" s="1609"/>
      <c r="C160" s="1609"/>
      <c r="D160" s="1609"/>
      <c r="E160" s="1609"/>
      <c r="F160" s="1609"/>
      <c r="G160" s="1609"/>
      <c r="H160" s="340"/>
      <c r="I160" s="341"/>
      <c r="J160" s="342"/>
      <c r="K160" s="498"/>
      <c r="L160" s="498"/>
      <c r="M160" s="533"/>
      <c r="N160" s="509">
        <v>199</v>
      </c>
      <c r="O160" s="1605"/>
      <c r="P160" s="1599"/>
      <c r="Q160" s="1599"/>
      <c r="R160" s="1599"/>
      <c r="S160" s="1599"/>
      <c r="T160" s="1600"/>
      <c r="U160" s="340"/>
      <c r="V160" s="341"/>
      <c r="W160" s="342"/>
      <c r="X160" s="498"/>
      <c r="Y160" s="498"/>
      <c r="Z160" s="342"/>
      <c r="BA160" s="53">
        <v>157</v>
      </c>
      <c r="BB160" s="54">
        <f t="shared" si="59"/>
        <v>0</v>
      </c>
      <c r="BC160" s="50">
        <f t="shared" si="60"/>
        <v>0</v>
      </c>
      <c r="BD160" s="55">
        <f t="shared" si="58"/>
        <v>0</v>
      </c>
      <c r="BE160" s="55">
        <f t="shared" si="58"/>
        <v>0</v>
      </c>
      <c r="BF160" s="138">
        <v>169</v>
      </c>
      <c r="BG160" s="6">
        <f t="shared" si="56"/>
        <v>0</v>
      </c>
      <c r="BH160" s="6">
        <f t="shared" si="57"/>
        <v>0</v>
      </c>
      <c r="BI160" s="6" t="b">
        <v>0</v>
      </c>
      <c r="BJ160" s="96">
        <v>199</v>
      </c>
      <c r="BK160" s="6"/>
      <c r="BL160" s="6"/>
      <c r="BM160" s="6" t="b">
        <v>0</v>
      </c>
    </row>
    <row r="161" spans="1:65" ht="24.95" customHeight="1">
      <c r="A161" s="510">
        <v>170</v>
      </c>
      <c r="B161" s="1609"/>
      <c r="C161" s="1609"/>
      <c r="D161" s="1609"/>
      <c r="E161" s="1609"/>
      <c r="F161" s="1609"/>
      <c r="G161" s="1609"/>
      <c r="H161" s="340"/>
      <c r="I161" s="341"/>
      <c r="J161" s="342"/>
      <c r="K161" s="498"/>
      <c r="L161" s="498"/>
      <c r="M161" s="533"/>
      <c r="N161" s="509">
        <v>200</v>
      </c>
      <c r="O161" s="1605"/>
      <c r="P161" s="1599"/>
      <c r="Q161" s="1599"/>
      <c r="R161" s="1599"/>
      <c r="S161" s="1599"/>
      <c r="T161" s="1600"/>
      <c r="U161" s="340"/>
      <c r="V161" s="341"/>
      <c r="W161" s="342"/>
      <c r="X161" s="498"/>
      <c r="Y161" s="498"/>
      <c r="Z161" s="342"/>
      <c r="BA161" s="53">
        <v>158</v>
      </c>
      <c r="BB161" s="54">
        <f t="shared" si="59"/>
        <v>0</v>
      </c>
      <c r="BC161" s="50">
        <f t="shared" si="60"/>
        <v>0</v>
      </c>
      <c r="BD161" s="55">
        <f t="shared" si="58"/>
        <v>0</v>
      </c>
      <c r="BE161" s="55">
        <f t="shared" si="58"/>
        <v>0</v>
      </c>
      <c r="BF161" s="138">
        <v>170</v>
      </c>
      <c r="BG161" s="6">
        <f t="shared" si="56"/>
        <v>0</v>
      </c>
      <c r="BH161" s="6">
        <f t="shared" si="57"/>
        <v>0</v>
      </c>
      <c r="BI161" s="6" t="b">
        <v>0</v>
      </c>
      <c r="BJ161" s="96">
        <v>200</v>
      </c>
      <c r="BK161" s="6"/>
      <c r="BL161" s="6"/>
      <c r="BM161" s="6" t="b">
        <v>0</v>
      </c>
    </row>
    <row r="162" spans="1:65" ht="24.95" customHeight="1">
      <c r="A162" s="297"/>
      <c r="B162" s="346"/>
      <c r="C162" s="346"/>
      <c r="D162" s="346"/>
      <c r="E162" s="346"/>
      <c r="F162" s="346"/>
      <c r="G162" s="346"/>
      <c r="H162" s="347"/>
      <c r="I162" s="347"/>
      <c r="J162" s="354"/>
      <c r="K162" s="354"/>
      <c r="L162" s="330"/>
      <c r="M162" s="330"/>
      <c r="N162" s="297"/>
      <c r="O162" s="346"/>
      <c r="P162" s="346"/>
      <c r="Q162" s="346"/>
      <c r="R162" s="346"/>
      <c r="S162" s="346"/>
      <c r="T162" s="346"/>
      <c r="U162" s="347"/>
      <c r="V162" s="347"/>
      <c r="W162" s="347"/>
      <c r="X162" s="347"/>
      <c r="Y162" s="348"/>
      <c r="Z162" s="348"/>
      <c r="BA162" s="53">
        <v>159</v>
      </c>
      <c r="BB162" s="54">
        <f t="shared" si="59"/>
        <v>0</v>
      </c>
      <c r="BC162" s="50">
        <f t="shared" si="60"/>
        <v>0</v>
      </c>
      <c r="BD162" s="55">
        <f t="shared" si="58"/>
        <v>0</v>
      </c>
      <c r="BE162" s="55">
        <f t="shared" si="58"/>
        <v>0</v>
      </c>
    </row>
    <row r="163" spans="1:65" ht="23.25">
      <c r="A163" s="1185" t="s">
        <v>303</v>
      </c>
      <c r="B163" s="1185"/>
      <c r="C163" s="1185"/>
      <c r="D163" s="1185"/>
      <c r="E163" s="1185"/>
      <c r="F163" s="1185"/>
      <c r="G163" s="1185"/>
      <c r="H163" s="1185"/>
      <c r="I163" s="1185"/>
      <c r="J163" s="1185"/>
      <c r="K163" s="1185"/>
      <c r="L163" s="1185"/>
      <c r="M163" s="1185"/>
      <c r="N163" s="1185"/>
      <c r="O163" s="1185"/>
      <c r="P163" s="1185"/>
      <c r="Q163" s="1185"/>
      <c r="R163" s="1185"/>
      <c r="S163" s="1185"/>
      <c r="T163" s="1185"/>
      <c r="U163" s="1185"/>
      <c r="V163" s="1185"/>
      <c r="W163" s="1185"/>
      <c r="X163" s="1185"/>
      <c r="Y163" s="1185"/>
      <c r="Z163" s="1185"/>
      <c r="AA163" s="8"/>
      <c r="AB163" s="8"/>
      <c r="AC163" s="8"/>
      <c r="AD163" s="8"/>
      <c r="AE163" s="8"/>
      <c r="AF163" s="8"/>
      <c r="AG163" s="8"/>
      <c r="AH163" s="8"/>
      <c r="AI163" s="8"/>
      <c r="AJ163" s="8"/>
      <c r="AK163" s="8"/>
      <c r="AL163" s="8"/>
      <c r="AM163" s="8"/>
      <c r="AN163" s="8"/>
      <c r="AO163" s="8"/>
      <c r="AP163" s="8"/>
      <c r="AQ163" s="8"/>
      <c r="AR163" s="8"/>
      <c r="AS163" s="8"/>
      <c r="AT163" s="8"/>
      <c r="AU163" s="8"/>
      <c r="AV163" s="8"/>
      <c r="AW163" s="8"/>
      <c r="AX163" s="8"/>
      <c r="AY163" s="8"/>
      <c r="AZ163" s="8"/>
      <c r="BA163" s="53">
        <v>160</v>
      </c>
      <c r="BB163" s="54">
        <f t="shared" si="59"/>
        <v>0</v>
      </c>
      <c r="BC163" s="50">
        <f t="shared" si="60"/>
        <v>0</v>
      </c>
      <c r="BD163" s="55">
        <f t="shared" si="58"/>
        <v>0</v>
      </c>
      <c r="BE163" s="55">
        <f t="shared" si="58"/>
        <v>0</v>
      </c>
    </row>
    <row r="164" spans="1:65" ht="24" thickBot="1">
      <c r="A164" s="331">
        <f>COUNTIFS(K175:K204,"a",H175:H204,"&gt;0")</f>
        <v>0</v>
      </c>
      <c r="B164" s="331">
        <f>COUNTIFS(X175:X204,"a",U175:U204,"&gt;0")</f>
        <v>0</v>
      </c>
      <c r="C164" s="331">
        <f>COUNTIFS(K175:K204,"b",H175:H204,"&gt;0")</f>
        <v>0</v>
      </c>
      <c r="D164" s="331">
        <f>COUNTIFS(X175:X204,"b",U175:U204,"&gt;0")</f>
        <v>0</v>
      </c>
      <c r="E164" s="331">
        <f>COUNTIFS(K175:K204,"c",H175:H204,"&gt;0")</f>
        <v>0</v>
      </c>
      <c r="F164" s="331">
        <f>COUNTIFS(X175:X204,"c",U175:U204,"&gt;0")</f>
        <v>0</v>
      </c>
      <c r="G164" s="331">
        <f>COUNTIFS(K175:K204,"d",H175:H204,"&gt;0")</f>
        <v>0</v>
      </c>
      <c r="H164" s="331">
        <f>COUNTIFS(X175:X204,"d",U175:U204,"&gt;0")</f>
        <v>0</v>
      </c>
      <c r="I164" s="331">
        <f>COUNTIFS(K175:K204,"e",H175:H204,"&gt;0")</f>
        <v>0</v>
      </c>
      <c r="J164" s="331">
        <f>COUNTIFS(X175:X204,"e",U175:U204,"&gt;0")</f>
        <v>0</v>
      </c>
      <c r="K164" s="331">
        <f>COUNTIFS(K175:K204,"f",H175:H204,"&gt;0")</f>
        <v>0</v>
      </c>
      <c r="L164" s="331">
        <f>COUNTIFS(X175:X204,"f",U175:U204,"&gt;0")</f>
        <v>0</v>
      </c>
      <c r="M164" s="331">
        <f>COUNTIFS(K175:K204,"g",H175:H204,"&gt;0")</f>
        <v>0</v>
      </c>
      <c r="N164" s="331">
        <f>COUNTIFS(X175:X204,"g",U175:U204,"&gt;0")</f>
        <v>0</v>
      </c>
      <c r="O164" s="331">
        <f>COUNTIFS(K175:K204,"h",H175:H204,"&gt;0")</f>
        <v>0</v>
      </c>
      <c r="P164" s="331">
        <f>COUNTIFS(X175:X204,"h",U175:U204,"&gt;0")</f>
        <v>0</v>
      </c>
      <c r="Q164" s="331">
        <f>COUNTIFS(K175:K204,"i",H175:H204,"&gt;0")</f>
        <v>0</v>
      </c>
      <c r="R164" s="331">
        <f>COUNTIFS(X175:X204,"i",U175:U204,"&gt;0")</f>
        <v>0</v>
      </c>
      <c r="S164" s="332">
        <f>SUM(A164:R164)</f>
        <v>0</v>
      </c>
      <c r="T164" s="332"/>
      <c r="U164" s="332"/>
      <c r="V164" s="332"/>
      <c r="W164" s="1603" t="s">
        <v>314</v>
      </c>
      <c r="X164" s="1603"/>
      <c r="Y164" s="1603">
        <v>5</v>
      </c>
      <c r="Z164" s="1603"/>
      <c r="AA164" s="8"/>
      <c r="AB164" s="8"/>
      <c r="AC164" s="8"/>
      <c r="AD164" s="8"/>
      <c r="AE164" s="8"/>
      <c r="AF164" s="8"/>
      <c r="AG164" s="8"/>
      <c r="AH164" s="8"/>
      <c r="AI164" s="8"/>
      <c r="AJ164" s="8"/>
      <c r="AK164" s="8"/>
      <c r="AL164" s="8"/>
      <c r="AM164" s="8"/>
      <c r="AN164" s="8"/>
      <c r="AO164" s="8"/>
      <c r="AP164" s="8"/>
      <c r="AQ164" s="8"/>
      <c r="AR164" s="8"/>
      <c r="AS164" s="8"/>
      <c r="AT164" s="8"/>
      <c r="AU164" s="8"/>
      <c r="AV164" s="8"/>
      <c r="AW164" s="8"/>
      <c r="AX164" s="8"/>
      <c r="AY164" s="8"/>
      <c r="AZ164" s="8"/>
      <c r="BA164" s="53">
        <v>161</v>
      </c>
      <c r="BB164" s="54">
        <f t="shared" si="59"/>
        <v>0</v>
      </c>
      <c r="BC164" s="50">
        <f t="shared" si="60"/>
        <v>0</v>
      </c>
      <c r="BD164" s="55">
        <f t="shared" si="58"/>
        <v>0</v>
      </c>
      <c r="BE164" s="55">
        <f t="shared" si="58"/>
        <v>0</v>
      </c>
    </row>
    <row r="165" spans="1:65" ht="23.25">
      <c r="A165" s="331">
        <f>COUNTIFS(K175:K204,"a",I175:I204,"&gt;0")</f>
        <v>0</v>
      </c>
      <c r="B165" s="331">
        <f>COUNTIFS(X175:X204,"a",V175:V204,"&gt;0")</f>
        <v>0</v>
      </c>
      <c r="C165" s="331">
        <f>COUNTIFS(K175:K204,"b",I175:I204,"&gt;0")</f>
        <v>0</v>
      </c>
      <c r="D165" s="331">
        <f>COUNTIFS(X175:X204,"b",V175:V204,"&gt;0")</f>
        <v>0</v>
      </c>
      <c r="E165" s="331">
        <f>COUNTIFS(K175:K204,"c",I175:I204,"&gt;0")</f>
        <v>0</v>
      </c>
      <c r="F165" s="331">
        <f>COUNTIFS(X175:X204,"c",V175:V204,"&gt;0")</f>
        <v>0</v>
      </c>
      <c r="G165" s="331">
        <f>COUNTIFS(K175:K204,"d",I175:I204,"&gt;0")</f>
        <v>0</v>
      </c>
      <c r="H165" s="331">
        <f>COUNTIFS(X175:X204,"d",V175:V204,"&gt;0")</f>
        <v>0</v>
      </c>
      <c r="I165" s="331">
        <f>COUNTIFS(K175:K204,"e",I175:I204,"&gt;0")</f>
        <v>0</v>
      </c>
      <c r="J165" s="331">
        <f>COUNTIFS(X175:X204,"e",V175:V204,"&gt;0")</f>
        <v>0</v>
      </c>
      <c r="K165" s="331">
        <f>COUNTIFS(K175:K204,"f",I175:I204,"&gt;0")</f>
        <v>0</v>
      </c>
      <c r="L165" s="331">
        <f>COUNTIFS(X175:X204,"f",V175:V204,"&gt;0")</f>
        <v>0</v>
      </c>
      <c r="M165" s="331">
        <f>COUNTIFS(K175:K204,"g",I175:I204,"&gt;0")</f>
        <v>0</v>
      </c>
      <c r="N165" s="331">
        <f>COUNTIFS(X175:X204,"g",V175:V204,"&gt;0")</f>
        <v>0</v>
      </c>
      <c r="O165" s="331">
        <f>COUNTIFS(K175:K204,"h",I175:I204,"&gt;0")</f>
        <v>0</v>
      </c>
      <c r="P165" s="331">
        <f>COUNTIFS(X175:X204,"h",V175:V204,"&gt;0")</f>
        <v>0</v>
      </c>
      <c r="Q165" s="331">
        <f>COUNTIFS(K175:K204,"i",I175:I204,"&gt;0")</f>
        <v>0</v>
      </c>
      <c r="R165" s="331">
        <f>COUNTIFS(X175:X204,"i",V175:V204,"&gt;0")</f>
        <v>0</v>
      </c>
      <c r="S165" s="332">
        <f>SUM(A165:R165)</f>
        <v>0</v>
      </c>
      <c r="T165" s="332"/>
      <c r="U165" s="332"/>
      <c r="V165" s="332"/>
      <c r="W165" s="333"/>
      <c r="X165" s="333"/>
      <c r="Y165" s="333"/>
      <c r="Z165" s="333"/>
      <c r="AA165" s="8"/>
      <c r="AB165" s="8"/>
      <c r="AC165" s="8"/>
      <c r="AD165" s="8"/>
      <c r="AE165" s="8"/>
      <c r="AF165" s="8"/>
      <c r="AG165" s="8"/>
      <c r="AH165" s="8"/>
      <c r="AI165" s="8"/>
      <c r="AJ165" s="8"/>
      <c r="AK165" s="8"/>
      <c r="AL165" s="8"/>
      <c r="AM165" s="8"/>
      <c r="AN165" s="8"/>
      <c r="AO165" s="8"/>
      <c r="AP165" s="8"/>
      <c r="AQ165" s="8"/>
      <c r="AR165" s="8"/>
      <c r="AS165" s="8"/>
      <c r="AT165" s="8"/>
      <c r="AU165" s="8"/>
      <c r="AV165" s="8"/>
      <c r="AW165" s="8"/>
      <c r="AX165" s="8"/>
      <c r="AY165" s="8"/>
      <c r="AZ165" s="8"/>
      <c r="BA165" s="53">
        <v>162</v>
      </c>
      <c r="BB165" s="54">
        <f t="shared" si="59"/>
        <v>0</v>
      </c>
      <c r="BC165" s="50">
        <f t="shared" si="60"/>
        <v>0</v>
      </c>
      <c r="BD165" s="55">
        <f t="shared" si="58"/>
        <v>0</v>
      </c>
      <c r="BE165" s="55">
        <f t="shared" si="58"/>
        <v>0</v>
      </c>
    </row>
    <row r="166" spans="1:65" ht="36" customHeight="1">
      <c r="A166" s="1041" t="s">
        <v>71</v>
      </c>
      <c r="B166" s="1041"/>
      <c r="C166" s="1607" t="str">
        <f>C4</f>
        <v/>
      </c>
      <c r="D166" s="1607"/>
      <c r="E166" s="1607"/>
      <c r="F166" s="1607"/>
      <c r="G166" s="1607"/>
      <c r="H166" s="1607"/>
      <c r="I166" s="1607"/>
      <c r="J166" s="1607"/>
      <c r="K166" s="1607"/>
      <c r="L166" s="1607"/>
      <c r="M166" s="1607"/>
      <c r="N166" s="1607"/>
      <c r="O166" s="1607"/>
      <c r="P166" s="1607"/>
      <c r="Q166" s="1607"/>
      <c r="R166" s="1607"/>
      <c r="S166" s="1607"/>
      <c r="T166" s="1607"/>
      <c r="U166" s="326"/>
      <c r="V166" s="326"/>
      <c r="W166" s="326"/>
      <c r="X166" s="326"/>
      <c r="Y166" s="326"/>
      <c r="Z166" s="326"/>
      <c r="AA166" s="8"/>
      <c r="AB166" s="8"/>
      <c r="AC166" s="8"/>
      <c r="AD166" s="8"/>
      <c r="AE166" s="8"/>
      <c r="AF166" s="8"/>
      <c r="AG166" s="8"/>
      <c r="AH166" s="8"/>
      <c r="AI166" s="8"/>
      <c r="AJ166" s="8"/>
      <c r="AK166" s="8"/>
      <c r="AL166" s="8"/>
      <c r="AM166" s="8"/>
      <c r="AN166" s="8"/>
      <c r="AO166" s="8"/>
      <c r="AP166" s="8"/>
      <c r="AQ166" s="8"/>
      <c r="AR166" s="8"/>
      <c r="AS166" s="8"/>
      <c r="AT166" s="8"/>
      <c r="AU166" s="8"/>
      <c r="AV166" s="8"/>
      <c r="AW166" s="8"/>
      <c r="AX166" s="8"/>
      <c r="AY166" s="8"/>
      <c r="AZ166" s="8"/>
      <c r="BA166" s="53">
        <v>163</v>
      </c>
      <c r="BB166" s="54">
        <f t="shared" si="59"/>
        <v>0</v>
      </c>
      <c r="BC166" s="50">
        <f t="shared" si="60"/>
        <v>0</v>
      </c>
      <c r="BD166" s="55">
        <f t="shared" si="58"/>
        <v>0</v>
      </c>
      <c r="BE166" s="55">
        <f t="shared" si="58"/>
        <v>0</v>
      </c>
    </row>
    <row r="167" spans="1:65" ht="15" customHeight="1">
      <c r="A167" s="1036" t="s">
        <v>70</v>
      </c>
      <c r="B167" s="1036"/>
      <c r="C167" s="1624">
        <f>C5</f>
        <v>0</v>
      </c>
      <c r="D167" s="1624"/>
      <c r="E167" s="1570" t="s">
        <v>13</v>
      </c>
      <c r="F167" s="1624">
        <f>F5</f>
        <v>0</v>
      </c>
      <c r="G167" s="1570" t="s">
        <v>12</v>
      </c>
      <c r="H167" s="1606">
        <f>H5</f>
        <v>0</v>
      </c>
      <c r="I167" s="1570" t="s">
        <v>11</v>
      </c>
      <c r="J167" s="1570" t="s">
        <v>289</v>
      </c>
      <c r="K167" s="1606">
        <f>K5</f>
        <v>0</v>
      </c>
      <c r="L167" s="1570" t="s">
        <v>290</v>
      </c>
      <c r="M167" s="1570" t="s">
        <v>292</v>
      </c>
      <c r="N167" s="1606">
        <f>N5</f>
        <v>0</v>
      </c>
      <c r="O167" s="1570" t="s">
        <v>12</v>
      </c>
      <c r="P167" s="1606">
        <f>P5</f>
        <v>0</v>
      </c>
      <c r="Q167" s="1570" t="s">
        <v>11</v>
      </c>
      <c r="R167" s="1570" t="s">
        <v>289</v>
      </c>
      <c r="S167" s="1606">
        <f>S5</f>
        <v>0</v>
      </c>
      <c r="T167" s="1570" t="s">
        <v>32</v>
      </c>
      <c r="U167" s="1570"/>
      <c r="V167" s="1570"/>
      <c r="W167" s="334" t="str">
        <f>W124</f>
        <v/>
      </c>
      <c r="X167" s="297" t="s">
        <v>41</v>
      </c>
      <c r="Y167" s="334" t="str">
        <f>Y124</f>
        <v/>
      </c>
      <c r="Z167" s="297" t="s">
        <v>11</v>
      </c>
      <c r="AA167" s="7"/>
      <c r="AB167" s="7"/>
      <c r="AC167" s="7"/>
      <c r="AD167" s="7"/>
      <c r="AE167" s="7"/>
      <c r="AF167" s="7"/>
      <c r="AG167" s="7"/>
      <c r="AH167" s="7"/>
      <c r="AI167" s="7"/>
      <c r="AJ167" s="7"/>
      <c r="AK167" s="7"/>
      <c r="AL167" s="7"/>
      <c r="AM167" s="7"/>
      <c r="AN167" s="7"/>
      <c r="AO167" s="7"/>
      <c r="AP167" s="7"/>
      <c r="AQ167" s="7"/>
      <c r="AR167" s="7"/>
      <c r="AS167" s="7"/>
      <c r="AT167" s="7"/>
      <c r="AU167" s="7"/>
      <c r="AV167" s="7"/>
      <c r="AW167" s="7"/>
      <c r="AX167" s="7"/>
      <c r="AY167" s="7"/>
      <c r="AZ167" s="7"/>
      <c r="BA167" s="53">
        <v>164</v>
      </c>
      <c r="BB167" s="54">
        <f t="shared" si="59"/>
        <v>0</v>
      </c>
      <c r="BC167" s="50">
        <f t="shared" si="60"/>
        <v>0</v>
      </c>
      <c r="BD167" s="55">
        <f t="shared" si="58"/>
        <v>0</v>
      </c>
      <c r="BE167" s="55">
        <f t="shared" si="58"/>
        <v>0</v>
      </c>
    </row>
    <row r="168" spans="1:65" ht="15" customHeight="1">
      <c r="A168" s="1041"/>
      <c r="B168" s="1041"/>
      <c r="C168" s="1607"/>
      <c r="D168" s="1607"/>
      <c r="E168" s="1608"/>
      <c r="F168" s="1607"/>
      <c r="G168" s="1608"/>
      <c r="H168" s="1607"/>
      <c r="I168" s="1608"/>
      <c r="J168" s="1608"/>
      <c r="K168" s="1607"/>
      <c r="L168" s="1608"/>
      <c r="M168" s="1608"/>
      <c r="N168" s="1607"/>
      <c r="O168" s="1608"/>
      <c r="P168" s="1607"/>
      <c r="Q168" s="1608"/>
      <c r="R168" s="1608"/>
      <c r="S168" s="1607"/>
      <c r="T168" s="1608"/>
      <c r="U168" s="1570"/>
      <c r="V168" s="1570"/>
      <c r="W168" s="1570" t="s">
        <v>42</v>
      </c>
      <c r="X168" s="1570"/>
      <c r="Y168" s="336" t="str">
        <f>Y125</f>
        <v/>
      </c>
      <c r="Z168" s="297" t="s">
        <v>11</v>
      </c>
      <c r="AA168" s="7"/>
      <c r="AB168" s="7"/>
      <c r="AC168" s="7"/>
      <c r="AD168" s="7"/>
      <c r="AE168" s="7"/>
      <c r="AF168" s="7"/>
      <c r="AG168" s="7"/>
      <c r="AH168" s="7"/>
      <c r="AI168" s="7"/>
      <c r="AJ168" s="7"/>
      <c r="AK168" s="7"/>
      <c r="AL168" s="7"/>
      <c r="AM168" s="7"/>
      <c r="AN168" s="7"/>
      <c r="AO168" s="7"/>
      <c r="AP168" s="7"/>
      <c r="AQ168" s="7"/>
      <c r="AR168" s="7"/>
      <c r="AS168" s="7"/>
      <c r="AT168" s="7"/>
      <c r="AU168" s="7"/>
      <c r="AV168" s="7"/>
      <c r="AW168" s="7"/>
      <c r="AX168" s="7"/>
      <c r="AY168" s="7"/>
      <c r="AZ168" s="7"/>
      <c r="BA168" s="53">
        <v>165</v>
      </c>
      <c r="BB168" s="54">
        <f t="shared" si="59"/>
        <v>0</v>
      </c>
      <c r="BC168" s="50">
        <f t="shared" si="60"/>
        <v>0</v>
      </c>
      <c r="BD168" s="55">
        <f t="shared" si="58"/>
        <v>0</v>
      </c>
      <c r="BE168" s="55">
        <f t="shared" si="58"/>
        <v>0</v>
      </c>
    </row>
    <row r="169" spans="1:65" ht="24.95" customHeight="1">
      <c r="A169" s="337"/>
      <c r="B169" s="337"/>
      <c r="C169" s="337"/>
      <c r="D169" s="337"/>
      <c r="E169" s="337"/>
      <c r="F169" s="337"/>
      <c r="G169" s="337"/>
      <c r="H169" s="337"/>
      <c r="I169" s="337"/>
      <c r="J169" s="337"/>
      <c r="K169" s="337"/>
      <c r="L169" s="337"/>
      <c r="M169" s="337"/>
      <c r="N169" s="337"/>
      <c r="O169" s="337"/>
      <c r="P169" s="337"/>
      <c r="Q169" s="337"/>
      <c r="R169" s="337"/>
      <c r="S169" s="337"/>
      <c r="T169" s="337"/>
      <c r="U169" s="338"/>
      <c r="V169" s="338"/>
      <c r="W169" s="338"/>
      <c r="X169" s="338"/>
      <c r="Y169" s="338"/>
      <c r="Z169" s="338"/>
      <c r="AA169" s="7"/>
      <c r="AB169" s="7"/>
      <c r="AC169" s="7"/>
      <c r="AD169" s="7"/>
      <c r="AE169" s="7"/>
      <c r="AF169" s="7"/>
      <c r="AG169" s="7"/>
      <c r="AH169" s="7"/>
      <c r="AI169" s="7"/>
      <c r="AJ169" s="7"/>
      <c r="AK169" s="7"/>
      <c r="AL169" s="7"/>
      <c r="AM169" s="7"/>
      <c r="AN169" s="7"/>
      <c r="AO169" s="7"/>
      <c r="AP169" s="7"/>
      <c r="AQ169" s="7"/>
      <c r="AR169" s="7"/>
      <c r="AS169" s="7"/>
      <c r="AT169" s="7"/>
      <c r="AU169" s="7"/>
      <c r="AV169" s="7"/>
      <c r="AW169" s="7"/>
      <c r="AX169" s="7"/>
      <c r="AY169" s="7"/>
      <c r="AZ169" s="7"/>
      <c r="BA169" s="53">
        <v>166</v>
      </c>
      <c r="BB169" s="54">
        <f t="shared" si="59"/>
        <v>0</v>
      </c>
      <c r="BC169" s="50">
        <f t="shared" si="60"/>
        <v>0</v>
      </c>
      <c r="BD169" s="55">
        <f t="shared" si="58"/>
        <v>0</v>
      </c>
      <c r="BE169" s="55">
        <f t="shared" si="58"/>
        <v>0</v>
      </c>
    </row>
    <row r="170" spans="1:65" ht="13.5" customHeight="1">
      <c r="A170" s="1622" t="s">
        <v>307</v>
      </c>
      <c r="B170" s="1571" t="s">
        <v>109</v>
      </c>
      <c r="C170" s="1572"/>
      <c r="D170" s="1572"/>
      <c r="E170" s="1572"/>
      <c r="F170" s="1572"/>
      <c r="G170" s="1573"/>
      <c r="H170" s="1601" t="s">
        <v>110</v>
      </c>
      <c r="I170" s="1573"/>
      <c r="J170" s="1571" t="s">
        <v>111</v>
      </c>
      <c r="K170" s="1572"/>
      <c r="L170" s="1572"/>
      <c r="M170" s="1587"/>
      <c r="N170" s="1613" t="s">
        <v>307</v>
      </c>
      <c r="O170" s="1571" t="s">
        <v>109</v>
      </c>
      <c r="P170" s="1572"/>
      <c r="Q170" s="1572"/>
      <c r="R170" s="1572"/>
      <c r="S170" s="1572"/>
      <c r="T170" s="1573"/>
      <c r="U170" s="1601" t="s">
        <v>110</v>
      </c>
      <c r="V170" s="1573"/>
      <c r="W170" s="1571" t="s">
        <v>111</v>
      </c>
      <c r="X170" s="1572"/>
      <c r="Y170" s="1572"/>
      <c r="Z170" s="1587"/>
      <c r="AA170" s="7"/>
      <c r="AB170" s="7"/>
      <c r="AC170" s="7"/>
      <c r="AD170" s="7"/>
      <c r="AE170" s="7"/>
      <c r="AF170" s="7"/>
      <c r="AG170" s="7"/>
      <c r="AH170" s="7"/>
      <c r="AI170" s="7"/>
      <c r="AJ170" s="7"/>
      <c r="AK170" s="7"/>
      <c r="AL170" s="7"/>
      <c r="AM170" s="7"/>
      <c r="AN170" s="7"/>
      <c r="AO170" s="7"/>
      <c r="AP170" s="7"/>
      <c r="AQ170" s="7"/>
      <c r="AR170" s="7"/>
      <c r="AS170" s="7"/>
      <c r="AT170" s="7"/>
      <c r="AU170" s="7"/>
      <c r="AV170" s="7"/>
      <c r="AW170" s="7"/>
      <c r="AX170" s="7"/>
      <c r="AY170" s="7"/>
      <c r="AZ170" s="7"/>
      <c r="BA170" s="53">
        <v>167</v>
      </c>
      <c r="BB170" s="54">
        <f t="shared" si="59"/>
        <v>0</v>
      </c>
      <c r="BC170" s="50">
        <f t="shared" si="60"/>
        <v>0</v>
      </c>
      <c r="BD170" s="55">
        <f t="shared" si="58"/>
        <v>0</v>
      </c>
      <c r="BE170" s="55">
        <f t="shared" si="58"/>
        <v>0</v>
      </c>
    </row>
    <row r="171" spans="1:65">
      <c r="A171" s="1622"/>
      <c r="B171" s="1610"/>
      <c r="C171" s="1611"/>
      <c r="D171" s="1611"/>
      <c r="E171" s="1611"/>
      <c r="F171" s="1611"/>
      <c r="G171" s="1612"/>
      <c r="H171" s="1574"/>
      <c r="I171" s="1576"/>
      <c r="J171" s="1574"/>
      <c r="K171" s="1575"/>
      <c r="L171" s="1575"/>
      <c r="M171" s="1588"/>
      <c r="N171" s="1614"/>
      <c r="O171" s="1610"/>
      <c r="P171" s="1611"/>
      <c r="Q171" s="1611"/>
      <c r="R171" s="1611"/>
      <c r="S171" s="1611"/>
      <c r="T171" s="1612"/>
      <c r="U171" s="1574"/>
      <c r="V171" s="1576"/>
      <c r="W171" s="1574"/>
      <c r="X171" s="1575"/>
      <c r="Y171" s="1575"/>
      <c r="Z171" s="1588"/>
      <c r="AA171" s="7"/>
      <c r="AB171" s="7"/>
      <c r="AC171" s="7"/>
      <c r="AD171" s="7"/>
      <c r="AE171" s="7"/>
      <c r="AF171" s="7"/>
      <c r="AG171" s="7"/>
      <c r="AH171" s="7"/>
      <c r="AI171" s="7"/>
      <c r="AJ171" s="7"/>
      <c r="AK171" s="7"/>
      <c r="AL171" s="7"/>
      <c r="AM171" s="7"/>
      <c r="AN171" s="7"/>
      <c r="AO171" s="7"/>
      <c r="AP171" s="7"/>
      <c r="AQ171" s="7"/>
      <c r="AR171" s="7"/>
      <c r="AS171" s="7"/>
      <c r="AT171" s="7"/>
      <c r="AU171" s="7"/>
      <c r="AV171" s="7"/>
      <c r="AW171" s="7"/>
      <c r="AX171" s="7"/>
      <c r="AY171" s="7"/>
      <c r="AZ171" s="7"/>
      <c r="BA171" s="53">
        <v>168</v>
      </c>
      <c r="BB171" s="54">
        <f t="shared" si="59"/>
        <v>0</v>
      </c>
      <c r="BC171" s="50">
        <f t="shared" si="60"/>
        <v>0</v>
      </c>
      <c r="BD171" s="55">
        <f t="shared" si="58"/>
        <v>0</v>
      </c>
      <c r="BE171" s="55">
        <f t="shared" si="58"/>
        <v>0</v>
      </c>
    </row>
    <row r="172" spans="1:65" ht="26.1" customHeight="1">
      <c r="A172" s="1622"/>
      <c r="B172" s="1610"/>
      <c r="C172" s="1611"/>
      <c r="D172" s="1611"/>
      <c r="E172" s="1611"/>
      <c r="F172" s="1611"/>
      <c r="G172" s="1612"/>
      <c r="H172" s="1596" t="s">
        <v>43</v>
      </c>
      <c r="I172" s="1597" t="s">
        <v>42</v>
      </c>
      <c r="J172" s="1591" t="s">
        <v>355</v>
      </c>
      <c r="K172" s="1577" t="s">
        <v>354</v>
      </c>
      <c r="L172" s="1578"/>
      <c r="M172" s="1589"/>
      <c r="N172" s="1614"/>
      <c r="O172" s="1610"/>
      <c r="P172" s="1611"/>
      <c r="Q172" s="1611"/>
      <c r="R172" s="1611"/>
      <c r="S172" s="1611"/>
      <c r="T172" s="1612"/>
      <c r="U172" s="1596" t="s">
        <v>43</v>
      </c>
      <c r="V172" s="1597" t="s">
        <v>42</v>
      </c>
      <c r="W172" s="1591" t="s">
        <v>355</v>
      </c>
      <c r="X172" s="1577" t="s">
        <v>354</v>
      </c>
      <c r="Y172" s="1578"/>
      <c r="Z172" s="1589"/>
      <c r="BA172" s="53">
        <v>169</v>
      </c>
      <c r="BB172" s="54">
        <f t="shared" si="59"/>
        <v>0</v>
      </c>
      <c r="BC172" s="50">
        <f t="shared" si="60"/>
        <v>0</v>
      </c>
      <c r="BD172" s="55">
        <f t="shared" si="58"/>
        <v>0</v>
      </c>
      <c r="BE172" s="55">
        <f t="shared" si="58"/>
        <v>0</v>
      </c>
    </row>
    <row r="173" spans="1:65" ht="26.1" customHeight="1">
      <c r="A173" s="1622"/>
      <c r="B173" s="1610"/>
      <c r="C173" s="1611"/>
      <c r="D173" s="1611"/>
      <c r="E173" s="1611"/>
      <c r="F173" s="1611"/>
      <c r="G173" s="1612"/>
      <c r="H173" s="1596"/>
      <c r="I173" s="1597"/>
      <c r="J173" s="1592"/>
      <c r="K173" s="1577"/>
      <c r="L173" s="1578"/>
      <c r="M173" s="1589"/>
      <c r="N173" s="1614"/>
      <c r="O173" s="1610"/>
      <c r="P173" s="1611"/>
      <c r="Q173" s="1611"/>
      <c r="R173" s="1611"/>
      <c r="S173" s="1611"/>
      <c r="T173" s="1612"/>
      <c r="U173" s="1596"/>
      <c r="V173" s="1597"/>
      <c r="W173" s="1592"/>
      <c r="X173" s="1577"/>
      <c r="Y173" s="1578"/>
      <c r="Z173" s="1589"/>
      <c r="BA173" s="53">
        <v>170</v>
      </c>
      <c r="BB173" s="54">
        <f t="shared" si="59"/>
        <v>0</v>
      </c>
      <c r="BC173" s="50">
        <f t="shared" si="60"/>
        <v>0</v>
      </c>
      <c r="BD173" s="55">
        <f t="shared" si="58"/>
        <v>0</v>
      </c>
      <c r="BE173" s="55">
        <f t="shared" si="58"/>
        <v>0</v>
      </c>
    </row>
    <row r="174" spans="1:65" ht="26.1" customHeight="1">
      <c r="A174" s="1622"/>
      <c r="B174" s="1574"/>
      <c r="C174" s="1575"/>
      <c r="D174" s="1575"/>
      <c r="E174" s="1575"/>
      <c r="F174" s="1575"/>
      <c r="G174" s="1576"/>
      <c r="H174" s="1596"/>
      <c r="I174" s="1597"/>
      <c r="J174" s="1592"/>
      <c r="K174" s="1580"/>
      <c r="L174" s="1581"/>
      <c r="M174" s="1590"/>
      <c r="N174" s="1615"/>
      <c r="O174" s="1574"/>
      <c r="P174" s="1575"/>
      <c r="Q174" s="1575"/>
      <c r="R174" s="1575"/>
      <c r="S174" s="1575"/>
      <c r="T174" s="1576"/>
      <c r="U174" s="1596"/>
      <c r="V174" s="1597"/>
      <c r="W174" s="1592"/>
      <c r="X174" s="1580"/>
      <c r="Y174" s="1581"/>
      <c r="Z174" s="1590"/>
      <c r="BA174" s="53">
        <v>171</v>
      </c>
      <c r="BB174" s="54">
        <f>COUNTA(U132:V132)</f>
        <v>0</v>
      </c>
      <c r="BC174" s="50">
        <f>COUNTA(X132)</f>
        <v>0</v>
      </c>
      <c r="BD174" s="55">
        <f t="shared" ref="BD174:BE203" si="61">BB174-COUNTA(H132)</f>
        <v>0</v>
      </c>
      <c r="BE174" s="55">
        <f t="shared" si="61"/>
        <v>0</v>
      </c>
      <c r="BF174" s="139" t="s">
        <v>386</v>
      </c>
      <c r="BG174" s="96" t="s">
        <v>387</v>
      </c>
      <c r="BH174" s="96" t="s">
        <v>388</v>
      </c>
      <c r="BI174" s="96" t="s">
        <v>385</v>
      </c>
      <c r="BJ174" s="139" t="s">
        <v>386</v>
      </c>
      <c r="BK174" s="96" t="s">
        <v>387</v>
      </c>
      <c r="BL174" s="96" t="s">
        <v>388</v>
      </c>
      <c r="BM174" s="96" t="s">
        <v>385</v>
      </c>
    </row>
    <row r="175" spans="1:65" ht="24.95" customHeight="1">
      <c r="A175" s="339">
        <v>201</v>
      </c>
      <c r="B175" s="1605"/>
      <c r="C175" s="1599"/>
      <c r="D175" s="1599"/>
      <c r="E175" s="1599"/>
      <c r="F175" s="1599"/>
      <c r="G175" s="1600"/>
      <c r="H175" s="340"/>
      <c r="I175" s="341"/>
      <c r="J175" s="342"/>
      <c r="K175" s="1583"/>
      <c r="L175" s="1584"/>
      <c r="M175" s="1585"/>
      <c r="N175" s="344">
        <v>231</v>
      </c>
      <c r="O175" s="1605"/>
      <c r="P175" s="1599"/>
      <c r="Q175" s="1599"/>
      <c r="R175" s="1599"/>
      <c r="S175" s="1599"/>
      <c r="T175" s="1600"/>
      <c r="U175" s="340"/>
      <c r="V175" s="341"/>
      <c r="W175" s="342"/>
      <c r="X175" s="1583"/>
      <c r="Y175" s="1584"/>
      <c r="Z175" s="1585"/>
      <c r="BA175" s="53">
        <v>172</v>
      </c>
      <c r="BB175" s="54">
        <f t="shared" ref="BB175:BB203" si="62">COUNTA(U133:V133)</f>
        <v>0</v>
      </c>
      <c r="BC175" s="50">
        <f t="shared" ref="BC175:BC203" si="63">COUNTA(X133)</f>
        <v>0</v>
      </c>
      <c r="BD175" s="55">
        <f t="shared" si="61"/>
        <v>0</v>
      </c>
      <c r="BE175" s="55">
        <f t="shared" si="61"/>
        <v>0</v>
      </c>
      <c r="BF175" s="139">
        <v>201</v>
      </c>
      <c r="BG175" s="6">
        <f>H175</f>
        <v>0</v>
      </c>
      <c r="BH175" s="6">
        <f>I175</f>
        <v>0</v>
      </c>
      <c r="BI175" s="6" t="b">
        <v>0</v>
      </c>
      <c r="BJ175" s="150">
        <v>231</v>
      </c>
      <c r="BK175" s="6"/>
      <c r="BL175" s="6"/>
      <c r="BM175" s="6" t="b">
        <v>0</v>
      </c>
    </row>
    <row r="176" spans="1:65" ht="24.95" customHeight="1">
      <c r="A176" s="339">
        <v>202</v>
      </c>
      <c r="B176" s="1605"/>
      <c r="C176" s="1599"/>
      <c r="D176" s="1599"/>
      <c r="E176" s="1599"/>
      <c r="F176" s="1599"/>
      <c r="G176" s="1600"/>
      <c r="H176" s="340"/>
      <c r="I176" s="341"/>
      <c r="J176" s="342"/>
      <c r="K176" s="1583"/>
      <c r="L176" s="1584"/>
      <c r="M176" s="1585"/>
      <c r="N176" s="344">
        <v>232</v>
      </c>
      <c r="O176" s="1605"/>
      <c r="P176" s="1599"/>
      <c r="Q176" s="1599"/>
      <c r="R176" s="1599"/>
      <c r="S176" s="1599"/>
      <c r="T176" s="1600"/>
      <c r="U176" s="340"/>
      <c r="V176" s="341"/>
      <c r="W176" s="342"/>
      <c r="X176" s="1583"/>
      <c r="Y176" s="1584"/>
      <c r="Z176" s="1585"/>
      <c r="BA176" s="53">
        <v>173</v>
      </c>
      <c r="BB176" s="54">
        <f t="shared" si="62"/>
        <v>0</v>
      </c>
      <c r="BC176" s="50">
        <f t="shared" si="63"/>
        <v>0</v>
      </c>
      <c r="BD176" s="55">
        <f t="shared" si="61"/>
        <v>0</v>
      </c>
      <c r="BE176" s="55">
        <f t="shared" si="61"/>
        <v>0</v>
      </c>
      <c r="BF176" s="139">
        <v>202</v>
      </c>
      <c r="BG176" s="6">
        <f t="shared" ref="BG176:BG204" si="64">H176</f>
        <v>0</v>
      </c>
      <c r="BH176" s="6">
        <f t="shared" ref="BH176:BH204" si="65">I176</f>
        <v>0</v>
      </c>
      <c r="BI176" s="6" t="b">
        <v>0</v>
      </c>
      <c r="BJ176" s="150">
        <v>232</v>
      </c>
      <c r="BK176" s="6"/>
      <c r="BL176" s="6"/>
      <c r="BM176" s="6" t="b">
        <v>0</v>
      </c>
    </row>
    <row r="177" spans="1:65" ht="24.95" customHeight="1">
      <c r="A177" s="339">
        <v>203</v>
      </c>
      <c r="B177" s="1605"/>
      <c r="C177" s="1599"/>
      <c r="D177" s="1599"/>
      <c r="E177" s="1599"/>
      <c r="F177" s="1599"/>
      <c r="G177" s="1600"/>
      <c r="H177" s="340"/>
      <c r="I177" s="341"/>
      <c r="J177" s="342"/>
      <c r="K177" s="1583"/>
      <c r="L177" s="1584"/>
      <c r="M177" s="1585"/>
      <c r="N177" s="344">
        <v>233</v>
      </c>
      <c r="O177" s="1605"/>
      <c r="P177" s="1599"/>
      <c r="Q177" s="1599"/>
      <c r="R177" s="1599"/>
      <c r="S177" s="1599"/>
      <c r="T177" s="1600"/>
      <c r="U177" s="340"/>
      <c r="V177" s="341"/>
      <c r="W177" s="342"/>
      <c r="X177" s="1583"/>
      <c r="Y177" s="1584"/>
      <c r="Z177" s="1585"/>
      <c r="BA177" s="53">
        <v>174</v>
      </c>
      <c r="BB177" s="54">
        <f t="shared" si="62"/>
        <v>0</v>
      </c>
      <c r="BC177" s="50">
        <f t="shared" si="63"/>
        <v>0</v>
      </c>
      <c r="BD177" s="55">
        <f t="shared" si="61"/>
        <v>0</v>
      </c>
      <c r="BE177" s="55">
        <f t="shared" si="61"/>
        <v>0</v>
      </c>
      <c r="BF177" s="139">
        <v>203</v>
      </c>
      <c r="BG177" s="6">
        <f t="shared" si="64"/>
        <v>0</v>
      </c>
      <c r="BH177" s="6">
        <f t="shared" si="65"/>
        <v>0</v>
      </c>
      <c r="BI177" s="6" t="b">
        <v>0</v>
      </c>
      <c r="BJ177" s="150">
        <v>233</v>
      </c>
      <c r="BK177" s="6"/>
      <c r="BL177" s="6"/>
      <c r="BM177" s="6" t="b">
        <v>0</v>
      </c>
    </row>
    <row r="178" spans="1:65" ht="24.95" customHeight="1">
      <c r="A178" s="339">
        <v>204</v>
      </c>
      <c r="B178" s="1605"/>
      <c r="C178" s="1599"/>
      <c r="D178" s="1599"/>
      <c r="E178" s="1599"/>
      <c r="F178" s="1599"/>
      <c r="G178" s="1600"/>
      <c r="H178" s="340"/>
      <c r="I178" s="341"/>
      <c r="J178" s="342"/>
      <c r="K178" s="1583"/>
      <c r="L178" s="1584"/>
      <c r="M178" s="1585"/>
      <c r="N178" s="344">
        <v>234</v>
      </c>
      <c r="O178" s="1605"/>
      <c r="P178" s="1599"/>
      <c r="Q178" s="1599"/>
      <c r="R178" s="1599"/>
      <c r="S178" s="1599"/>
      <c r="T178" s="1600"/>
      <c r="U178" s="340"/>
      <c r="V178" s="341"/>
      <c r="W178" s="342"/>
      <c r="X178" s="1583"/>
      <c r="Y178" s="1584"/>
      <c r="Z178" s="1585"/>
      <c r="BA178" s="53">
        <v>175</v>
      </c>
      <c r="BB178" s="54">
        <f t="shared" si="62"/>
        <v>0</v>
      </c>
      <c r="BC178" s="50">
        <f t="shared" si="63"/>
        <v>0</v>
      </c>
      <c r="BD178" s="55">
        <f t="shared" si="61"/>
        <v>0</v>
      </c>
      <c r="BE178" s="55">
        <f t="shared" si="61"/>
        <v>0</v>
      </c>
      <c r="BF178" s="139">
        <v>204</v>
      </c>
      <c r="BG178" s="6">
        <f t="shared" si="64"/>
        <v>0</v>
      </c>
      <c r="BH178" s="6">
        <f t="shared" si="65"/>
        <v>0</v>
      </c>
      <c r="BI178" s="6" t="b">
        <v>0</v>
      </c>
      <c r="BJ178" s="150">
        <v>234</v>
      </c>
      <c r="BK178" s="6"/>
      <c r="BL178" s="6"/>
      <c r="BM178" s="6" t="b">
        <v>0</v>
      </c>
    </row>
    <row r="179" spans="1:65" ht="24.95" customHeight="1">
      <c r="A179" s="339">
        <v>205</v>
      </c>
      <c r="B179" s="1605"/>
      <c r="C179" s="1599"/>
      <c r="D179" s="1599"/>
      <c r="E179" s="1599"/>
      <c r="F179" s="1599"/>
      <c r="G179" s="1600"/>
      <c r="H179" s="340"/>
      <c r="I179" s="341"/>
      <c r="J179" s="342"/>
      <c r="K179" s="1583"/>
      <c r="L179" s="1584"/>
      <c r="M179" s="1585"/>
      <c r="N179" s="344">
        <v>235</v>
      </c>
      <c r="O179" s="1605"/>
      <c r="P179" s="1599"/>
      <c r="Q179" s="1599"/>
      <c r="R179" s="1599"/>
      <c r="S179" s="1599"/>
      <c r="T179" s="1600"/>
      <c r="U179" s="340"/>
      <c r="V179" s="341"/>
      <c r="W179" s="342"/>
      <c r="X179" s="1583"/>
      <c r="Y179" s="1584"/>
      <c r="Z179" s="1585"/>
      <c r="BA179" s="53">
        <v>176</v>
      </c>
      <c r="BB179" s="54">
        <f t="shared" si="62"/>
        <v>0</v>
      </c>
      <c r="BC179" s="50">
        <f t="shared" si="63"/>
        <v>0</v>
      </c>
      <c r="BD179" s="55">
        <f t="shared" si="61"/>
        <v>0</v>
      </c>
      <c r="BE179" s="55">
        <f t="shared" si="61"/>
        <v>0</v>
      </c>
      <c r="BF179" s="139">
        <v>205</v>
      </c>
      <c r="BG179" s="6">
        <f t="shared" si="64"/>
        <v>0</v>
      </c>
      <c r="BH179" s="6">
        <f t="shared" si="65"/>
        <v>0</v>
      </c>
      <c r="BI179" s="6" t="b">
        <v>0</v>
      </c>
      <c r="BJ179" s="150">
        <v>235</v>
      </c>
      <c r="BK179" s="6"/>
      <c r="BL179" s="6"/>
      <c r="BM179" s="6" t="b">
        <v>0</v>
      </c>
    </row>
    <row r="180" spans="1:65" ht="24.95" customHeight="1">
      <c r="A180" s="339">
        <v>206</v>
      </c>
      <c r="B180" s="1605"/>
      <c r="C180" s="1599"/>
      <c r="D180" s="1599"/>
      <c r="E180" s="1599"/>
      <c r="F180" s="1599"/>
      <c r="G180" s="1600"/>
      <c r="H180" s="340"/>
      <c r="I180" s="341"/>
      <c r="J180" s="342"/>
      <c r="K180" s="1583"/>
      <c r="L180" s="1584"/>
      <c r="M180" s="1585"/>
      <c r="N180" s="344">
        <v>236</v>
      </c>
      <c r="O180" s="1605"/>
      <c r="P180" s="1599"/>
      <c r="Q180" s="1599"/>
      <c r="R180" s="1599"/>
      <c r="S180" s="1599"/>
      <c r="T180" s="1600"/>
      <c r="U180" s="340"/>
      <c r="V180" s="341"/>
      <c r="W180" s="342"/>
      <c r="X180" s="1583"/>
      <c r="Y180" s="1584"/>
      <c r="Z180" s="1585"/>
      <c r="BA180" s="53">
        <v>177</v>
      </c>
      <c r="BB180" s="54">
        <f t="shared" si="62"/>
        <v>0</v>
      </c>
      <c r="BC180" s="50">
        <f t="shared" si="63"/>
        <v>0</v>
      </c>
      <c r="BD180" s="55">
        <f t="shared" si="61"/>
        <v>0</v>
      </c>
      <c r="BE180" s="55">
        <f t="shared" si="61"/>
        <v>0</v>
      </c>
      <c r="BF180" s="139">
        <v>206</v>
      </c>
      <c r="BG180" s="6">
        <f t="shared" si="64"/>
        <v>0</v>
      </c>
      <c r="BH180" s="6">
        <f t="shared" si="65"/>
        <v>0</v>
      </c>
      <c r="BI180" s="6" t="b">
        <v>0</v>
      </c>
      <c r="BJ180" s="150">
        <v>236</v>
      </c>
      <c r="BK180" s="6"/>
      <c r="BL180" s="6"/>
      <c r="BM180" s="6" t="b">
        <v>0</v>
      </c>
    </row>
    <row r="181" spans="1:65" ht="24.95" customHeight="1">
      <c r="A181" s="339">
        <v>207</v>
      </c>
      <c r="B181" s="1605"/>
      <c r="C181" s="1599"/>
      <c r="D181" s="1599"/>
      <c r="E181" s="1599"/>
      <c r="F181" s="1599"/>
      <c r="G181" s="1600"/>
      <c r="H181" s="340"/>
      <c r="I181" s="341"/>
      <c r="J181" s="342"/>
      <c r="K181" s="1583"/>
      <c r="L181" s="1584"/>
      <c r="M181" s="1585"/>
      <c r="N181" s="344">
        <v>237</v>
      </c>
      <c r="O181" s="1605"/>
      <c r="P181" s="1599"/>
      <c r="Q181" s="1599"/>
      <c r="R181" s="1599"/>
      <c r="S181" s="1599"/>
      <c r="T181" s="1600"/>
      <c r="U181" s="340"/>
      <c r="V181" s="341"/>
      <c r="W181" s="342"/>
      <c r="X181" s="1583"/>
      <c r="Y181" s="1584"/>
      <c r="Z181" s="1585"/>
      <c r="BA181" s="53">
        <v>178</v>
      </c>
      <c r="BB181" s="54">
        <f t="shared" si="62"/>
        <v>0</v>
      </c>
      <c r="BC181" s="50">
        <f t="shared" si="63"/>
        <v>0</v>
      </c>
      <c r="BD181" s="55">
        <f t="shared" si="61"/>
        <v>0</v>
      </c>
      <c r="BE181" s="55">
        <f t="shared" si="61"/>
        <v>0</v>
      </c>
      <c r="BF181" s="139">
        <v>207</v>
      </c>
      <c r="BG181" s="6">
        <f t="shared" si="64"/>
        <v>0</v>
      </c>
      <c r="BH181" s="6">
        <f t="shared" si="65"/>
        <v>0</v>
      </c>
      <c r="BI181" s="6" t="b">
        <v>0</v>
      </c>
      <c r="BJ181" s="150">
        <v>237</v>
      </c>
      <c r="BK181" s="6"/>
      <c r="BL181" s="6"/>
      <c r="BM181" s="6" t="b">
        <v>0</v>
      </c>
    </row>
    <row r="182" spans="1:65" ht="24.95" customHeight="1">
      <c r="A182" s="339">
        <v>208</v>
      </c>
      <c r="B182" s="1605"/>
      <c r="C182" s="1599"/>
      <c r="D182" s="1599"/>
      <c r="E182" s="1599"/>
      <c r="F182" s="1599"/>
      <c r="G182" s="1600"/>
      <c r="H182" s="340"/>
      <c r="I182" s="341"/>
      <c r="J182" s="342"/>
      <c r="K182" s="1583"/>
      <c r="L182" s="1584"/>
      <c r="M182" s="1585"/>
      <c r="N182" s="344">
        <v>238</v>
      </c>
      <c r="O182" s="1605"/>
      <c r="P182" s="1599"/>
      <c r="Q182" s="1599"/>
      <c r="R182" s="1599"/>
      <c r="S182" s="1599"/>
      <c r="T182" s="1600"/>
      <c r="U182" s="340"/>
      <c r="V182" s="341"/>
      <c r="W182" s="342"/>
      <c r="X182" s="1583"/>
      <c r="Y182" s="1584"/>
      <c r="Z182" s="1585"/>
      <c r="BA182" s="53">
        <v>179</v>
      </c>
      <c r="BB182" s="54">
        <f t="shared" si="62"/>
        <v>0</v>
      </c>
      <c r="BC182" s="50">
        <f t="shared" si="63"/>
        <v>0</v>
      </c>
      <c r="BD182" s="55">
        <f t="shared" si="61"/>
        <v>0</v>
      </c>
      <c r="BE182" s="55">
        <f t="shared" si="61"/>
        <v>0</v>
      </c>
      <c r="BF182" s="139">
        <v>208</v>
      </c>
      <c r="BG182" s="6">
        <f t="shared" si="64"/>
        <v>0</v>
      </c>
      <c r="BH182" s="6">
        <f t="shared" si="65"/>
        <v>0</v>
      </c>
      <c r="BI182" s="6" t="b">
        <v>0</v>
      </c>
      <c r="BJ182" s="150">
        <v>238</v>
      </c>
      <c r="BK182" s="6"/>
      <c r="BL182" s="6"/>
      <c r="BM182" s="6" t="b">
        <v>0</v>
      </c>
    </row>
    <row r="183" spans="1:65" ht="24.95" customHeight="1">
      <c r="A183" s="339">
        <v>209</v>
      </c>
      <c r="B183" s="1605"/>
      <c r="C183" s="1599"/>
      <c r="D183" s="1599"/>
      <c r="E183" s="1599"/>
      <c r="F183" s="1599"/>
      <c r="G183" s="1600"/>
      <c r="H183" s="340"/>
      <c r="I183" s="341"/>
      <c r="J183" s="342"/>
      <c r="K183" s="1583"/>
      <c r="L183" s="1584"/>
      <c r="M183" s="1585"/>
      <c r="N183" s="344">
        <v>239</v>
      </c>
      <c r="O183" s="1605"/>
      <c r="P183" s="1599"/>
      <c r="Q183" s="1599"/>
      <c r="R183" s="1599"/>
      <c r="S183" s="1599"/>
      <c r="T183" s="1600"/>
      <c r="U183" s="340"/>
      <c r="V183" s="341"/>
      <c r="W183" s="342"/>
      <c r="X183" s="1583"/>
      <c r="Y183" s="1584"/>
      <c r="Z183" s="1585"/>
      <c r="BA183" s="53">
        <v>180</v>
      </c>
      <c r="BB183" s="54">
        <f t="shared" si="62"/>
        <v>0</v>
      </c>
      <c r="BC183" s="50">
        <f t="shared" si="63"/>
        <v>0</v>
      </c>
      <c r="BD183" s="55">
        <f t="shared" si="61"/>
        <v>0</v>
      </c>
      <c r="BE183" s="55">
        <f t="shared" si="61"/>
        <v>0</v>
      </c>
      <c r="BF183" s="139">
        <v>209</v>
      </c>
      <c r="BG183" s="6">
        <f t="shared" si="64"/>
        <v>0</v>
      </c>
      <c r="BH183" s="6">
        <f t="shared" si="65"/>
        <v>0</v>
      </c>
      <c r="BI183" s="6" t="b">
        <v>0</v>
      </c>
      <c r="BJ183" s="150">
        <v>239</v>
      </c>
      <c r="BK183" s="6"/>
      <c r="BL183" s="6"/>
      <c r="BM183" s="6" t="b">
        <v>0</v>
      </c>
    </row>
    <row r="184" spans="1:65" ht="24.95" customHeight="1">
      <c r="A184" s="339">
        <v>210</v>
      </c>
      <c r="B184" s="1605"/>
      <c r="C184" s="1599"/>
      <c r="D184" s="1599"/>
      <c r="E184" s="1599"/>
      <c r="F184" s="1599"/>
      <c r="G184" s="1600"/>
      <c r="H184" s="340"/>
      <c r="I184" s="341"/>
      <c r="J184" s="342"/>
      <c r="K184" s="1583"/>
      <c r="L184" s="1584"/>
      <c r="M184" s="1585"/>
      <c r="N184" s="344">
        <v>240</v>
      </c>
      <c r="O184" s="1605"/>
      <c r="P184" s="1599"/>
      <c r="Q184" s="1599"/>
      <c r="R184" s="1599"/>
      <c r="S184" s="1599"/>
      <c r="T184" s="1600"/>
      <c r="U184" s="340"/>
      <c r="V184" s="341"/>
      <c r="W184" s="342"/>
      <c r="X184" s="1583"/>
      <c r="Y184" s="1584"/>
      <c r="Z184" s="1585"/>
      <c r="BA184" s="53">
        <v>181</v>
      </c>
      <c r="BB184" s="54">
        <f t="shared" si="62"/>
        <v>0</v>
      </c>
      <c r="BC184" s="50">
        <f t="shared" si="63"/>
        <v>0</v>
      </c>
      <c r="BD184" s="55">
        <f t="shared" si="61"/>
        <v>0</v>
      </c>
      <c r="BE184" s="55">
        <f t="shared" si="61"/>
        <v>0</v>
      </c>
      <c r="BF184" s="139">
        <v>210</v>
      </c>
      <c r="BG184" s="6">
        <f t="shared" si="64"/>
        <v>0</v>
      </c>
      <c r="BH184" s="6">
        <f t="shared" si="65"/>
        <v>0</v>
      </c>
      <c r="BI184" s="6" t="b">
        <v>0</v>
      </c>
      <c r="BJ184" s="150">
        <v>240</v>
      </c>
      <c r="BK184" s="6"/>
      <c r="BL184" s="6"/>
      <c r="BM184" s="6" t="b">
        <v>0</v>
      </c>
    </row>
    <row r="185" spans="1:65" ht="24.95" customHeight="1">
      <c r="A185" s="339">
        <v>211</v>
      </c>
      <c r="B185" s="1605"/>
      <c r="C185" s="1599"/>
      <c r="D185" s="1599"/>
      <c r="E185" s="1599"/>
      <c r="F185" s="1599"/>
      <c r="G185" s="1600"/>
      <c r="H185" s="340"/>
      <c r="I185" s="341"/>
      <c r="J185" s="342"/>
      <c r="K185" s="1583"/>
      <c r="L185" s="1584"/>
      <c r="M185" s="1585"/>
      <c r="N185" s="344">
        <v>241</v>
      </c>
      <c r="O185" s="1605"/>
      <c r="P185" s="1599"/>
      <c r="Q185" s="1599"/>
      <c r="R185" s="1599"/>
      <c r="S185" s="1599"/>
      <c r="T185" s="1600"/>
      <c r="U185" s="340"/>
      <c r="V185" s="341"/>
      <c r="W185" s="342"/>
      <c r="X185" s="1583"/>
      <c r="Y185" s="1584"/>
      <c r="Z185" s="1585"/>
      <c r="BA185" s="53">
        <v>182</v>
      </c>
      <c r="BB185" s="54">
        <f t="shared" si="62"/>
        <v>0</v>
      </c>
      <c r="BC185" s="50">
        <f t="shared" si="63"/>
        <v>0</v>
      </c>
      <c r="BD185" s="55">
        <f t="shared" si="61"/>
        <v>0</v>
      </c>
      <c r="BE185" s="55">
        <f t="shared" si="61"/>
        <v>0</v>
      </c>
      <c r="BF185" s="139">
        <v>211</v>
      </c>
      <c r="BG185" s="6">
        <f t="shared" si="64"/>
        <v>0</v>
      </c>
      <c r="BH185" s="6">
        <f t="shared" si="65"/>
        <v>0</v>
      </c>
      <c r="BI185" s="6" t="b">
        <v>0</v>
      </c>
      <c r="BJ185" s="150">
        <v>241</v>
      </c>
      <c r="BK185" s="6"/>
      <c r="BL185" s="6"/>
      <c r="BM185" s="6" t="b">
        <v>0</v>
      </c>
    </row>
    <row r="186" spans="1:65" ht="24.95" customHeight="1">
      <c r="A186" s="339">
        <v>212</v>
      </c>
      <c r="B186" s="1605"/>
      <c r="C186" s="1599"/>
      <c r="D186" s="1599"/>
      <c r="E186" s="1599"/>
      <c r="F186" s="1599"/>
      <c r="G186" s="1600"/>
      <c r="H186" s="340"/>
      <c r="I186" s="341"/>
      <c r="J186" s="342"/>
      <c r="K186" s="1583"/>
      <c r="L186" s="1584"/>
      <c r="M186" s="1585"/>
      <c r="N186" s="344">
        <v>242</v>
      </c>
      <c r="O186" s="1605"/>
      <c r="P186" s="1599"/>
      <c r="Q186" s="1599"/>
      <c r="R186" s="1599"/>
      <c r="S186" s="1599"/>
      <c r="T186" s="1600"/>
      <c r="U186" s="340"/>
      <c r="V186" s="341"/>
      <c r="W186" s="342"/>
      <c r="X186" s="1583"/>
      <c r="Y186" s="1584"/>
      <c r="Z186" s="1585"/>
      <c r="BA186" s="53">
        <v>183</v>
      </c>
      <c r="BB186" s="54">
        <f t="shared" si="62"/>
        <v>0</v>
      </c>
      <c r="BC186" s="50">
        <f t="shared" si="63"/>
        <v>0</v>
      </c>
      <c r="BD186" s="55">
        <f t="shared" si="61"/>
        <v>0</v>
      </c>
      <c r="BE186" s="55">
        <f t="shared" si="61"/>
        <v>0</v>
      </c>
      <c r="BF186" s="139">
        <v>212</v>
      </c>
      <c r="BG186" s="6">
        <f t="shared" si="64"/>
        <v>0</v>
      </c>
      <c r="BH186" s="6">
        <f t="shared" si="65"/>
        <v>0</v>
      </c>
      <c r="BI186" s="6" t="b">
        <v>0</v>
      </c>
      <c r="BJ186" s="150">
        <v>242</v>
      </c>
      <c r="BK186" s="6"/>
      <c r="BL186" s="6"/>
      <c r="BM186" s="6" t="b">
        <v>0</v>
      </c>
    </row>
    <row r="187" spans="1:65" ht="24.95" customHeight="1">
      <c r="A187" s="339">
        <v>213</v>
      </c>
      <c r="B187" s="1605"/>
      <c r="C187" s="1599"/>
      <c r="D187" s="1599"/>
      <c r="E187" s="1599"/>
      <c r="F187" s="1599"/>
      <c r="G187" s="1600"/>
      <c r="H187" s="340"/>
      <c r="I187" s="341"/>
      <c r="J187" s="342"/>
      <c r="K187" s="1583"/>
      <c r="L187" s="1584"/>
      <c r="M187" s="1585"/>
      <c r="N187" s="344">
        <v>243</v>
      </c>
      <c r="O187" s="1605"/>
      <c r="P187" s="1599"/>
      <c r="Q187" s="1599"/>
      <c r="R187" s="1599"/>
      <c r="S187" s="1599"/>
      <c r="T187" s="1600"/>
      <c r="U187" s="340"/>
      <c r="V187" s="341"/>
      <c r="W187" s="342"/>
      <c r="X187" s="1583"/>
      <c r="Y187" s="1584"/>
      <c r="Z187" s="1585"/>
      <c r="BA187" s="53">
        <v>184</v>
      </c>
      <c r="BB187" s="54">
        <f t="shared" si="62"/>
        <v>0</v>
      </c>
      <c r="BC187" s="50">
        <f t="shared" si="63"/>
        <v>0</v>
      </c>
      <c r="BD187" s="55">
        <f t="shared" si="61"/>
        <v>0</v>
      </c>
      <c r="BE187" s="55">
        <f t="shared" si="61"/>
        <v>0</v>
      </c>
      <c r="BF187" s="139">
        <v>213</v>
      </c>
      <c r="BG187" s="6">
        <f t="shared" si="64"/>
        <v>0</v>
      </c>
      <c r="BH187" s="6">
        <f t="shared" si="65"/>
        <v>0</v>
      </c>
      <c r="BI187" s="6" t="b">
        <v>0</v>
      </c>
      <c r="BJ187" s="150">
        <v>243</v>
      </c>
      <c r="BK187" s="6"/>
      <c r="BL187" s="6"/>
      <c r="BM187" s="6" t="b">
        <v>0</v>
      </c>
    </row>
    <row r="188" spans="1:65" ht="24.95" customHeight="1">
      <c r="A188" s="339">
        <v>214</v>
      </c>
      <c r="B188" s="1605"/>
      <c r="C188" s="1599"/>
      <c r="D188" s="1599"/>
      <c r="E188" s="1599"/>
      <c r="F188" s="1599"/>
      <c r="G188" s="1600"/>
      <c r="H188" s="340"/>
      <c r="I188" s="341"/>
      <c r="J188" s="342"/>
      <c r="K188" s="1583"/>
      <c r="L188" s="1584"/>
      <c r="M188" s="1585"/>
      <c r="N188" s="344">
        <v>244</v>
      </c>
      <c r="O188" s="1605"/>
      <c r="P188" s="1599"/>
      <c r="Q188" s="1599"/>
      <c r="R188" s="1599"/>
      <c r="S188" s="1599"/>
      <c r="T188" s="1600"/>
      <c r="U188" s="340"/>
      <c r="V188" s="341"/>
      <c r="W188" s="342"/>
      <c r="X188" s="1583"/>
      <c r="Y188" s="1584"/>
      <c r="Z188" s="1585"/>
      <c r="BA188" s="53">
        <v>185</v>
      </c>
      <c r="BB188" s="54">
        <f t="shared" si="62"/>
        <v>0</v>
      </c>
      <c r="BC188" s="50">
        <f t="shared" si="63"/>
        <v>0</v>
      </c>
      <c r="BD188" s="55">
        <f t="shared" si="61"/>
        <v>0</v>
      </c>
      <c r="BE188" s="55">
        <f t="shared" si="61"/>
        <v>0</v>
      </c>
      <c r="BF188" s="139">
        <v>214</v>
      </c>
      <c r="BG188" s="6">
        <f t="shared" si="64"/>
        <v>0</v>
      </c>
      <c r="BH188" s="6">
        <f t="shared" si="65"/>
        <v>0</v>
      </c>
      <c r="BI188" s="6" t="b">
        <v>0</v>
      </c>
      <c r="BJ188" s="150">
        <v>244</v>
      </c>
      <c r="BK188" s="6"/>
      <c r="BL188" s="6"/>
      <c r="BM188" s="6" t="b">
        <v>0</v>
      </c>
    </row>
    <row r="189" spans="1:65" ht="24.95" customHeight="1">
      <c r="A189" s="339">
        <v>215</v>
      </c>
      <c r="B189" s="1605"/>
      <c r="C189" s="1599"/>
      <c r="D189" s="1599"/>
      <c r="E189" s="1599"/>
      <c r="F189" s="1599"/>
      <c r="G189" s="1600"/>
      <c r="H189" s="340"/>
      <c r="I189" s="341"/>
      <c r="J189" s="342"/>
      <c r="K189" s="1583"/>
      <c r="L189" s="1584"/>
      <c r="M189" s="1585"/>
      <c r="N189" s="344">
        <v>245</v>
      </c>
      <c r="O189" s="1605"/>
      <c r="P189" s="1599"/>
      <c r="Q189" s="1599"/>
      <c r="R189" s="1599"/>
      <c r="S189" s="1599"/>
      <c r="T189" s="1600"/>
      <c r="U189" s="340"/>
      <c r="V189" s="341"/>
      <c r="W189" s="342"/>
      <c r="X189" s="1583"/>
      <c r="Y189" s="1584"/>
      <c r="Z189" s="1585"/>
      <c r="BA189" s="53">
        <v>186</v>
      </c>
      <c r="BB189" s="54">
        <f t="shared" si="62"/>
        <v>0</v>
      </c>
      <c r="BC189" s="50">
        <f t="shared" si="63"/>
        <v>0</v>
      </c>
      <c r="BD189" s="55">
        <f t="shared" si="61"/>
        <v>0</v>
      </c>
      <c r="BE189" s="55">
        <f t="shared" si="61"/>
        <v>0</v>
      </c>
      <c r="BF189" s="139">
        <v>215</v>
      </c>
      <c r="BG189" s="6">
        <f t="shared" si="64"/>
        <v>0</v>
      </c>
      <c r="BH189" s="6">
        <f t="shared" si="65"/>
        <v>0</v>
      </c>
      <c r="BI189" s="6" t="b">
        <v>0</v>
      </c>
      <c r="BJ189" s="150">
        <v>245</v>
      </c>
      <c r="BK189" s="6"/>
      <c r="BL189" s="6"/>
      <c r="BM189" s="6" t="b">
        <v>0</v>
      </c>
    </row>
    <row r="190" spans="1:65" ht="24.95" customHeight="1">
      <c r="A190" s="339">
        <v>216</v>
      </c>
      <c r="B190" s="1605"/>
      <c r="C190" s="1599"/>
      <c r="D190" s="1599"/>
      <c r="E190" s="1599"/>
      <c r="F190" s="1599"/>
      <c r="G190" s="1600"/>
      <c r="H190" s="340"/>
      <c r="I190" s="341"/>
      <c r="J190" s="342"/>
      <c r="K190" s="1583"/>
      <c r="L190" s="1584"/>
      <c r="M190" s="1585"/>
      <c r="N190" s="344">
        <v>246</v>
      </c>
      <c r="O190" s="1605"/>
      <c r="P190" s="1599"/>
      <c r="Q190" s="1599"/>
      <c r="R190" s="1599"/>
      <c r="S190" s="1599"/>
      <c r="T190" s="1600"/>
      <c r="U190" s="340"/>
      <c r="V190" s="341"/>
      <c r="W190" s="342"/>
      <c r="X190" s="1583"/>
      <c r="Y190" s="1584"/>
      <c r="Z190" s="1585"/>
      <c r="BA190" s="53">
        <v>187</v>
      </c>
      <c r="BB190" s="54">
        <f t="shared" si="62"/>
        <v>0</v>
      </c>
      <c r="BC190" s="50">
        <f t="shared" si="63"/>
        <v>0</v>
      </c>
      <c r="BD190" s="55">
        <f t="shared" si="61"/>
        <v>0</v>
      </c>
      <c r="BE190" s="55">
        <f t="shared" si="61"/>
        <v>0</v>
      </c>
      <c r="BF190" s="139">
        <v>216</v>
      </c>
      <c r="BG190" s="6">
        <f t="shared" si="64"/>
        <v>0</v>
      </c>
      <c r="BH190" s="6">
        <f t="shared" si="65"/>
        <v>0</v>
      </c>
      <c r="BI190" s="6" t="b">
        <v>0</v>
      </c>
      <c r="BJ190" s="150">
        <v>246</v>
      </c>
      <c r="BK190" s="6"/>
      <c r="BL190" s="6"/>
      <c r="BM190" s="6" t="b">
        <v>0</v>
      </c>
    </row>
    <row r="191" spans="1:65" ht="24.95" customHeight="1">
      <c r="A191" s="339">
        <v>217</v>
      </c>
      <c r="B191" s="1605"/>
      <c r="C191" s="1599"/>
      <c r="D191" s="1599"/>
      <c r="E191" s="1599"/>
      <c r="F191" s="1599"/>
      <c r="G191" s="1600"/>
      <c r="H191" s="340"/>
      <c r="I191" s="341"/>
      <c r="J191" s="342"/>
      <c r="K191" s="1583"/>
      <c r="L191" s="1584"/>
      <c r="M191" s="1585"/>
      <c r="N191" s="344">
        <v>247</v>
      </c>
      <c r="O191" s="1605"/>
      <c r="P191" s="1599"/>
      <c r="Q191" s="1599"/>
      <c r="R191" s="1599"/>
      <c r="S191" s="1599"/>
      <c r="T191" s="1600"/>
      <c r="U191" s="340"/>
      <c r="V191" s="341"/>
      <c r="W191" s="342"/>
      <c r="X191" s="1583"/>
      <c r="Y191" s="1584"/>
      <c r="Z191" s="1585"/>
      <c r="BA191" s="53">
        <v>188</v>
      </c>
      <c r="BB191" s="54">
        <f t="shared" si="62"/>
        <v>0</v>
      </c>
      <c r="BC191" s="50">
        <f t="shared" si="63"/>
        <v>0</v>
      </c>
      <c r="BD191" s="55">
        <f t="shared" si="61"/>
        <v>0</v>
      </c>
      <c r="BE191" s="55">
        <f t="shared" si="61"/>
        <v>0</v>
      </c>
      <c r="BF191" s="139">
        <v>217</v>
      </c>
      <c r="BG191" s="6">
        <f t="shared" si="64"/>
        <v>0</v>
      </c>
      <c r="BH191" s="6">
        <f t="shared" si="65"/>
        <v>0</v>
      </c>
      <c r="BI191" s="6" t="b">
        <v>0</v>
      </c>
      <c r="BJ191" s="150">
        <v>247</v>
      </c>
      <c r="BK191" s="6"/>
      <c r="BL191" s="6"/>
      <c r="BM191" s="6" t="b">
        <v>0</v>
      </c>
    </row>
    <row r="192" spans="1:65" ht="24.95" customHeight="1">
      <c r="A192" s="339">
        <v>218</v>
      </c>
      <c r="B192" s="1605"/>
      <c r="C192" s="1599"/>
      <c r="D192" s="1599"/>
      <c r="E192" s="1599"/>
      <c r="F192" s="1599"/>
      <c r="G192" s="1600"/>
      <c r="H192" s="340"/>
      <c r="I192" s="341"/>
      <c r="J192" s="342"/>
      <c r="K192" s="1583"/>
      <c r="L192" s="1584"/>
      <c r="M192" s="1585"/>
      <c r="N192" s="344">
        <v>248</v>
      </c>
      <c r="O192" s="1605"/>
      <c r="P192" s="1599"/>
      <c r="Q192" s="1599"/>
      <c r="R192" s="1599"/>
      <c r="S192" s="1599"/>
      <c r="T192" s="1600"/>
      <c r="U192" s="340"/>
      <c r="V192" s="341"/>
      <c r="W192" s="342"/>
      <c r="X192" s="1583"/>
      <c r="Y192" s="1584"/>
      <c r="Z192" s="1585"/>
      <c r="BA192" s="53">
        <v>189</v>
      </c>
      <c r="BB192" s="54">
        <f t="shared" si="62"/>
        <v>0</v>
      </c>
      <c r="BC192" s="50">
        <f t="shared" si="63"/>
        <v>0</v>
      </c>
      <c r="BD192" s="55">
        <f t="shared" si="61"/>
        <v>0</v>
      </c>
      <c r="BE192" s="55">
        <f t="shared" si="61"/>
        <v>0</v>
      </c>
      <c r="BF192" s="139">
        <v>218</v>
      </c>
      <c r="BG192" s="6">
        <f t="shared" si="64"/>
        <v>0</v>
      </c>
      <c r="BH192" s="6">
        <f t="shared" si="65"/>
        <v>0</v>
      </c>
      <c r="BI192" s="6" t="b">
        <v>0</v>
      </c>
      <c r="BJ192" s="150">
        <v>248</v>
      </c>
      <c r="BK192" s="6"/>
      <c r="BL192" s="6"/>
      <c r="BM192" s="6" t="b">
        <v>0</v>
      </c>
    </row>
    <row r="193" spans="1:65" ht="24.95" customHeight="1">
      <c r="A193" s="339">
        <v>219</v>
      </c>
      <c r="B193" s="1605"/>
      <c r="C193" s="1599"/>
      <c r="D193" s="1599"/>
      <c r="E193" s="1599"/>
      <c r="F193" s="1599"/>
      <c r="G193" s="1600"/>
      <c r="H193" s="340"/>
      <c r="I193" s="341"/>
      <c r="J193" s="342"/>
      <c r="K193" s="1583"/>
      <c r="L193" s="1584"/>
      <c r="M193" s="1585"/>
      <c r="N193" s="344">
        <v>249</v>
      </c>
      <c r="O193" s="1605"/>
      <c r="P193" s="1599"/>
      <c r="Q193" s="1599"/>
      <c r="R193" s="1599"/>
      <c r="S193" s="1599"/>
      <c r="T193" s="1600"/>
      <c r="U193" s="340"/>
      <c r="V193" s="341"/>
      <c r="W193" s="342"/>
      <c r="X193" s="1583"/>
      <c r="Y193" s="1584"/>
      <c r="Z193" s="1585"/>
      <c r="BA193" s="53">
        <v>190</v>
      </c>
      <c r="BB193" s="54">
        <f t="shared" si="62"/>
        <v>0</v>
      </c>
      <c r="BC193" s="50">
        <f t="shared" si="63"/>
        <v>0</v>
      </c>
      <c r="BD193" s="55">
        <f t="shared" si="61"/>
        <v>0</v>
      </c>
      <c r="BE193" s="55">
        <f t="shared" si="61"/>
        <v>0</v>
      </c>
      <c r="BF193" s="139">
        <v>219</v>
      </c>
      <c r="BG193" s="6">
        <f t="shared" si="64"/>
        <v>0</v>
      </c>
      <c r="BH193" s="6">
        <f t="shared" si="65"/>
        <v>0</v>
      </c>
      <c r="BI193" s="6" t="b">
        <v>0</v>
      </c>
      <c r="BJ193" s="150">
        <v>249</v>
      </c>
      <c r="BK193" s="6"/>
      <c r="BL193" s="6"/>
      <c r="BM193" s="6" t="b">
        <v>0</v>
      </c>
    </row>
    <row r="194" spans="1:65" ht="24.95" customHeight="1">
      <c r="A194" s="339">
        <v>220</v>
      </c>
      <c r="B194" s="1609"/>
      <c r="C194" s="1609"/>
      <c r="D194" s="1609"/>
      <c r="E194" s="1609"/>
      <c r="F194" s="1609"/>
      <c r="G194" s="1609"/>
      <c r="H194" s="340"/>
      <c r="I194" s="341"/>
      <c r="J194" s="342"/>
      <c r="K194" s="1583"/>
      <c r="L194" s="1584"/>
      <c r="M194" s="1585"/>
      <c r="N194" s="344">
        <v>250</v>
      </c>
      <c r="O194" s="1619"/>
      <c r="P194" s="1620"/>
      <c r="Q194" s="1620"/>
      <c r="R194" s="1620"/>
      <c r="S194" s="1620"/>
      <c r="T194" s="1621"/>
      <c r="U194" s="340"/>
      <c r="V194" s="341"/>
      <c r="W194" s="342"/>
      <c r="X194" s="1583"/>
      <c r="Y194" s="1584"/>
      <c r="Z194" s="1585"/>
      <c r="BA194" s="53">
        <v>191</v>
      </c>
      <c r="BB194" s="54">
        <f t="shared" si="62"/>
        <v>0</v>
      </c>
      <c r="BC194" s="50">
        <f t="shared" si="63"/>
        <v>0</v>
      </c>
      <c r="BD194" s="55">
        <f t="shared" si="61"/>
        <v>0</v>
      </c>
      <c r="BE194" s="55">
        <f t="shared" si="61"/>
        <v>0</v>
      </c>
      <c r="BF194" s="139">
        <v>220</v>
      </c>
      <c r="BG194" s="6">
        <f t="shared" si="64"/>
        <v>0</v>
      </c>
      <c r="BH194" s="6">
        <f t="shared" si="65"/>
        <v>0</v>
      </c>
      <c r="BI194" s="6" t="b">
        <v>0</v>
      </c>
      <c r="BJ194" s="150">
        <v>250</v>
      </c>
      <c r="BK194" s="6"/>
      <c r="BL194" s="6"/>
      <c r="BM194" s="6" t="b">
        <v>0</v>
      </c>
    </row>
    <row r="195" spans="1:65" ht="24.95" customHeight="1">
      <c r="A195" s="339">
        <v>221</v>
      </c>
      <c r="B195" s="1609"/>
      <c r="C195" s="1609"/>
      <c r="D195" s="1609"/>
      <c r="E195" s="1609"/>
      <c r="F195" s="1609"/>
      <c r="G195" s="1609"/>
      <c r="H195" s="340"/>
      <c r="I195" s="341"/>
      <c r="J195" s="342"/>
      <c r="K195" s="1583"/>
      <c r="L195" s="1584"/>
      <c r="M195" s="1585"/>
      <c r="N195" s="344">
        <v>251</v>
      </c>
      <c r="O195" s="1605"/>
      <c r="P195" s="1599"/>
      <c r="Q195" s="1599"/>
      <c r="R195" s="1599"/>
      <c r="S195" s="1599"/>
      <c r="T195" s="1600"/>
      <c r="U195" s="340"/>
      <c r="V195" s="341"/>
      <c r="W195" s="342"/>
      <c r="X195" s="1583"/>
      <c r="Y195" s="1584"/>
      <c r="Z195" s="1585"/>
      <c r="BA195" s="53">
        <v>192</v>
      </c>
      <c r="BB195" s="54">
        <f t="shared" si="62"/>
        <v>0</v>
      </c>
      <c r="BC195" s="50">
        <f t="shared" si="63"/>
        <v>0</v>
      </c>
      <c r="BD195" s="55">
        <f t="shared" si="61"/>
        <v>0</v>
      </c>
      <c r="BE195" s="55">
        <f t="shared" si="61"/>
        <v>0</v>
      </c>
      <c r="BF195" s="139">
        <v>221</v>
      </c>
      <c r="BG195" s="6">
        <f t="shared" si="64"/>
        <v>0</v>
      </c>
      <c r="BH195" s="6">
        <f t="shared" si="65"/>
        <v>0</v>
      </c>
      <c r="BI195" s="6" t="b">
        <v>0</v>
      </c>
      <c r="BJ195" s="150">
        <v>251</v>
      </c>
      <c r="BK195" s="6"/>
      <c r="BL195" s="6"/>
      <c r="BM195" s="6" t="b">
        <v>0</v>
      </c>
    </row>
    <row r="196" spans="1:65" ht="24.95" customHeight="1">
      <c r="A196" s="339">
        <v>222</v>
      </c>
      <c r="B196" s="1609"/>
      <c r="C196" s="1609"/>
      <c r="D196" s="1609"/>
      <c r="E196" s="1609"/>
      <c r="F196" s="1609"/>
      <c r="G196" s="1609"/>
      <c r="H196" s="340"/>
      <c r="I196" s="341"/>
      <c r="J196" s="342"/>
      <c r="K196" s="1583"/>
      <c r="L196" s="1584"/>
      <c r="M196" s="1585"/>
      <c r="N196" s="344">
        <v>252</v>
      </c>
      <c r="O196" s="1605"/>
      <c r="P196" s="1599"/>
      <c r="Q196" s="1599"/>
      <c r="R196" s="1599"/>
      <c r="S196" s="1599"/>
      <c r="T196" s="1600"/>
      <c r="U196" s="340"/>
      <c r="V196" s="341"/>
      <c r="W196" s="342"/>
      <c r="X196" s="1583"/>
      <c r="Y196" s="1584"/>
      <c r="Z196" s="1585"/>
      <c r="BA196" s="53">
        <v>193</v>
      </c>
      <c r="BB196" s="54">
        <f t="shared" si="62"/>
        <v>0</v>
      </c>
      <c r="BC196" s="50">
        <f t="shared" si="63"/>
        <v>0</v>
      </c>
      <c r="BD196" s="55">
        <f t="shared" si="61"/>
        <v>0</v>
      </c>
      <c r="BE196" s="55">
        <f t="shared" si="61"/>
        <v>0</v>
      </c>
      <c r="BF196" s="139">
        <v>222</v>
      </c>
      <c r="BG196" s="6">
        <f t="shared" si="64"/>
        <v>0</v>
      </c>
      <c r="BH196" s="6">
        <f t="shared" si="65"/>
        <v>0</v>
      </c>
      <c r="BI196" s="6" t="b">
        <v>0</v>
      </c>
      <c r="BJ196" s="150">
        <v>252</v>
      </c>
      <c r="BK196" s="6"/>
      <c r="BL196" s="6"/>
      <c r="BM196" s="6" t="b">
        <v>0</v>
      </c>
    </row>
    <row r="197" spans="1:65" ht="24.95" customHeight="1">
      <c r="A197" s="339">
        <v>223</v>
      </c>
      <c r="B197" s="1609"/>
      <c r="C197" s="1609"/>
      <c r="D197" s="1609"/>
      <c r="E197" s="1609"/>
      <c r="F197" s="1609"/>
      <c r="G197" s="1609"/>
      <c r="H197" s="340"/>
      <c r="I197" s="341"/>
      <c r="J197" s="342"/>
      <c r="K197" s="1583"/>
      <c r="L197" s="1584"/>
      <c r="M197" s="1585"/>
      <c r="N197" s="344">
        <v>253</v>
      </c>
      <c r="O197" s="1605"/>
      <c r="P197" s="1599"/>
      <c r="Q197" s="1599"/>
      <c r="R197" s="1599"/>
      <c r="S197" s="1599"/>
      <c r="T197" s="1600"/>
      <c r="U197" s="340"/>
      <c r="V197" s="341"/>
      <c r="W197" s="342"/>
      <c r="X197" s="1583"/>
      <c r="Y197" s="1584"/>
      <c r="Z197" s="1585"/>
      <c r="BA197" s="53">
        <v>194</v>
      </c>
      <c r="BB197" s="54">
        <f t="shared" si="62"/>
        <v>0</v>
      </c>
      <c r="BC197" s="50">
        <f t="shared" si="63"/>
        <v>0</v>
      </c>
      <c r="BD197" s="55">
        <f t="shared" si="61"/>
        <v>0</v>
      </c>
      <c r="BE197" s="55">
        <f t="shared" si="61"/>
        <v>0</v>
      </c>
      <c r="BF197" s="139">
        <v>223</v>
      </c>
      <c r="BG197" s="6">
        <f t="shared" si="64"/>
        <v>0</v>
      </c>
      <c r="BH197" s="6">
        <f t="shared" si="65"/>
        <v>0</v>
      </c>
      <c r="BI197" s="6" t="b">
        <v>0</v>
      </c>
      <c r="BJ197" s="150">
        <v>253</v>
      </c>
      <c r="BK197" s="6"/>
      <c r="BL197" s="6"/>
      <c r="BM197" s="6" t="b">
        <v>0</v>
      </c>
    </row>
    <row r="198" spans="1:65" ht="24.95" customHeight="1">
      <c r="A198" s="339">
        <v>224</v>
      </c>
      <c r="B198" s="1609"/>
      <c r="C198" s="1609"/>
      <c r="D198" s="1609"/>
      <c r="E198" s="1609"/>
      <c r="F198" s="1609"/>
      <c r="G198" s="1609"/>
      <c r="H198" s="340"/>
      <c r="I198" s="341"/>
      <c r="J198" s="342"/>
      <c r="K198" s="1583"/>
      <c r="L198" s="1584"/>
      <c r="M198" s="1585"/>
      <c r="N198" s="344">
        <v>254</v>
      </c>
      <c r="O198" s="1605"/>
      <c r="P198" s="1599"/>
      <c r="Q198" s="1599"/>
      <c r="R198" s="1599"/>
      <c r="S198" s="1599"/>
      <c r="T198" s="1600"/>
      <c r="U198" s="340"/>
      <c r="V198" s="341"/>
      <c r="W198" s="342"/>
      <c r="X198" s="1583"/>
      <c r="Y198" s="1584"/>
      <c r="Z198" s="1585"/>
      <c r="BA198" s="53">
        <v>195</v>
      </c>
      <c r="BB198" s="54">
        <f t="shared" si="62"/>
        <v>0</v>
      </c>
      <c r="BC198" s="50">
        <f t="shared" si="63"/>
        <v>0</v>
      </c>
      <c r="BD198" s="55">
        <f t="shared" si="61"/>
        <v>0</v>
      </c>
      <c r="BE198" s="55">
        <f t="shared" si="61"/>
        <v>0</v>
      </c>
      <c r="BF198" s="139">
        <v>224</v>
      </c>
      <c r="BG198" s="6">
        <f t="shared" si="64"/>
        <v>0</v>
      </c>
      <c r="BH198" s="6">
        <f t="shared" si="65"/>
        <v>0</v>
      </c>
      <c r="BI198" s="6" t="b">
        <v>0</v>
      </c>
      <c r="BJ198" s="150">
        <v>254</v>
      </c>
      <c r="BK198" s="6"/>
      <c r="BL198" s="6"/>
      <c r="BM198" s="6" t="b">
        <v>0</v>
      </c>
    </row>
    <row r="199" spans="1:65" ht="24.95" customHeight="1">
      <c r="A199" s="339">
        <v>225</v>
      </c>
      <c r="B199" s="1609"/>
      <c r="C199" s="1609"/>
      <c r="D199" s="1609"/>
      <c r="E199" s="1609"/>
      <c r="F199" s="1609"/>
      <c r="G199" s="1609"/>
      <c r="H199" s="340"/>
      <c r="I199" s="341"/>
      <c r="J199" s="342"/>
      <c r="K199" s="1583"/>
      <c r="L199" s="1584"/>
      <c r="M199" s="1585"/>
      <c r="N199" s="344">
        <v>255</v>
      </c>
      <c r="O199" s="1605"/>
      <c r="P199" s="1599"/>
      <c r="Q199" s="1599"/>
      <c r="R199" s="1599"/>
      <c r="S199" s="1599"/>
      <c r="T199" s="1600"/>
      <c r="U199" s="340"/>
      <c r="V199" s="341"/>
      <c r="W199" s="342"/>
      <c r="X199" s="1583"/>
      <c r="Y199" s="1584"/>
      <c r="Z199" s="1585"/>
      <c r="BA199" s="53">
        <v>196</v>
      </c>
      <c r="BB199" s="54">
        <f t="shared" si="62"/>
        <v>0</v>
      </c>
      <c r="BC199" s="50">
        <f t="shared" si="63"/>
        <v>0</v>
      </c>
      <c r="BD199" s="55">
        <f t="shared" si="61"/>
        <v>0</v>
      </c>
      <c r="BE199" s="55">
        <f t="shared" si="61"/>
        <v>0</v>
      </c>
      <c r="BF199" s="139">
        <v>225</v>
      </c>
      <c r="BG199" s="6">
        <f t="shared" si="64"/>
        <v>0</v>
      </c>
      <c r="BH199" s="6">
        <f t="shared" si="65"/>
        <v>0</v>
      </c>
      <c r="BI199" s="6" t="b">
        <v>0</v>
      </c>
      <c r="BJ199" s="150">
        <v>255</v>
      </c>
      <c r="BK199" s="6"/>
      <c r="BL199" s="6"/>
      <c r="BM199" s="6" t="b">
        <v>0</v>
      </c>
    </row>
    <row r="200" spans="1:65" ht="24.95" customHeight="1">
      <c r="A200" s="339">
        <v>226</v>
      </c>
      <c r="B200" s="1609"/>
      <c r="C200" s="1609"/>
      <c r="D200" s="1609"/>
      <c r="E200" s="1609"/>
      <c r="F200" s="1609"/>
      <c r="G200" s="1609"/>
      <c r="H200" s="340"/>
      <c r="I200" s="341"/>
      <c r="J200" s="342"/>
      <c r="K200" s="1583"/>
      <c r="L200" s="1584"/>
      <c r="M200" s="1585"/>
      <c r="N200" s="344">
        <v>256</v>
      </c>
      <c r="O200" s="1605"/>
      <c r="P200" s="1599"/>
      <c r="Q200" s="1599"/>
      <c r="R200" s="1599"/>
      <c r="S200" s="1599"/>
      <c r="T200" s="1600"/>
      <c r="U200" s="340"/>
      <c r="V200" s="341"/>
      <c r="W200" s="342"/>
      <c r="X200" s="1583"/>
      <c r="Y200" s="1584"/>
      <c r="Z200" s="1585"/>
      <c r="BA200" s="53">
        <v>197</v>
      </c>
      <c r="BB200" s="54">
        <f t="shared" si="62"/>
        <v>0</v>
      </c>
      <c r="BC200" s="50">
        <f t="shared" si="63"/>
        <v>0</v>
      </c>
      <c r="BD200" s="55">
        <f t="shared" si="61"/>
        <v>0</v>
      </c>
      <c r="BE200" s="55">
        <f t="shared" si="61"/>
        <v>0</v>
      </c>
      <c r="BF200" s="139">
        <v>226</v>
      </c>
      <c r="BG200" s="6">
        <f t="shared" si="64"/>
        <v>0</v>
      </c>
      <c r="BH200" s="6">
        <f t="shared" si="65"/>
        <v>0</v>
      </c>
      <c r="BI200" s="6" t="b">
        <v>0</v>
      </c>
      <c r="BJ200" s="150">
        <v>256</v>
      </c>
      <c r="BK200" s="6"/>
      <c r="BL200" s="6"/>
      <c r="BM200" s="6" t="b">
        <v>0</v>
      </c>
    </row>
    <row r="201" spans="1:65" ht="24.95" customHeight="1">
      <c r="A201" s="339">
        <v>227</v>
      </c>
      <c r="B201" s="1609"/>
      <c r="C201" s="1609"/>
      <c r="D201" s="1609"/>
      <c r="E201" s="1609"/>
      <c r="F201" s="1609"/>
      <c r="G201" s="1609"/>
      <c r="H201" s="340"/>
      <c r="I201" s="341"/>
      <c r="J201" s="342"/>
      <c r="K201" s="1583"/>
      <c r="L201" s="1584"/>
      <c r="M201" s="1585"/>
      <c r="N201" s="344">
        <v>257</v>
      </c>
      <c r="O201" s="1605"/>
      <c r="P201" s="1599"/>
      <c r="Q201" s="1599"/>
      <c r="R201" s="1599"/>
      <c r="S201" s="1599"/>
      <c r="T201" s="1600"/>
      <c r="U201" s="340"/>
      <c r="V201" s="341"/>
      <c r="W201" s="342"/>
      <c r="X201" s="1583"/>
      <c r="Y201" s="1584"/>
      <c r="Z201" s="1585"/>
      <c r="BA201" s="53">
        <v>198</v>
      </c>
      <c r="BB201" s="54">
        <f t="shared" si="62"/>
        <v>0</v>
      </c>
      <c r="BC201" s="50">
        <f t="shared" si="63"/>
        <v>0</v>
      </c>
      <c r="BD201" s="55">
        <f t="shared" si="61"/>
        <v>0</v>
      </c>
      <c r="BE201" s="55">
        <f t="shared" si="61"/>
        <v>0</v>
      </c>
      <c r="BF201" s="139">
        <v>227</v>
      </c>
      <c r="BG201" s="6">
        <f t="shared" si="64"/>
        <v>0</v>
      </c>
      <c r="BH201" s="6">
        <f t="shared" si="65"/>
        <v>0</v>
      </c>
      <c r="BI201" s="6" t="b">
        <v>0</v>
      </c>
      <c r="BJ201" s="150">
        <v>257</v>
      </c>
      <c r="BK201" s="6"/>
      <c r="BL201" s="6"/>
      <c r="BM201" s="6" t="b">
        <v>0</v>
      </c>
    </row>
    <row r="202" spans="1:65" ht="24.95" customHeight="1">
      <c r="A202" s="339">
        <v>228</v>
      </c>
      <c r="B202" s="1609"/>
      <c r="C202" s="1609"/>
      <c r="D202" s="1609"/>
      <c r="E202" s="1609"/>
      <c r="F202" s="1609"/>
      <c r="G202" s="1609"/>
      <c r="H202" s="340"/>
      <c r="I202" s="341"/>
      <c r="J202" s="342"/>
      <c r="K202" s="1583"/>
      <c r="L202" s="1584"/>
      <c r="M202" s="1585"/>
      <c r="N202" s="344">
        <v>258</v>
      </c>
      <c r="O202" s="1605"/>
      <c r="P202" s="1599"/>
      <c r="Q202" s="1599"/>
      <c r="R202" s="1599"/>
      <c r="S202" s="1599"/>
      <c r="T202" s="1600"/>
      <c r="U202" s="340"/>
      <c r="V202" s="341"/>
      <c r="W202" s="342"/>
      <c r="X202" s="1583"/>
      <c r="Y202" s="1584"/>
      <c r="Z202" s="1585"/>
      <c r="BA202" s="53">
        <v>199</v>
      </c>
      <c r="BB202" s="54">
        <f t="shared" si="62"/>
        <v>0</v>
      </c>
      <c r="BC202" s="50">
        <f t="shared" si="63"/>
        <v>0</v>
      </c>
      <c r="BD202" s="55">
        <f t="shared" si="61"/>
        <v>0</v>
      </c>
      <c r="BE202" s="55">
        <f t="shared" si="61"/>
        <v>0</v>
      </c>
      <c r="BF202" s="139">
        <v>228</v>
      </c>
      <c r="BG202" s="6">
        <f t="shared" si="64"/>
        <v>0</v>
      </c>
      <c r="BH202" s="6">
        <f t="shared" si="65"/>
        <v>0</v>
      </c>
      <c r="BI202" s="6" t="b">
        <v>0</v>
      </c>
      <c r="BJ202" s="150">
        <v>258</v>
      </c>
      <c r="BK202" s="6"/>
      <c r="BL202" s="6"/>
      <c r="BM202" s="6" t="b">
        <v>0</v>
      </c>
    </row>
    <row r="203" spans="1:65" ht="24.95" customHeight="1">
      <c r="A203" s="339">
        <v>229</v>
      </c>
      <c r="B203" s="1609"/>
      <c r="C203" s="1609"/>
      <c r="D203" s="1609"/>
      <c r="E203" s="1609"/>
      <c r="F203" s="1609"/>
      <c r="G203" s="1609"/>
      <c r="H203" s="340"/>
      <c r="I203" s="341"/>
      <c r="J203" s="342"/>
      <c r="K203" s="1583"/>
      <c r="L203" s="1584"/>
      <c r="M203" s="1585"/>
      <c r="N203" s="344">
        <v>259</v>
      </c>
      <c r="O203" s="1605"/>
      <c r="P203" s="1599"/>
      <c r="Q203" s="1599"/>
      <c r="R203" s="1599"/>
      <c r="S203" s="1599"/>
      <c r="T203" s="1600"/>
      <c r="U203" s="340"/>
      <c r="V203" s="341"/>
      <c r="W203" s="342"/>
      <c r="X203" s="1583"/>
      <c r="Y203" s="1584"/>
      <c r="Z203" s="1585"/>
      <c r="BA203" s="53">
        <v>200</v>
      </c>
      <c r="BB203" s="54">
        <f t="shared" si="62"/>
        <v>0</v>
      </c>
      <c r="BC203" s="50">
        <f t="shared" si="63"/>
        <v>0</v>
      </c>
      <c r="BD203" s="55">
        <f t="shared" si="61"/>
        <v>0</v>
      </c>
      <c r="BE203" s="55">
        <f t="shared" si="61"/>
        <v>0</v>
      </c>
      <c r="BF203" s="139">
        <v>229</v>
      </c>
      <c r="BG203" s="6">
        <f t="shared" si="64"/>
        <v>0</v>
      </c>
      <c r="BH203" s="6">
        <f t="shared" si="65"/>
        <v>0</v>
      </c>
      <c r="BI203" s="6" t="b">
        <v>0</v>
      </c>
      <c r="BJ203" s="150">
        <v>259</v>
      </c>
      <c r="BK203" s="6"/>
      <c r="BL203" s="6"/>
      <c r="BM203" s="6" t="b">
        <v>0</v>
      </c>
    </row>
    <row r="204" spans="1:65" ht="24.95" customHeight="1">
      <c r="A204" s="339">
        <v>230</v>
      </c>
      <c r="B204" s="1609"/>
      <c r="C204" s="1609"/>
      <c r="D204" s="1609"/>
      <c r="E204" s="1609"/>
      <c r="F204" s="1609"/>
      <c r="G204" s="1609"/>
      <c r="H204" s="340"/>
      <c r="I204" s="341"/>
      <c r="J204" s="342"/>
      <c r="K204" s="1583"/>
      <c r="L204" s="1584"/>
      <c r="M204" s="1585"/>
      <c r="N204" s="344">
        <v>260</v>
      </c>
      <c r="O204" s="1605"/>
      <c r="P204" s="1599"/>
      <c r="Q204" s="1599"/>
      <c r="R204" s="1599"/>
      <c r="S204" s="1599"/>
      <c r="T204" s="1600"/>
      <c r="U204" s="340"/>
      <c r="V204" s="341"/>
      <c r="W204" s="342"/>
      <c r="X204" s="1583"/>
      <c r="Y204" s="1584"/>
      <c r="Z204" s="1585"/>
      <c r="BA204" s="53">
        <v>201</v>
      </c>
      <c r="BB204" s="54">
        <f>COUNTA(H175:I175)</f>
        <v>0</v>
      </c>
      <c r="BC204" s="50">
        <f>COUNTA(X175)</f>
        <v>0</v>
      </c>
      <c r="BD204" s="55">
        <f t="shared" ref="BD204:BE233" si="66">BB204-COUNTA(H175)</f>
        <v>0</v>
      </c>
      <c r="BE204" s="55">
        <f t="shared" si="66"/>
        <v>0</v>
      </c>
      <c r="BF204" s="139">
        <v>230</v>
      </c>
      <c r="BG204" s="6">
        <f t="shared" si="64"/>
        <v>0</v>
      </c>
      <c r="BH204" s="6">
        <f t="shared" si="65"/>
        <v>0</v>
      </c>
      <c r="BI204" s="6" t="b">
        <v>0</v>
      </c>
      <c r="BJ204" s="150">
        <v>260</v>
      </c>
      <c r="BK204" s="6"/>
      <c r="BL204" s="6"/>
      <c r="BM204" s="6" t="b">
        <v>0</v>
      </c>
    </row>
    <row r="205" spans="1:65" ht="24.95" customHeight="1">
      <c r="A205" s="297"/>
      <c r="B205" s="346"/>
      <c r="C205" s="346"/>
      <c r="D205" s="346"/>
      <c r="E205" s="346"/>
      <c r="F205" s="346"/>
      <c r="G205" s="346"/>
      <c r="H205" s="347"/>
      <c r="I205" s="347"/>
      <c r="J205" s="354"/>
      <c r="K205" s="354"/>
      <c r="L205" s="330"/>
      <c r="M205" s="330"/>
      <c r="N205" s="297"/>
      <c r="O205" s="346"/>
      <c r="P205" s="346"/>
      <c r="Q205" s="346"/>
      <c r="R205" s="346"/>
      <c r="S205" s="346"/>
      <c r="T205" s="346"/>
      <c r="U205" s="347"/>
      <c r="V205" s="347"/>
      <c r="W205" s="347"/>
      <c r="X205" s="347"/>
      <c r="Y205" s="348"/>
      <c r="Z205" s="348"/>
      <c r="BA205" s="53">
        <v>202</v>
      </c>
      <c r="BB205" s="54">
        <f t="shared" ref="BB205:BB233" si="67">COUNTA(H176:I176)</f>
        <v>0</v>
      </c>
      <c r="BC205" s="50">
        <f t="shared" ref="BC205:BC233" si="68">COUNTA(X176)</f>
        <v>0</v>
      </c>
      <c r="BD205" s="55">
        <f t="shared" si="66"/>
        <v>0</v>
      </c>
      <c r="BE205" s="55">
        <f t="shared" si="66"/>
        <v>0</v>
      </c>
    </row>
    <row r="206" spans="1:65" ht="23.25">
      <c r="A206" s="1185" t="s">
        <v>315</v>
      </c>
      <c r="B206" s="1185"/>
      <c r="C206" s="1185"/>
      <c r="D206" s="1185"/>
      <c r="E206" s="1185"/>
      <c r="F206" s="1185"/>
      <c r="G206" s="1185"/>
      <c r="H206" s="1185"/>
      <c r="I206" s="1185"/>
      <c r="J206" s="1185"/>
      <c r="K206" s="1185"/>
      <c r="L206" s="1185"/>
      <c r="M206" s="1185"/>
      <c r="N206" s="1185"/>
      <c r="O206" s="1185"/>
      <c r="P206" s="1185"/>
      <c r="Q206" s="1185"/>
      <c r="R206" s="1185"/>
      <c r="S206" s="1185"/>
      <c r="T206" s="1185"/>
      <c r="U206" s="1185"/>
      <c r="V206" s="1185"/>
      <c r="W206" s="1185"/>
      <c r="X206" s="1185"/>
      <c r="Y206" s="1185"/>
      <c r="Z206" s="1185"/>
      <c r="AA206" s="8"/>
      <c r="AB206" s="8"/>
      <c r="AC206" s="8"/>
      <c r="AD206" s="8"/>
      <c r="AE206" s="8"/>
      <c r="AF206" s="8"/>
      <c r="AG206" s="8"/>
      <c r="AH206" s="8"/>
      <c r="AI206" s="8"/>
      <c r="AJ206" s="8"/>
      <c r="AK206" s="8"/>
      <c r="AL206" s="8"/>
      <c r="AM206" s="8"/>
      <c r="AN206" s="8"/>
      <c r="AO206" s="8"/>
      <c r="AP206" s="8"/>
      <c r="AQ206" s="8"/>
      <c r="AR206" s="8"/>
      <c r="AS206" s="8"/>
      <c r="AT206" s="8"/>
      <c r="AU206" s="8"/>
      <c r="AV206" s="8"/>
      <c r="AW206" s="8"/>
      <c r="AX206" s="8"/>
      <c r="AY206" s="8"/>
      <c r="AZ206" s="8"/>
      <c r="BA206" s="53">
        <v>203</v>
      </c>
      <c r="BB206" s="54">
        <f t="shared" si="67"/>
        <v>0</v>
      </c>
      <c r="BC206" s="50">
        <f t="shared" si="68"/>
        <v>0</v>
      </c>
      <c r="BD206" s="55">
        <f t="shared" si="66"/>
        <v>0</v>
      </c>
      <c r="BE206" s="55">
        <f t="shared" si="66"/>
        <v>0</v>
      </c>
    </row>
    <row r="207" spans="1:65" ht="24" thickBot="1">
      <c r="A207" s="331">
        <f>COUNTIFS(K218:K247,"a",H218:H247,"&gt;0")</f>
        <v>0</v>
      </c>
      <c r="B207" s="331">
        <f>COUNTIFS(X218:X247,"a",U218:U247,"&gt;0")</f>
        <v>0</v>
      </c>
      <c r="C207" s="331">
        <f>COUNTIFS(K218:K247,"b",H218:H247,"&gt;0")</f>
        <v>0</v>
      </c>
      <c r="D207" s="331">
        <f>COUNTIFS(X218:X247,"b",U218:U247,"&gt;0")</f>
        <v>0</v>
      </c>
      <c r="E207" s="331">
        <f>COUNTIFS(K218:K247,"c",H218:H247,"&gt;0")</f>
        <v>0</v>
      </c>
      <c r="F207" s="331">
        <f>COUNTIFS(X218:X247,"c",U218:U247,"&gt;0")</f>
        <v>0</v>
      </c>
      <c r="G207" s="331">
        <f>COUNTIFS(K218:K247,"d",H218:H247,"&gt;0")</f>
        <v>0</v>
      </c>
      <c r="H207" s="331">
        <f>COUNTIFS(X218:X247,"d",U218:U247,"&gt;0")</f>
        <v>0</v>
      </c>
      <c r="I207" s="331">
        <f>COUNTIFS(K218:K247,"e",H218:H247,"&gt;0")</f>
        <v>0</v>
      </c>
      <c r="J207" s="331">
        <f>COUNTIFS(X218:X247,"e",U218:U247,"&gt;0")</f>
        <v>0</v>
      </c>
      <c r="K207" s="331">
        <f>COUNTIFS(K218:K247,"f",H218:H247,"&gt;0")</f>
        <v>0</v>
      </c>
      <c r="L207" s="331">
        <f>COUNTIFS(X218:X247,"f",U218:U247,"&gt;0")</f>
        <v>0</v>
      </c>
      <c r="M207" s="331">
        <f>COUNTIFS(K218:K247,"g",H218:H247,"&gt;0")</f>
        <v>0</v>
      </c>
      <c r="N207" s="331">
        <f>COUNTIFS(X218:X247,"g",U218:U247,"&gt;0")</f>
        <v>0</v>
      </c>
      <c r="O207" s="331">
        <f>COUNTIFS(K218:K247,"h",H218:H247,"&gt;0")</f>
        <v>0</v>
      </c>
      <c r="P207" s="331">
        <f>COUNTIFS(X218:X247,"h",U218:U247,"&gt;0")</f>
        <v>0</v>
      </c>
      <c r="Q207" s="331">
        <f>COUNTIFS(K218:K247,"i",H218:H247,"&gt;0")</f>
        <v>0</v>
      </c>
      <c r="R207" s="331">
        <f>COUNTIFS(X218:X247,"i",U218:U247,"&gt;0")</f>
        <v>0</v>
      </c>
      <c r="S207" s="332">
        <f>SUM(A207:R207)</f>
        <v>0</v>
      </c>
      <c r="T207" s="332"/>
      <c r="U207" s="332"/>
      <c r="V207" s="332"/>
      <c r="W207" s="1603" t="s">
        <v>316</v>
      </c>
      <c r="X207" s="1603"/>
      <c r="Y207" s="1603">
        <v>6</v>
      </c>
      <c r="Z207" s="1603"/>
      <c r="AA207" s="8"/>
      <c r="AB207" s="8"/>
      <c r="AC207" s="8"/>
      <c r="AD207" s="8"/>
      <c r="AE207" s="8"/>
      <c r="AF207" s="8"/>
      <c r="AG207" s="8"/>
      <c r="AH207" s="8"/>
      <c r="AI207" s="8"/>
      <c r="AJ207" s="8"/>
      <c r="AK207" s="8"/>
      <c r="AL207" s="8"/>
      <c r="AM207" s="8"/>
      <c r="AN207" s="8"/>
      <c r="AO207" s="8"/>
      <c r="AP207" s="8"/>
      <c r="AQ207" s="8"/>
      <c r="AR207" s="8"/>
      <c r="AS207" s="8"/>
      <c r="AT207" s="8"/>
      <c r="AU207" s="8"/>
      <c r="AV207" s="8"/>
      <c r="AW207" s="8"/>
      <c r="AX207" s="8"/>
      <c r="AY207" s="8"/>
      <c r="AZ207" s="8"/>
      <c r="BA207" s="53">
        <v>204</v>
      </c>
      <c r="BB207" s="54">
        <f t="shared" si="67"/>
        <v>0</v>
      </c>
      <c r="BC207" s="50">
        <f t="shared" si="68"/>
        <v>0</v>
      </c>
      <c r="BD207" s="55">
        <f t="shared" si="66"/>
        <v>0</v>
      </c>
      <c r="BE207" s="55">
        <f t="shared" si="66"/>
        <v>0</v>
      </c>
    </row>
    <row r="208" spans="1:65" ht="23.25">
      <c r="A208" s="331">
        <f>COUNTIFS(K218:K247,"a",I218:I247,"&gt;0")</f>
        <v>0</v>
      </c>
      <c r="B208" s="331">
        <f>COUNTIFS(X218:X247,"a",V218:V247,"&gt;0")</f>
        <v>0</v>
      </c>
      <c r="C208" s="331">
        <f>COUNTIFS(K218:K247,"b",I218:I247,"&gt;0")</f>
        <v>0</v>
      </c>
      <c r="D208" s="331">
        <f>COUNTIFS(X218:X247,"b",V218:V247,"&gt;0")</f>
        <v>0</v>
      </c>
      <c r="E208" s="331">
        <f>COUNTIFS(K218:K247,"c",I218:I247,"&gt;0")</f>
        <v>0</v>
      </c>
      <c r="F208" s="331">
        <f>COUNTIFS(X218:X247,"c",V218:V247,"&gt;0")</f>
        <v>0</v>
      </c>
      <c r="G208" s="331">
        <f>COUNTIFS(K218:K247,"d",I218:I247,"&gt;0")</f>
        <v>0</v>
      </c>
      <c r="H208" s="331">
        <f>COUNTIFS(X218:X247,"d",V218:V247,"&gt;0")</f>
        <v>0</v>
      </c>
      <c r="I208" s="331">
        <f>COUNTIFS(K218:K247,"e",I218:I247,"&gt;0")</f>
        <v>0</v>
      </c>
      <c r="J208" s="331">
        <f>COUNTIFS(X218:X247,"e",V218:V247,"&gt;0")</f>
        <v>0</v>
      </c>
      <c r="K208" s="331">
        <f>COUNTIFS(K218:K247,"f",I218:I247,"&gt;0")</f>
        <v>0</v>
      </c>
      <c r="L208" s="331">
        <f>COUNTIFS(X218:X247,"f",V218:V247,"&gt;0")</f>
        <v>0</v>
      </c>
      <c r="M208" s="331">
        <f>COUNTIFS(K218:K247,"g",I218:I247,"&gt;0")</f>
        <v>0</v>
      </c>
      <c r="N208" s="331">
        <f>COUNTIFS(X218:X247,"g",V218:V247,"&gt;0")</f>
        <v>0</v>
      </c>
      <c r="O208" s="331">
        <f>COUNTIFS(K218:K247,"h",I218:I247,"&gt;0")</f>
        <v>0</v>
      </c>
      <c r="P208" s="331">
        <f>COUNTIFS(X218:X247,"h",V218:V247,"&gt;0")</f>
        <v>0</v>
      </c>
      <c r="Q208" s="331">
        <f>COUNTIFS(K218:K247,"i",I218:I247,"&gt;0")</f>
        <v>0</v>
      </c>
      <c r="R208" s="331">
        <f>COUNTIFS(X218:X247,"i",V218:V247,"&gt;0")</f>
        <v>0</v>
      </c>
      <c r="S208" s="332">
        <f>SUM(A208:R208)</f>
        <v>0</v>
      </c>
      <c r="T208" s="332"/>
      <c r="U208" s="332"/>
      <c r="V208" s="332"/>
      <c r="W208" s="333"/>
      <c r="X208" s="333"/>
      <c r="Y208" s="333"/>
      <c r="Z208" s="333"/>
      <c r="AA208" s="8"/>
      <c r="AB208" s="8"/>
      <c r="AC208" s="8"/>
      <c r="AD208" s="8"/>
      <c r="AE208" s="8"/>
      <c r="AF208" s="8"/>
      <c r="AG208" s="8"/>
      <c r="AH208" s="8"/>
      <c r="AI208" s="8"/>
      <c r="AJ208" s="8"/>
      <c r="AK208" s="8"/>
      <c r="AL208" s="8"/>
      <c r="AM208" s="8"/>
      <c r="AN208" s="8"/>
      <c r="AO208" s="8"/>
      <c r="AP208" s="8"/>
      <c r="AQ208" s="8"/>
      <c r="AR208" s="8"/>
      <c r="AS208" s="8"/>
      <c r="AT208" s="8"/>
      <c r="AU208" s="8"/>
      <c r="AV208" s="8"/>
      <c r="AW208" s="8"/>
      <c r="AX208" s="8"/>
      <c r="AY208" s="8"/>
      <c r="AZ208" s="8"/>
      <c r="BA208" s="53">
        <v>205</v>
      </c>
      <c r="BB208" s="54">
        <f t="shared" si="67"/>
        <v>0</v>
      </c>
      <c r="BC208" s="50">
        <f t="shared" si="68"/>
        <v>0</v>
      </c>
      <c r="BD208" s="55">
        <f t="shared" si="66"/>
        <v>0</v>
      </c>
      <c r="BE208" s="55">
        <f t="shared" si="66"/>
        <v>0</v>
      </c>
    </row>
    <row r="209" spans="1:65" ht="36" customHeight="1">
      <c r="A209" s="1041" t="s">
        <v>71</v>
      </c>
      <c r="B209" s="1041"/>
      <c r="C209" s="1607" t="str">
        <f>C166</f>
        <v/>
      </c>
      <c r="D209" s="1607"/>
      <c r="E209" s="1607"/>
      <c r="F209" s="1607"/>
      <c r="G209" s="1607"/>
      <c r="H209" s="1607"/>
      <c r="I209" s="1607"/>
      <c r="J209" s="1607"/>
      <c r="K209" s="1607"/>
      <c r="L209" s="1607"/>
      <c r="M209" s="1607"/>
      <c r="N209" s="1607"/>
      <c r="O209" s="1607"/>
      <c r="P209" s="1607"/>
      <c r="Q209" s="1607"/>
      <c r="R209" s="1607"/>
      <c r="S209" s="1607"/>
      <c r="T209" s="1607"/>
      <c r="U209" s="326"/>
      <c r="V209" s="326"/>
      <c r="W209" s="326"/>
      <c r="X209" s="326"/>
      <c r="Y209" s="326"/>
      <c r="Z209" s="326"/>
      <c r="AA209" s="8"/>
      <c r="AB209" s="8"/>
      <c r="AC209" s="8"/>
      <c r="AD209" s="8"/>
      <c r="AE209" s="8"/>
      <c r="AF209" s="8"/>
      <c r="AG209" s="8"/>
      <c r="AH209" s="8"/>
      <c r="AI209" s="8"/>
      <c r="AJ209" s="8"/>
      <c r="AK209" s="8"/>
      <c r="AL209" s="8"/>
      <c r="AM209" s="8"/>
      <c r="AN209" s="8"/>
      <c r="AO209" s="8"/>
      <c r="AP209" s="8"/>
      <c r="AQ209" s="8"/>
      <c r="AR209" s="8"/>
      <c r="AS209" s="8"/>
      <c r="AT209" s="8"/>
      <c r="AU209" s="8"/>
      <c r="AV209" s="8"/>
      <c r="AW209" s="8"/>
      <c r="AX209" s="8"/>
      <c r="AY209" s="8"/>
      <c r="AZ209" s="8"/>
      <c r="BA209" s="53">
        <v>206</v>
      </c>
      <c r="BB209" s="54">
        <f t="shared" si="67"/>
        <v>0</v>
      </c>
      <c r="BC209" s="50">
        <f t="shared" si="68"/>
        <v>0</v>
      </c>
      <c r="BD209" s="55">
        <f t="shared" si="66"/>
        <v>0</v>
      </c>
      <c r="BE209" s="55">
        <f t="shared" si="66"/>
        <v>0</v>
      </c>
    </row>
    <row r="210" spans="1:65" ht="15" customHeight="1">
      <c r="A210" s="1036" t="s">
        <v>70</v>
      </c>
      <c r="B210" s="1036"/>
      <c r="C210" s="1624">
        <f>C167</f>
        <v>0</v>
      </c>
      <c r="D210" s="1624"/>
      <c r="E210" s="1570" t="s">
        <v>13</v>
      </c>
      <c r="F210" s="1624">
        <f>F167</f>
        <v>0</v>
      </c>
      <c r="G210" s="1570" t="s">
        <v>12</v>
      </c>
      <c r="H210" s="1606">
        <f>H167</f>
        <v>0</v>
      </c>
      <c r="I210" s="1570" t="s">
        <v>11</v>
      </c>
      <c r="J210" s="1570" t="s">
        <v>313</v>
      </c>
      <c r="K210" s="1606">
        <f>K167</f>
        <v>0</v>
      </c>
      <c r="L210" s="1570" t="s">
        <v>309</v>
      </c>
      <c r="M210" s="1570" t="s">
        <v>30</v>
      </c>
      <c r="N210" s="1606">
        <f>N167</f>
        <v>0</v>
      </c>
      <c r="O210" s="1570" t="s">
        <v>12</v>
      </c>
      <c r="P210" s="1606">
        <f>P167</f>
        <v>0</v>
      </c>
      <c r="Q210" s="1570" t="s">
        <v>11</v>
      </c>
      <c r="R210" s="1570" t="s">
        <v>313</v>
      </c>
      <c r="S210" s="1606">
        <f>S167</f>
        <v>0</v>
      </c>
      <c r="T210" s="1570" t="s">
        <v>317</v>
      </c>
      <c r="U210" s="1570"/>
      <c r="V210" s="1570"/>
      <c r="W210" s="334" t="str">
        <f>W167</f>
        <v/>
      </c>
      <c r="X210" s="297" t="s">
        <v>41</v>
      </c>
      <c r="Y210" s="334" t="str">
        <f>Y167</f>
        <v/>
      </c>
      <c r="Z210" s="297" t="s">
        <v>11</v>
      </c>
      <c r="AA210" s="7"/>
      <c r="AB210" s="7"/>
      <c r="AC210" s="7"/>
      <c r="AD210" s="7"/>
      <c r="AE210" s="7"/>
      <c r="AF210" s="7"/>
      <c r="AG210" s="7"/>
      <c r="AH210" s="7"/>
      <c r="AI210" s="7"/>
      <c r="AJ210" s="7"/>
      <c r="AK210" s="7"/>
      <c r="AL210" s="7"/>
      <c r="AM210" s="7"/>
      <c r="AN210" s="7"/>
      <c r="AO210" s="7"/>
      <c r="AP210" s="7"/>
      <c r="AQ210" s="7"/>
      <c r="AR210" s="7"/>
      <c r="AS210" s="7"/>
      <c r="AT210" s="7"/>
      <c r="AU210" s="7"/>
      <c r="AV210" s="7"/>
      <c r="AW210" s="7"/>
      <c r="AX210" s="7"/>
      <c r="AY210" s="7"/>
      <c r="AZ210" s="7"/>
      <c r="BA210" s="53">
        <v>207</v>
      </c>
      <c r="BB210" s="54">
        <f t="shared" si="67"/>
        <v>0</v>
      </c>
      <c r="BC210" s="50">
        <f t="shared" si="68"/>
        <v>0</v>
      </c>
      <c r="BD210" s="55">
        <f t="shared" si="66"/>
        <v>0</v>
      </c>
      <c r="BE210" s="55">
        <f t="shared" si="66"/>
        <v>0</v>
      </c>
    </row>
    <row r="211" spans="1:65" ht="15" customHeight="1">
      <c r="A211" s="1041"/>
      <c r="B211" s="1041"/>
      <c r="C211" s="1607"/>
      <c r="D211" s="1607"/>
      <c r="E211" s="1608"/>
      <c r="F211" s="1607"/>
      <c r="G211" s="1608"/>
      <c r="H211" s="1607"/>
      <c r="I211" s="1608"/>
      <c r="J211" s="1608"/>
      <c r="K211" s="1607"/>
      <c r="L211" s="1608"/>
      <c r="M211" s="1608"/>
      <c r="N211" s="1607"/>
      <c r="O211" s="1608"/>
      <c r="P211" s="1607"/>
      <c r="Q211" s="1608"/>
      <c r="R211" s="1608"/>
      <c r="S211" s="1607"/>
      <c r="T211" s="1608"/>
      <c r="U211" s="1608"/>
      <c r="V211" s="1608"/>
      <c r="W211" s="1608" t="s">
        <v>42</v>
      </c>
      <c r="X211" s="1608"/>
      <c r="Y211" s="355" t="str">
        <f>Y168</f>
        <v/>
      </c>
      <c r="Z211" s="329" t="s">
        <v>11</v>
      </c>
      <c r="AA211" s="7"/>
      <c r="AB211" s="7"/>
      <c r="AC211" s="7"/>
      <c r="AD211" s="7"/>
      <c r="AE211" s="7"/>
      <c r="AF211" s="7"/>
      <c r="AG211" s="7"/>
      <c r="AH211" s="7"/>
      <c r="AI211" s="7"/>
      <c r="AJ211" s="7"/>
      <c r="AK211" s="7"/>
      <c r="AL211" s="7"/>
      <c r="AM211" s="7"/>
      <c r="AN211" s="7"/>
      <c r="AO211" s="7"/>
      <c r="AP211" s="7"/>
      <c r="AQ211" s="7"/>
      <c r="AR211" s="7"/>
      <c r="AS211" s="7"/>
      <c r="AT211" s="7"/>
      <c r="AU211" s="7"/>
      <c r="AV211" s="7"/>
      <c r="AW211" s="7"/>
      <c r="AX211" s="7"/>
      <c r="AY211" s="7"/>
      <c r="AZ211" s="7"/>
      <c r="BA211" s="53">
        <v>208</v>
      </c>
      <c r="BB211" s="54">
        <f t="shared" si="67"/>
        <v>0</v>
      </c>
      <c r="BC211" s="50">
        <f t="shared" si="68"/>
        <v>0</v>
      </c>
      <c r="BD211" s="55">
        <f t="shared" si="66"/>
        <v>0</v>
      </c>
      <c r="BE211" s="55">
        <f t="shared" si="66"/>
        <v>0</v>
      </c>
    </row>
    <row r="212" spans="1:65" ht="24.95" customHeight="1">
      <c r="A212" s="1623"/>
      <c r="B212" s="1623"/>
      <c r="C212" s="1623"/>
      <c r="D212" s="1623"/>
      <c r="E212" s="1623"/>
      <c r="F212" s="1623"/>
      <c r="G212" s="1623"/>
      <c r="H212" s="1623"/>
      <c r="I212" s="1623"/>
      <c r="J212" s="1623"/>
      <c r="K212" s="1623"/>
      <c r="L212" s="1623"/>
      <c r="M212" s="1623"/>
      <c r="N212" s="1623"/>
      <c r="O212" s="1623"/>
      <c r="P212" s="1623"/>
      <c r="Q212" s="1623"/>
      <c r="R212" s="1623"/>
      <c r="S212" s="1623"/>
      <c r="T212" s="1623"/>
      <c r="U212" s="1623"/>
      <c r="V212" s="1623"/>
      <c r="W212" s="1623"/>
      <c r="X212" s="1623"/>
      <c r="Y212" s="1623"/>
      <c r="Z212" s="1623"/>
      <c r="AA212" s="7"/>
      <c r="AB212" s="7"/>
      <c r="AC212" s="7"/>
      <c r="AD212" s="7"/>
      <c r="AE212" s="7"/>
      <c r="AF212" s="7"/>
      <c r="AG212" s="7"/>
      <c r="AH212" s="7"/>
      <c r="AI212" s="7"/>
      <c r="AJ212" s="7"/>
      <c r="AK212" s="7"/>
      <c r="AL212" s="7"/>
      <c r="AM212" s="7"/>
      <c r="AN212" s="7"/>
      <c r="AO212" s="7"/>
      <c r="AP212" s="7"/>
      <c r="AQ212" s="7"/>
      <c r="AR212" s="7"/>
      <c r="AS212" s="7"/>
      <c r="AT212" s="7"/>
      <c r="AU212" s="7"/>
      <c r="AV212" s="7"/>
      <c r="AW212" s="7"/>
      <c r="AX212" s="7"/>
      <c r="AY212" s="7"/>
      <c r="AZ212" s="7"/>
      <c r="BA212" s="53">
        <v>209</v>
      </c>
      <c r="BB212" s="54">
        <f t="shared" si="67"/>
        <v>0</v>
      </c>
      <c r="BC212" s="50">
        <f t="shared" si="68"/>
        <v>0</v>
      </c>
      <c r="BD212" s="55">
        <f t="shared" si="66"/>
        <v>0</v>
      </c>
      <c r="BE212" s="55">
        <f t="shared" si="66"/>
        <v>0</v>
      </c>
    </row>
    <row r="213" spans="1:65" ht="13.5" customHeight="1">
      <c r="A213" s="1622" t="s">
        <v>307</v>
      </c>
      <c r="B213" s="1571" t="s">
        <v>109</v>
      </c>
      <c r="C213" s="1572"/>
      <c r="D213" s="1572"/>
      <c r="E213" s="1572"/>
      <c r="F213" s="1572"/>
      <c r="G213" s="1573"/>
      <c r="H213" s="1601" t="s">
        <v>110</v>
      </c>
      <c r="I213" s="1573"/>
      <c r="J213" s="1571" t="s">
        <v>111</v>
      </c>
      <c r="K213" s="1572"/>
      <c r="L213" s="1572"/>
      <c r="M213" s="1587"/>
      <c r="N213" s="1613" t="s">
        <v>318</v>
      </c>
      <c r="O213" s="1571" t="s">
        <v>109</v>
      </c>
      <c r="P213" s="1572"/>
      <c r="Q213" s="1572"/>
      <c r="R213" s="1572"/>
      <c r="S213" s="1572"/>
      <c r="T213" s="1573"/>
      <c r="U213" s="1601" t="s">
        <v>110</v>
      </c>
      <c r="V213" s="1573"/>
      <c r="W213" s="1571" t="s">
        <v>111</v>
      </c>
      <c r="X213" s="1572"/>
      <c r="Y213" s="1572"/>
      <c r="Z213" s="1587"/>
      <c r="AA213" s="7"/>
      <c r="AB213" s="7"/>
      <c r="AC213" s="7"/>
      <c r="AD213" s="7"/>
      <c r="AE213" s="7"/>
      <c r="AF213" s="7"/>
      <c r="AG213" s="7"/>
      <c r="AH213" s="7"/>
      <c r="AI213" s="7"/>
      <c r="AJ213" s="7"/>
      <c r="AK213" s="7"/>
      <c r="AL213" s="7"/>
      <c r="AM213" s="7"/>
      <c r="AN213" s="7"/>
      <c r="AO213" s="7"/>
      <c r="AP213" s="7"/>
      <c r="AQ213" s="7"/>
      <c r="AR213" s="7"/>
      <c r="AS213" s="7"/>
      <c r="AT213" s="7"/>
      <c r="AU213" s="7"/>
      <c r="AV213" s="7"/>
      <c r="AW213" s="7"/>
      <c r="AX213" s="7"/>
      <c r="AY213" s="7"/>
      <c r="AZ213" s="7"/>
      <c r="BA213" s="53">
        <v>210</v>
      </c>
      <c r="BB213" s="54">
        <f t="shared" si="67"/>
        <v>0</v>
      </c>
      <c r="BC213" s="50">
        <f t="shared" si="68"/>
        <v>0</v>
      </c>
      <c r="BD213" s="55">
        <f t="shared" si="66"/>
        <v>0</v>
      </c>
      <c r="BE213" s="55">
        <f t="shared" si="66"/>
        <v>0</v>
      </c>
    </row>
    <row r="214" spans="1:65">
      <c r="A214" s="1622"/>
      <c r="B214" s="1610"/>
      <c r="C214" s="1611"/>
      <c r="D214" s="1611"/>
      <c r="E214" s="1611"/>
      <c r="F214" s="1611"/>
      <c r="G214" s="1612"/>
      <c r="H214" s="1574"/>
      <c r="I214" s="1576"/>
      <c r="J214" s="1574"/>
      <c r="K214" s="1575"/>
      <c r="L214" s="1575"/>
      <c r="M214" s="1588"/>
      <c r="N214" s="1614"/>
      <c r="O214" s="1610"/>
      <c r="P214" s="1611"/>
      <c r="Q214" s="1611"/>
      <c r="R214" s="1611"/>
      <c r="S214" s="1611"/>
      <c r="T214" s="1612"/>
      <c r="U214" s="1574"/>
      <c r="V214" s="1576"/>
      <c r="W214" s="1574"/>
      <c r="X214" s="1575"/>
      <c r="Y214" s="1575"/>
      <c r="Z214" s="1588"/>
      <c r="AA214" s="7"/>
      <c r="AB214" s="7"/>
      <c r="AC214" s="7"/>
      <c r="AD214" s="7"/>
      <c r="AE214" s="7"/>
      <c r="AF214" s="7"/>
      <c r="AG214" s="7"/>
      <c r="AH214" s="7"/>
      <c r="AI214" s="7"/>
      <c r="AJ214" s="7"/>
      <c r="AK214" s="7"/>
      <c r="AL214" s="7"/>
      <c r="AM214" s="7"/>
      <c r="AN214" s="7"/>
      <c r="AO214" s="7"/>
      <c r="AP214" s="7"/>
      <c r="AQ214" s="7"/>
      <c r="AR214" s="7"/>
      <c r="AS214" s="7"/>
      <c r="AT214" s="7"/>
      <c r="AU214" s="7"/>
      <c r="AV214" s="7"/>
      <c r="AW214" s="7"/>
      <c r="AX214" s="7"/>
      <c r="AY214" s="7"/>
      <c r="AZ214" s="7"/>
      <c r="BA214" s="53">
        <v>211</v>
      </c>
      <c r="BB214" s="54">
        <f t="shared" si="67"/>
        <v>0</v>
      </c>
      <c r="BC214" s="50">
        <f t="shared" si="68"/>
        <v>0</v>
      </c>
      <c r="BD214" s="55">
        <f t="shared" si="66"/>
        <v>0</v>
      </c>
      <c r="BE214" s="55">
        <f t="shared" si="66"/>
        <v>0</v>
      </c>
    </row>
    <row r="215" spans="1:65" ht="26.1" customHeight="1">
      <c r="A215" s="1622"/>
      <c r="B215" s="1610"/>
      <c r="C215" s="1611"/>
      <c r="D215" s="1611"/>
      <c r="E215" s="1611"/>
      <c r="F215" s="1611"/>
      <c r="G215" s="1612"/>
      <c r="H215" s="1596" t="s">
        <v>43</v>
      </c>
      <c r="I215" s="1597" t="s">
        <v>42</v>
      </c>
      <c r="J215" s="1591" t="s">
        <v>355</v>
      </c>
      <c r="K215" s="1577" t="s">
        <v>354</v>
      </c>
      <c r="L215" s="1578"/>
      <c r="M215" s="1589"/>
      <c r="N215" s="1614"/>
      <c r="O215" s="1610"/>
      <c r="P215" s="1611"/>
      <c r="Q215" s="1611"/>
      <c r="R215" s="1611"/>
      <c r="S215" s="1611"/>
      <c r="T215" s="1612"/>
      <c r="U215" s="1596" t="s">
        <v>43</v>
      </c>
      <c r="V215" s="1597" t="s">
        <v>42</v>
      </c>
      <c r="W215" s="1591" t="s">
        <v>355</v>
      </c>
      <c r="X215" s="1577" t="s">
        <v>354</v>
      </c>
      <c r="Y215" s="1578"/>
      <c r="Z215" s="1589"/>
      <c r="BA215" s="53">
        <v>212</v>
      </c>
      <c r="BB215" s="54">
        <f t="shared" si="67"/>
        <v>0</v>
      </c>
      <c r="BC215" s="50">
        <f t="shared" si="68"/>
        <v>0</v>
      </c>
      <c r="BD215" s="55">
        <f t="shared" si="66"/>
        <v>0</v>
      </c>
      <c r="BE215" s="55">
        <f t="shared" si="66"/>
        <v>0</v>
      </c>
    </row>
    <row r="216" spans="1:65" ht="26.1" customHeight="1">
      <c r="A216" s="1622"/>
      <c r="B216" s="1610"/>
      <c r="C216" s="1611"/>
      <c r="D216" s="1611"/>
      <c r="E216" s="1611"/>
      <c r="F216" s="1611"/>
      <c r="G216" s="1612"/>
      <c r="H216" s="1596"/>
      <c r="I216" s="1597"/>
      <c r="J216" s="1592"/>
      <c r="K216" s="1577"/>
      <c r="L216" s="1578"/>
      <c r="M216" s="1589"/>
      <c r="N216" s="1614"/>
      <c r="O216" s="1610"/>
      <c r="P216" s="1611"/>
      <c r="Q216" s="1611"/>
      <c r="R216" s="1611"/>
      <c r="S216" s="1611"/>
      <c r="T216" s="1612"/>
      <c r="U216" s="1596"/>
      <c r="V216" s="1597"/>
      <c r="W216" s="1592"/>
      <c r="X216" s="1577"/>
      <c r="Y216" s="1578"/>
      <c r="Z216" s="1589"/>
      <c r="BA216" s="53">
        <v>213</v>
      </c>
      <c r="BB216" s="54">
        <f t="shared" si="67"/>
        <v>0</v>
      </c>
      <c r="BC216" s="50">
        <f t="shared" si="68"/>
        <v>0</v>
      </c>
      <c r="BD216" s="55">
        <f t="shared" si="66"/>
        <v>0</v>
      </c>
      <c r="BE216" s="55">
        <f t="shared" si="66"/>
        <v>0</v>
      </c>
    </row>
    <row r="217" spans="1:65" ht="26.1" customHeight="1">
      <c r="A217" s="1622"/>
      <c r="B217" s="1574"/>
      <c r="C217" s="1575"/>
      <c r="D217" s="1575"/>
      <c r="E217" s="1575"/>
      <c r="F217" s="1575"/>
      <c r="G217" s="1576"/>
      <c r="H217" s="1596"/>
      <c r="I217" s="1597"/>
      <c r="J217" s="1592"/>
      <c r="K217" s="1580"/>
      <c r="L217" s="1581"/>
      <c r="M217" s="1590"/>
      <c r="N217" s="1615"/>
      <c r="O217" s="1574"/>
      <c r="P217" s="1575"/>
      <c r="Q217" s="1575"/>
      <c r="R217" s="1575"/>
      <c r="S217" s="1575"/>
      <c r="T217" s="1576"/>
      <c r="U217" s="1596"/>
      <c r="V217" s="1597"/>
      <c r="W217" s="1592"/>
      <c r="X217" s="1580"/>
      <c r="Y217" s="1581"/>
      <c r="Z217" s="1590"/>
      <c r="BA217" s="53">
        <v>214</v>
      </c>
      <c r="BB217" s="54">
        <f t="shared" si="67"/>
        <v>0</v>
      </c>
      <c r="BC217" s="50">
        <f t="shared" si="68"/>
        <v>0</v>
      </c>
      <c r="BD217" s="55">
        <f t="shared" si="66"/>
        <v>0</v>
      </c>
      <c r="BE217" s="55">
        <f t="shared" si="66"/>
        <v>0</v>
      </c>
      <c r="BF217" s="139" t="s">
        <v>386</v>
      </c>
      <c r="BG217" s="96" t="s">
        <v>387</v>
      </c>
      <c r="BH217" s="96" t="s">
        <v>388</v>
      </c>
      <c r="BI217" s="96" t="s">
        <v>385</v>
      </c>
      <c r="BJ217" s="139" t="s">
        <v>386</v>
      </c>
      <c r="BK217" s="96" t="s">
        <v>387</v>
      </c>
      <c r="BL217" s="96" t="s">
        <v>388</v>
      </c>
      <c r="BM217" s="96" t="s">
        <v>385</v>
      </c>
    </row>
    <row r="218" spans="1:65" ht="24.95" customHeight="1">
      <c r="A218" s="339">
        <v>261</v>
      </c>
      <c r="B218" s="1605"/>
      <c r="C218" s="1599"/>
      <c r="D218" s="1599"/>
      <c r="E218" s="1599"/>
      <c r="F218" s="1599"/>
      <c r="G218" s="1600"/>
      <c r="H218" s="340"/>
      <c r="I218" s="341"/>
      <c r="J218" s="342"/>
      <c r="K218" s="1583"/>
      <c r="L218" s="1584"/>
      <c r="M218" s="1585"/>
      <c r="N218" s="344">
        <v>291</v>
      </c>
      <c r="O218" s="1605"/>
      <c r="P218" s="1599"/>
      <c r="Q218" s="1599"/>
      <c r="R218" s="1599"/>
      <c r="S218" s="1599"/>
      <c r="T218" s="1600"/>
      <c r="U218" s="340"/>
      <c r="V218" s="341"/>
      <c r="W218" s="342"/>
      <c r="X218" s="1583"/>
      <c r="Y218" s="1584"/>
      <c r="Z218" s="1585"/>
      <c r="BA218" s="53">
        <v>215</v>
      </c>
      <c r="BB218" s="54">
        <f t="shared" si="67"/>
        <v>0</v>
      </c>
      <c r="BC218" s="50">
        <f t="shared" si="68"/>
        <v>0</v>
      </c>
      <c r="BD218" s="55">
        <f t="shared" si="66"/>
        <v>0</v>
      </c>
      <c r="BE218" s="55">
        <f t="shared" si="66"/>
        <v>0</v>
      </c>
      <c r="BF218" s="139">
        <v>261</v>
      </c>
      <c r="BG218" s="6">
        <f>H218</f>
        <v>0</v>
      </c>
      <c r="BH218" s="6">
        <f>I218</f>
        <v>0</v>
      </c>
      <c r="BI218" s="6" t="b">
        <v>0</v>
      </c>
      <c r="BJ218" s="150">
        <v>291</v>
      </c>
      <c r="BK218" s="6">
        <f>U218</f>
        <v>0</v>
      </c>
      <c r="BL218" s="6">
        <f>V218</f>
        <v>0</v>
      </c>
      <c r="BM218" s="6" t="b">
        <v>0</v>
      </c>
    </row>
    <row r="219" spans="1:65" ht="24.95" customHeight="1">
      <c r="A219" s="339">
        <v>262</v>
      </c>
      <c r="B219" s="1605"/>
      <c r="C219" s="1599"/>
      <c r="D219" s="1599"/>
      <c r="E219" s="1599"/>
      <c r="F219" s="1599"/>
      <c r="G219" s="1600"/>
      <c r="H219" s="340"/>
      <c r="I219" s="341"/>
      <c r="J219" s="342"/>
      <c r="K219" s="1583"/>
      <c r="L219" s="1584"/>
      <c r="M219" s="1585"/>
      <c r="N219" s="344">
        <v>292</v>
      </c>
      <c r="O219" s="1605"/>
      <c r="P219" s="1599"/>
      <c r="Q219" s="1599"/>
      <c r="R219" s="1599"/>
      <c r="S219" s="1599"/>
      <c r="T219" s="1600"/>
      <c r="U219" s="340"/>
      <c r="V219" s="341"/>
      <c r="W219" s="342"/>
      <c r="X219" s="1583"/>
      <c r="Y219" s="1584"/>
      <c r="Z219" s="1585"/>
      <c r="BA219" s="53">
        <v>216</v>
      </c>
      <c r="BB219" s="54">
        <f t="shared" si="67"/>
        <v>0</v>
      </c>
      <c r="BC219" s="50">
        <f t="shared" si="68"/>
        <v>0</v>
      </c>
      <c r="BD219" s="55">
        <f t="shared" si="66"/>
        <v>0</v>
      </c>
      <c r="BE219" s="55">
        <f t="shared" si="66"/>
        <v>0</v>
      </c>
      <c r="BF219" s="139">
        <v>262</v>
      </c>
      <c r="BG219" s="6">
        <f t="shared" ref="BG219:BG247" si="69">H219</f>
        <v>0</v>
      </c>
      <c r="BH219" s="6">
        <f t="shared" ref="BH219:BH247" si="70">I219</f>
        <v>0</v>
      </c>
      <c r="BI219" s="6" t="b">
        <v>0</v>
      </c>
      <c r="BJ219" s="150">
        <v>292</v>
      </c>
      <c r="BK219" s="6">
        <f t="shared" ref="BK219:BK247" si="71">U219</f>
        <v>0</v>
      </c>
      <c r="BL219" s="6">
        <f t="shared" ref="BL219:BL247" si="72">V219</f>
        <v>0</v>
      </c>
      <c r="BM219" s="6" t="b">
        <v>0</v>
      </c>
    </row>
    <row r="220" spans="1:65" ht="24.95" customHeight="1">
      <c r="A220" s="339">
        <v>263</v>
      </c>
      <c r="B220" s="1605"/>
      <c r="C220" s="1599"/>
      <c r="D220" s="1599"/>
      <c r="E220" s="1599"/>
      <c r="F220" s="1599"/>
      <c r="G220" s="1600"/>
      <c r="H220" s="340"/>
      <c r="I220" s="341"/>
      <c r="J220" s="342"/>
      <c r="K220" s="1583"/>
      <c r="L220" s="1584"/>
      <c r="M220" s="1585"/>
      <c r="N220" s="344">
        <v>293</v>
      </c>
      <c r="O220" s="1605"/>
      <c r="P220" s="1599"/>
      <c r="Q220" s="1599"/>
      <c r="R220" s="1599"/>
      <c r="S220" s="1599"/>
      <c r="T220" s="1600"/>
      <c r="U220" s="340"/>
      <c r="V220" s="341"/>
      <c r="W220" s="342"/>
      <c r="X220" s="1583"/>
      <c r="Y220" s="1584"/>
      <c r="Z220" s="1585"/>
      <c r="BA220" s="53">
        <v>217</v>
      </c>
      <c r="BB220" s="54">
        <f t="shared" si="67"/>
        <v>0</v>
      </c>
      <c r="BC220" s="50">
        <f t="shared" si="68"/>
        <v>0</v>
      </c>
      <c r="BD220" s="55">
        <f t="shared" si="66"/>
        <v>0</v>
      </c>
      <c r="BE220" s="55">
        <f t="shared" si="66"/>
        <v>0</v>
      </c>
      <c r="BF220" s="139">
        <v>263</v>
      </c>
      <c r="BG220" s="6">
        <f t="shared" si="69"/>
        <v>0</v>
      </c>
      <c r="BH220" s="6">
        <f t="shared" si="70"/>
        <v>0</v>
      </c>
      <c r="BI220" s="6" t="b">
        <v>0</v>
      </c>
      <c r="BJ220" s="150">
        <v>293</v>
      </c>
      <c r="BK220" s="6">
        <f t="shared" si="71"/>
        <v>0</v>
      </c>
      <c r="BL220" s="6">
        <f t="shared" si="72"/>
        <v>0</v>
      </c>
      <c r="BM220" s="6" t="b">
        <v>0</v>
      </c>
    </row>
    <row r="221" spans="1:65" ht="24.95" customHeight="1">
      <c r="A221" s="339">
        <v>264</v>
      </c>
      <c r="B221" s="1605"/>
      <c r="C221" s="1599"/>
      <c r="D221" s="1599"/>
      <c r="E221" s="1599"/>
      <c r="F221" s="1599"/>
      <c r="G221" s="1600"/>
      <c r="H221" s="340"/>
      <c r="I221" s="341"/>
      <c r="J221" s="342"/>
      <c r="K221" s="1583"/>
      <c r="L221" s="1584"/>
      <c r="M221" s="1585"/>
      <c r="N221" s="344">
        <v>294</v>
      </c>
      <c r="O221" s="1605"/>
      <c r="P221" s="1599"/>
      <c r="Q221" s="1599"/>
      <c r="R221" s="1599"/>
      <c r="S221" s="1599"/>
      <c r="T221" s="1600"/>
      <c r="U221" s="340"/>
      <c r="V221" s="341"/>
      <c r="W221" s="342"/>
      <c r="X221" s="1583"/>
      <c r="Y221" s="1584"/>
      <c r="Z221" s="1585"/>
      <c r="BA221" s="53">
        <v>218</v>
      </c>
      <c r="BB221" s="54">
        <f t="shared" si="67"/>
        <v>0</v>
      </c>
      <c r="BC221" s="50">
        <f t="shared" si="68"/>
        <v>0</v>
      </c>
      <c r="BD221" s="55">
        <f t="shared" si="66"/>
        <v>0</v>
      </c>
      <c r="BE221" s="55">
        <f t="shared" si="66"/>
        <v>0</v>
      </c>
      <c r="BF221" s="139">
        <v>264</v>
      </c>
      <c r="BG221" s="6">
        <f t="shared" si="69"/>
        <v>0</v>
      </c>
      <c r="BH221" s="6">
        <f t="shared" si="70"/>
        <v>0</v>
      </c>
      <c r="BI221" s="6" t="b">
        <v>0</v>
      </c>
      <c r="BJ221" s="150">
        <v>294</v>
      </c>
      <c r="BK221" s="6">
        <f t="shared" si="71"/>
        <v>0</v>
      </c>
      <c r="BL221" s="6">
        <f t="shared" si="72"/>
        <v>0</v>
      </c>
      <c r="BM221" s="6" t="b">
        <v>0</v>
      </c>
    </row>
    <row r="222" spans="1:65" ht="24.95" customHeight="1">
      <c r="A222" s="339">
        <v>265</v>
      </c>
      <c r="B222" s="1605"/>
      <c r="C222" s="1599"/>
      <c r="D222" s="1599"/>
      <c r="E222" s="1599"/>
      <c r="F222" s="1599"/>
      <c r="G222" s="1600"/>
      <c r="H222" s="340"/>
      <c r="I222" s="341"/>
      <c r="J222" s="342"/>
      <c r="K222" s="1583"/>
      <c r="L222" s="1584"/>
      <c r="M222" s="1585"/>
      <c r="N222" s="344">
        <v>295</v>
      </c>
      <c r="O222" s="1605"/>
      <c r="P222" s="1599"/>
      <c r="Q222" s="1599"/>
      <c r="R222" s="1599"/>
      <c r="S222" s="1599"/>
      <c r="T222" s="1600"/>
      <c r="U222" s="340"/>
      <c r="V222" s="341"/>
      <c r="W222" s="342"/>
      <c r="X222" s="1583"/>
      <c r="Y222" s="1584"/>
      <c r="Z222" s="1585"/>
      <c r="BA222" s="53">
        <v>219</v>
      </c>
      <c r="BB222" s="54">
        <f t="shared" si="67"/>
        <v>0</v>
      </c>
      <c r="BC222" s="50">
        <f t="shared" si="68"/>
        <v>0</v>
      </c>
      <c r="BD222" s="55">
        <f t="shared" si="66"/>
        <v>0</v>
      </c>
      <c r="BE222" s="55">
        <f t="shared" si="66"/>
        <v>0</v>
      </c>
      <c r="BF222" s="139">
        <v>265</v>
      </c>
      <c r="BG222" s="6">
        <f t="shared" si="69"/>
        <v>0</v>
      </c>
      <c r="BH222" s="6">
        <f t="shared" si="70"/>
        <v>0</v>
      </c>
      <c r="BI222" s="6" t="b">
        <v>0</v>
      </c>
      <c r="BJ222" s="150">
        <v>295</v>
      </c>
      <c r="BK222" s="6">
        <f t="shared" si="71"/>
        <v>0</v>
      </c>
      <c r="BL222" s="6">
        <f t="shared" si="72"/>
        <v>0</v>
      </c>
      <c r="BM222" s="6" t="b">
        <v>0</v>
      </c>
    </row>
    <row r="223" spans="1:65" ht="24.95" customHeight="1">
      <c r="A223" s="339">
        <v>266</v>
      </c>
      <c r="B223" s="1605"/>
      <c r="C223" s="1599"/>
      <c r="D223" s="1599"/>
      <c r="E223" s="1599"/>
      <c r="F223" s="1599"/>
      <c r="G223" s="1600"/>
      <c r="H223" s="340"/>
      <c r="I223" s="341"/>
      <c r="J223" s="342"/>
      <c r="K223" s="1583"/>
      <c r="L223" s="1584"/>
      <c r="M223" s="1585"/>
      <c r="N223" s="344">
        <v>296</v>
      </c>
      <c r="O223" s="1605"/>
      <c r="P223" s="1599"/>
      <c r="Q223" s="1599"/>
      <c r="R223" s="1599"/>
      <c r="S223" s="1599"/>
      <c r="T223" s="1600"/>
      <c r="U223" s="340"/>
      <c r="V223" s="341"/>
      <c r="W223" s="342"/>
      <c r="X223" s="1583"/>
      <c r="Y223" s="1584"/>
      <c r="Z223" s="1585"/>
      <c r="BA223" s="53">
        <v>220</v>
      </c>
      <c r="BB223" s="54">
        <f t="shared" si="67"/>
        <v>0</v>
      </c>
      <c r="BC223" s="50">
        <f t="shared" si="68"/>
        <v>0</v>
      </c>
      <c r="BD223" s="55">
        <f t="shared" si="66"/>
        <v>0</v>
      </c>
      <c r="BE223" s="55">
        <f t="shared" si="66"/>
        <v>0</v>
      </c>
      <c r="BF223" s="139">
        <v>266</v>
      </c>
      <c r="BG223" s="6">
        <f t="shared" si="69"/>
        <v>0</v>
      </c>
      <c r="BH223" s="6">
        <f t="shared" si="70"/>
        <v>0</v>
      </c>
      <c r="BI223" s="6" t="b">
        <v>0</v>
      </c>
      <c r="BJ223" s="150">
        <v>296</v>
      </c>
      <c r="BK223" s="6">
        <f t="shared" si="71"/>
        <v>0</v>
      </c>
      <c r="BL223" s="6">
        <f t="shared" si="72"/>
        <v>0</v>
      </c>
      <c r="BM223" s="6" t="b">
        <v>0</v>
      </c>
    </row>
    <row r="224" spans="1:65" ht="24.95" customHeight="1">
      <c r="A224" s="339">
        <v>267</v>
      </c>
      <c r="B224" s="1605"/>
      <c r="C224" s="1599"/>
      <c r="D224" s="1599"/>
      <c r="E224" s="1599"/>
      <c r="F224" s="1599"/>
      <c r="G224" s="1600"/>
      <c r="H224" s="340"/>
      <c r="I224" s="341"/>
      <c r="J224" s="342"/>
      <c r="K224" s="1583"/>
      <c r="L224" s="1584"/>
      <c r="M224" s="1585"/>
      <c r="N224" s="344">
        <v>297</v>
      </c>
      <c r="O224" s="1605"/>
      <c r="P224" s="1599"/>
      <c r="Q224" s="1599"/>
      <c r="R224" s="1599"/>
      <c r="S224" s="1599"/>
      <c r="T224" s="1600"/>
      <c r="U224" s="340"/>
      <c r="V224" s="341"/>
      <c r="W224" s="342"/>
      <c r="X224" s="1583"/>
      <c r="Y224" s="1584"/>
      <c r="Z224" s="1585"/>
      <c r="BA224" s="53">
        <v>221</v>
      </c>
      <c r="BB224" s="54">
        <f t="shared" si="67"/>
        <v>0</v>
      </c>
      <c r="BC224" s="50">
        <f t="shared" si="68"/>
        <v>0</v>
      </c>
      <c r="BD224" s="55">
        <f t="shared" si="66"/>
        <v>0</v>
      </c>
      <c r="BE224" s="55">
        <f t="shared" si="66"/>
        <v>0</v>
      </c>
      <c r="BF224" s="139">
        <v>267</v>
      </c>
      <c r="BG224" s="6">
        <f t="shared" si="69"/>
        <v>0</v>
      </c>
      <c r="BH224" s="6">
        <f t="shared" si="70"/>
        <v>0</v>
      </c>
      <c r="BI224" s="6" t="b">
        <v>0</v>
      </c>
      <c r="BJ224" s="150">
        <v>297</v>
      </c>
      <c r="BK224" s="6">
        <f t="shared" si="71"/>
        <v>0</v>
      </c>
      <c r="BL224" s="6">
        <f t="shared" si="72"/>
        <v>0</v>
      </c>
      <c r="BM224" s="6" t="b">
        <v>0</v>
      </c>
    </row>
    <row r="225" spans="1:65" ht="24.95" customHeight="1">
      <c r="A225" s="339">
        <v>268</v>
      </c>
      <c r="B225" s="1605"/>
      <c r="C225" s="1599"/>
      <c r="D225" s="1599"/>
      <c r="E225" s="1599"/>
      <c r="F225" s="1599"/>
      <c r="G225" s="1600"/>
      <c r="H225" s="340"/>
      <c r="I225" s="341"/>
      <c r="J225" s="342"/>
      <c r="K225" s="1583"/>
      <c r="L225" s="1584"/>
      <c r="M225" s="1585"/>
      <c r="N225" s="344">
        <v>298</v>
      </c>
      <c r="O225" s="1605"/>
      <c r="P225" s="1599"/>
      <c r="Q225" s="1599"/>
      <c r="R225" s="1599"/>
      <c r="S225" s="1599"/>
      <c r="T225" s="1600"/>
      <c r="U225" s="340"/>
      <c r="V225" s="341"/>
      <c r="W225" s="342"/>
      <c r="X225" s="1583"/>
      <c r="Y225" s="1584"/>
      <c r="Z225" s="1585"/>
      <c r="BA225" s="53">
        <v>222</v>
      </c>
      <c r="BB225" s="54">
        <f t="shared" si="67"/>
        <v>0</v>
      </c>
      <c r="BC225" s="50">
        <f t="shared" si="68"/>
        <v>0</v>
      </c>
      <c r="BD225" s="55">
        <f t="shared" si="66"/>
        <v>0</v>
      </c>
      <c r="BE225" s="55">
        <f t="shared" si="66"/>
        <v>0</v>
      </c>
      <c r="BF225" s="139">
        <v>268</v>
      </c>
      <c r="BG225" s="6">
        <f t="shared" si="69"/>
        <v>0</v>
      </c>
      <c r="BH225" s="6">
        <f t="shared" si="70"/>
        <v>0</v>
      </c>
      <c r="BI225" s="6" t="b">
        <v>0</v>
      </c>
      <c r="BJ225" s="150">
        <v>298</v>
      </c>
      <c r="BK225" s="6">
        <f t="shared" si="71"/>
        <v>0</v>
      </c>
      <c r="BL225" s="6">
        <f t="shared" si="72"/>
        <v>0</v>
      </c>
      <c r="BM225" s="6" t="b">
        <v>0</v>
      </c>
    </row>
    <row r="226" spans="1:65" ht="24.95" customHeight="1">
      <c r="A226" s="339">
        <v>269</v>
      </c>
      <c r="B226" s="1605"/>
      <c r="C226" s="1599"/>
      <c r="D226" s="1599"/>
      <c r="E226" s="1599"/>
      <c r="F226" s="1599"/>
      <c r="G226" s="1600"/>
      <c r="H226" s="340"/>
      <c r="I226" s="341"/>
      <c r="J226" s="342"/>
      <c r="K226" s="1583"/>
      <c r="L226" s="1584"/>
      <c r="M226" s="1585"/>
      <c r="N226" s="344">
        <v>299</v>
      </c>
      <c r="O226" s="1605"/>
      <c r="P226" s="1599"/>
      <c r="Q226" s="1599"/>
      <c r="R226" s="1599"/>
      <c r="S226" s="1599"/>
      <c r="T226" s="1600"/>
      <c r="U226" s="340"/>
      <c r="V226" s="341"/>
      <c r="W226" s="342"/>
      <c r="X226" s="1583"/>
      <c r="Y226" s="1584"/>
      <c r="Z226" s="1585"/>
      <c r="BA226" s="53">
        <v>223</v>
      </c>
      <c r="BB226" s="54">
        <f t="shared" si="67"/>
        <v>0</v>
      </c>
      <c r="BC226" s="50">
        <f t="shared" si="68"/>
        <v>0</v>
      </c>
      <c r="BD226" s="55">
        <f t="shared" si="66"/>
        <v>0</v>
      </c>
      <c r="BE226" s="55">
        <f t="shared" si="66"/>
        <v>0</v>
      </c>
      <c r="BF226" s="139">
        <v>269</v>
      </c>
      <c r="BG226" s="6">
        <f t="shared" si="69"/>
        <v>0</v>
      </c>
      <c r="BH226" s="6">
        <f t="shared" si="70"/>
        <v>0</v>
      </c>
      <c r="BI226" s="6" t="b">
        <v>0</v>
      </c>
      <c r="BJ226" s="150">
        <v>299</v>
      </c>
      <c r="BK226" s="6">
        <f t="shared" si="71"/>
        <v>0</v>
      </c>
      <c r="BL226" s="6">
        <f t="shared" si="72"/>
        <v>0</v>
      </c>
      <c r="BM226" s="6" t="b">
        <v>0</v>
      </c>
    </row>
    <row r="227" spans="1:65" ht="24.95" customHeight="1">
      <c r="A227" s="339">
        <v>270</v>
      </c>
      <c r="B227" s="1605"/>
      <c r="C227" s="1599"/>
      <c r="D227" s="1599"/>
      <c r="E227" s="1599"/>
      <c r="F227" s="1599"/>
      <c r="G227" s="1600"/>
      <c r="H227" s="340"/>
      <c r="I227" s="341"/>
      <c r="J227" s="342"/>
      <c r="K227" s="1583"/>
      <c r="L227" s="1584"/>
      <c r="M227" s="1585"/>
      <c r="N227" s="344">
        <v>300</v>
      </c>
      <c r="O227" s="1605"/>
      <c r="P227" s="1599"/>
      <c r="Q227" s="1599"/>
      <c r="R227" s="1599"/>
      <c r="S227" s="1599"/>
      <c r="T227" s="1600"/>
      <c r="U227" s="340"/>
      <c r="V227" s="341"/>
      <c r="W227" s="342"/>
      <c r="X227" s="1583"/>
      <c r="Y227" s="1584"/>
      <c r="Z227" s="1585"/>
      <c r="BA227" s="53">
        <v>224</v>
      </c>
      <c r="BB227" s="54">
        <f t="shared" si="67"/>
        <v>0</v>
      </c>
      <c r="BC227" s="50">
        <f t="shared" si="68"/>
        <v>0</v>
      </c>
      <c r="BD227" s="55">
        <f t="shared" si="66"/>
        <v>0</v>
      </c>
      <c r="BE227" s="55">
        <f t="shared" si="66"/>
        <v>0</v>
      </c>
      <c r="BF227" s="139">
        <v>270</v>
      </c>
      <c r="BG227" s="6">
        <f t="shared" si="69"/>
        <v>0</v>
      </c>
      <c r="BH227" s="6">
        <f t="shared" si="70"/>
        <v>0</v>
      </c>
      <c r="BI227" s="6" t="b">
        <v>0</v>
      </c>
      <c r="BJ227" s="150">
        <v>300</v>
      </c>
      <c r="BK227" s="6">
        <f t="shared" si="71"/>
        <v>0</v>
      </c>
      <c r="BL227" s="6">
        <f t="shared" si="72"/>
        <v>0</v>
      </c>
      <c r="BM227" s="6" t="b">
        <v>0</v>
      </c>
    </row>
    <row r="228" spans="1:65" ht="24.95" customHeight="1">
      <c r="A228" s="339">
        <v>271</v>
      </c>
      <c r="B228" s="1605"/>
      <c r="C228" s="1599"/>
      <c r="D228" s="1599"/>
      <c r="E228" s="1599"/>
      <c r="F228" s="1599"/>
      <c r="G228" s="1600"/>
      <c r="H228" s="340"/>
      <c r="I228" s="341"/>
      <c r="J228" s="342"/>
      <c r="K228" s="1583"/>
      <c r="L228" s="1584"/>
      <c r="M228" s="1585"/>
      <c r="N228" s="344">
        <v>301</v>
      </c>
      <c r="O228" s="1605"/>
      <c r="P228" s="1599"/>
      <c r="Q228" s="1599"/>
      <c r="R228" s="1599"/>
      <c r="S228" s="1599"/>
      <c r="T228" s="1600"/>
      <c r="U228" s="340"/>
      <c r="V228" s="341"/>
      <c r="W228" s="342"/>
      <c r="X228" s="1583"/>
      <c r="Y228" s="1584"/>
      <c r="Z228" s="1585"/>
      <c r="BA228" s="53">
        <v>225</v>
      </c>
      <c r="BB228" s="54">
        <f t="shared" si="67"/>
        <v>0</v>
      </c>
      <c r="BC228" s="50">
        <f t="shared" si="68"/>
        <v>0</v>
      </c>
      <c r="BD228" s="55">
        <f t="shared" si="66"/>
        <v>0</v>
      </c>
      <c r="BE228" s="55">
        <f t="shared" si="66"/>
        <v>0</v>
      </c>
      <c r="BF228" s="139">
        <v>271</v>
      </c>
      <c r="BG228" s="6">
        <f t="shared" si="69"/>
        <v>0</v>
      </c>
      <c r="BH228" s="6">
        <f t="shared" si="70"/>
        <v>0</v>
      </c>
      <c r="BI228" s="6" t="b">
        <v>0</v>
      </c>
      <c r="BJ228" s="150">
        <v>301</v>
      </c>
      <c r="BK228" s="6">
        <f t="shared" si="71"/>
        <v>0</v>
      </c>
      <c r="BL228" s="6">
        <f t="shared" si="72"/>
        <v>0</v>
      </c>
      <c r="BM228" s="6" t="b">
        <v>0</v>
      </c>
    </row>
    <row r="229" spans="1:65" ht="24.95" customHeight="1">
      <c r="A229" s="339">
        <v>272</v>
      </c>
      <c r="B229" s="1605"/>
      <c r="C229" s="1599"/>
      <c r="D229" s="1599"/>
      <c r="E229" s="1599"/>
      <c r="F229" s="1599"/>
      <c r="G229" s="1600"/>
      <c r="H229" s="340"/>
      <c r="I229" s="341"/>
      <c r="J229" s="342"/>
      <c r="K229" s="1583"/>
      <c r="L229" s="1584"/>
      <c r="M229" s="1585"/>
      <c r="N229" s="344">
        <v>302</v>
      </c>
      <c r="O229" s="1605"/>
      <c r="P229" s="1599"/>
      <c r="Q229" s="1599"/>
      <c r="R229" s="1599"/>
      <c r="S229" s="1599"/>
      <c r="T229" s="1600"/>
      <c r="U229" s="340"/>
      <c r="V229" s="341"/>
      <c r="W229" s="342"/>
      <c r="X229" s="1583"/>
      <c r="Y229" s="1584"/>
      <c r="Z229" s="1585"/>
      <c r="BA229" s="53">
        <v>226</v>
      </c>
      <c r="BB229" s="54">
        <f t="shared" si="67"/>
        <v>0</v>
      </c>
      <c r="BC229" s="50">
        <f t="shared" si="68"/>
        <v>0</v>
      </c>
      <c r="BD229" s="55">
        <f t="shared" si="66"/>
        <v>0</v>
      </c>
      <c r="BE229" s="55">
        <f t="shared" si="66"/>
        <v>0</v>
      </c>
      <c r="BF229" s="139">
        <v>272</v>
      </c>
      <c r="BG229" s="6">
        <f t="shared" si="69"/>
        <v>0</v>
      </c>
      <c r="BH229" s="6">
        <f t="shared" si="70"/>
        <v>0</v>
      </c>
      <c r="BI229" s="6" t="b">
        <v>0</v>
      </c>
      <c r="BJ229" s="150">
        <v>302</v>
      </c>
      <c r="BK229" s="6">
        <f t="shared" si="71"/>
        <v>0</v>
      </c>
      <c r="BL229" s="6">
        <f t="shared" si="72"/>
        <v>0</v>
      </c>
      <c r="BM229" s="6" t="b">
        <v>0</v>
      </c>
    </row>
    <row r="230" spans="1:65" ht="24.95" customHeight="1">
      <c r="A230" s="339">
        <v>273</v>
      </c>
      <c r="B230" s="1605"/>
      <c r="C230" s="1599"/>
      <c r="D230" s="1599"/>
      <c r="E230" s="1599"/>
      <c r="F230" s="1599"/>
      <c r="G230" s="1600"/>
      <c r="H230" s="340"/>
      <c r="I230" s="341"/>
      <c r="J230" s="342"/>
      <c r="K230" s="1583"/>
      <c r="L230" s="1584"/>
      <c r="M230" s="1585"/>
      <c r="N230" s="344">
        <v>303</v>
      </c>
      <c r="O230" s="1605"/>
      <c r="P230" s="1599"/>
      <c r="Q230" s="1599"/>
      <c r="R230" s="1599"/>
      <c r="S230" s="1599"/>
      <c r="T230" s="1600"/>
      <c r="U230" s="340"/>
      <c r="V230" s="341"/>
      <c r="W230" s="342"/>
      <c r="X230" s="1583"/>
      <c r="Y230" s="1584"/>
      <c r="Z230" s="1585"/>
      <c r="BA230" s="53">
        <v>227</v>
      </c>
      <c r="BB230" s="54">
        <f t="shared" si="67"/>
        <v>0</v>
      </c>
      <c r="BC230" s="50">
        <f t="shared" si="68"/>
        <v>0</v>
      </c>
      <c r="BD230" s="55">
        <f t="shared" si="66"/>
        <v>0</v>
      </c>
      <c r="BE230" s="55">
        <f t="shared" si="66"/>
        <v>0</v>
      </c>
      <c r="BF230" s="139">
        <v>273</v>
      </c>
      <c r="BG230" s="6">
        <f t="shared" si="69"/>
        <v>0</v>
      </c>
      <c r="BH230" s="6">
        <f t="shared" si="70"/>
        <v>0</v>
      </c>
      <c r="BI230" s="6" t="b">
        <v>0</v>
      </c>
      <c r="BJ230" s="150">
        <v>303</v>
      </c>
      <c r="BK230" s="6">
        <f t="shared" si="71"/>
        <v>0</v>
      </c>
      <c r="BL230" s="6">
        <f t="shared" si="72"/>
        <v>0</v>
      </c>
      <c r="BM230" s="6" t="b">
        <v>0</v>
      </c>
    </row>
    <row r="231" spans="1:65" ht="24.95" customHeight="1">
      <c r="A231" s="339">
        <v>274</v>
      </c>
      <c r="B231" s="1605"/>
      <c r="C231" s="1599"/>
      <c r="D231" s="1599"/>
      <c r="E231" s="1599"/>
      <c r="F231" s="1599"/>
      <c r="G231" s="1600"/>
      <c r="H231" s="340"/>
      <c r="I231" s="341"/>
      <c r="J231" s="342"/>
      <c r="K231" s="1583"/>
      <c r="L231" s="1584"/>
      <c r="M231" s="1585"/>
      <c r="N231" s="344">
        <v>304</v>
      </c>
      <c r="O231" s="1605"/>
      <c r="P231" s="1599"/>
      <c r="Q231" s="1599"/>
      <c r="R231" s="1599"/>
      <c r="S231" s="1599"/>
      <c r="T231" s="1600"/>
      <c r="U231" s="340"/>
      <c r="V231" s="341"/>
      <c r="W231" s="342"/>
      <c r="X231" s="1583"/>
      <c r="Y231" s="1584"/>
      <c r="Z231" s="1585"/>
      <c r="BA231" s="53">
        <v>228</v>
      </c>
      <c r="BB231" s="54">
        <f t="shared" si="67"/>
        <v>0</v>
      </c>
      <c r="BC231" s="50">
        <f t="shared" si="68"/>
        <v>0</v>
      </c>
      <c r="BD231" s="55">
        <f t="shared" si="66"/>
        <v>0</v>
      </c>
      <c r="BE231" s="55">
        <f t="shared" si="66"/>
        <v>0</v>
      </c>
      <c r="BF231" s="139">
        <v>274</v>
      </c>
      <c r="BG231" s="6">
        <f t="shared" si="69"/>
        <v>0</v>
      </c>
      <c r="BH231" s="6">
        <f t="shared" si="70"/>
        <v>0</v>
      </c>
      <c r="BI231" s="6" t="b">
        <v>0</v>
      </c>
      <c r="BJ231" s="150">
        <v>304</v>
      </c>
      <c r="BK231" s="6">
        <f t="shared" si="71"/>
        <v>0</v>
      </c>
      <c r="BL231" s="6">
        <f t="shared" si="72"/>
        <v>0</v>
      </c>
      <c r="BM231" s="6" t="b">
        <v>0</v>
      </c>
    </row>
    <row r="232" spans="1:65" ht="24.95" customHeight="1">
      <c r="A232" s="339">
        <v>275</v>
      </c>
      <c r="B232" s="1605"/>
      <c r="C232" s="1599"/>
      <c r="D232" s="1599"/>
      <c r="E232" s="1599"/>
      <c r="F232" s="1599"/>
      <c r="G232" s="1600"/>
      <c r="H232" s="340"/>
      <c r="I232" s="341"/>
      <c r="J232" s="342"/>
      <c r="K232" s="1583"/>
      <c r="L232" s="1584"/>
      <c r="M232" s="1585"/>
      <c r="N232" s="344">
        <v>305</v>
      </c>
      <c r="O232" s="1605"/>
      <c r="P232" s="1599"/>
      <c r="Q232" s="1599"/>
      <c r="R232" s="1599"/>
      <c r="S232" s="1599"/>
      <c r="T232" s="1600"/>
      <c r="U232" s="340"/>
      <c r="V232" s="341"/>
      <c r="W232" s="342"/>
      <c r="X232" s="1583"/>
      <c r="Y232" s="1584"/>
      <c r="Z232" s="1585"/>
      <c r="BA232" s="53">
        <v>229</v>
      </c>
      <c r="BB232" s="54">
        <f t="shared" si="67"/>
        <v>0</v>
      </c>
      <c r="BC232" s="50">
        <f t="shared" si="68"/>
        <v>0</v>
      </c>
      <c r="BD232" s="55">
        <f t="shared" si="66"/>
        <v>0</v>
      </c>
      <c r="BE232" s="55">
        <f t="shared" si="66"/>
        <v>0</v>
      </c>
      <c r="BF232" s="139">
        <v>275</v>
      </c>
      <c r="BG232" s="6">
        <f t="shared" si="69"/>
        <v>0</v>
      </c>
      <c r="BH232" s="6">
        <f t="shared" si="70"/>
        <v>0</v>
      </c>
      <c r="BI232" s="6" t="b">
        <v>0</v>
      </c>
      <c r="BJ232" s="150">
        <v>305</v>
      </c>
      <c r="BK232" s="6">
        <f t="shared" si="71"/>
        <v>0</v>
      </c>
      <c r="BL232" s="6">
        <f t="shared" si="72"/>
        <v>0</v>
      </c>
      <c r="BM232" s="6" t="b">
        <v>0</v>
      </c>
    </row>
    <row r="233" spans="1:65" ht="24.95" customHeight="1">
      <c r="A233" s="339">
        <v>276</v>
      </c>
      <c r="B233" s="1605"/>
      <c r="C233" s="1599"/>
      <c r="D233" s="1599"/>
      <c r="E233" s="1599"/>
      <c r="F233" s="1599"/>
      <c r="G233" s="1600"/>
      <c r="H233" s="340"/>
      <c r="I233" s="341"/>
      <c r="J233" s="342"/>
      <c r="K233" s="1583"/>
      <c r="L233" s="1584"/>
      <c r="M233" s="1585"/>
      <c r="N233" s="344">
        <v>306</v>
      </c>
      <c r="O233" s="1605"/>
      <c r="P233" s="1599"/>
      <c r="Q233" s="1599"/>
      <c r="R233" s="1599"/>
      <c r="S233" s="1599"/>
      <c r="T233" s="1600"/>
      <c r="U233" s="340"/>
      <c r="V233" s="341"/>
      <c r="W233" s="342"/>
      <c r="X233" s="1583"/>
      <c r="Y233" s="1584"/>
      <c r="Z233" s="1585"/>
      <c r="BA233" s="53">
        <v>230</v>
      </c>
      <c r="BB233" s="54">
        <f t="shared" si="67"/>
        <v>0</v>
      </c>
      <c r="BC233" s="50">
        <f t="shared" si="68"/>
        <v>0</v>
      </c>
      <c r="BD233" s="55">
        <f t="shared" si="66"/>
        <v>0</v>
      </c>
      <c r="BE233" s="55">
        <f t="shared" si="66"/>
        <v>0</v>
      </c>
      <c r="BF233" s="139">
        <v>276</v>
      </c>
      <c r="BG233" s="6">
        <f t="shared" si="69"/>
        <v>0</v>
      </c>
      <c r="BH233" s="6">
        <f t="shared" si="70"/>
        <v>0</v>
      </c>
      <c r="BI233" s="6" t="b">
        <v>0</v>
      </c>
      <c r="BJ233" s="150">
        <v>306</v>
      </c>
      <c r="BK233" s="6">
        <f t="shared" si="71"/>
        <v>0</v>
      </c>
      <c r="BL233" s="6">
        <f t="shared" si="72"/>
        <v>0</v>
      </c>
      <c r="BM233" s="6" t="b">
        <v>0</v>
      </c>
    </row>
    <row r="234" spans="1:65" ht="24.95" customHeight="1">
      <c r="A234" s="339">
        <v>277</v>
      </c>
      <c r="B234" s="1605"/>
      <c r="C234" s="1599"/>
      <c r="D234" s="1599"/>
      <c r="E234" s="1599"/>
      <c r="F234" s="1599"/>
      <c r="G234" s="1600"/>
      <c r="H234" s="340"/>
      <c r="I234" s="341"/>
      <c r="J234" s="342"/>
      <c r="K234" s="1583"/>
      <c r="L234" s="1584"/>
      <c r="M234" s="1585"/>
      <c r="N234" s="344">
        <v>307</v>
      </c>
      <c r="O234" s="1605"/>
      <c r="P234" s="1599"/>
      <c r="Q234" s="1599"/>
      <c r="R234" s="1599"/>
      <c r="S234" s="1599"/>
      <c r="T234" s="1600"/>
      <c r="U234" s="340"/>
      <c r="V234" s="341"/>
      <c r="W234" s="342"/>
      <c r="X234" s="1583"/>
      <c r="Y234" s="1584"/>
      <c r="Z234" s="1585"/>
      <c r="BA234" s="53">
        <v>231</v>
      </c>
      <c r="BB234" s="54">
        <f t="shared" ref="BB234:BB263" si="73">COUNTA(U175:V175)</f>
        <v>0</v>
      </c>
      <c r="BC234" s="50">
        <f t="shared" ref="BC234:BC263" si="74">COUNTA(X175)</f>
        <v>0</v>
      </c>
      <c r="BD234" s="55">
        <f t="shared" ref="BD234:BE249" si="75">BB234-COUNTA(H175)</f>
        <v>0</v>
      </c>
      <c r="BE234" s="55">
        <f t="shared" si="75"/>
        <v>0</v>
      </c>
      <c r="BF234" s="139">
        <v>277</v>
      </c>
      <c r="BG234" s="6">
        <f t="shared" si="69"/>
        <v>0</v>
      </c>
      <c r="BH234" s="6">
        <f t="shared" si="70"/>
        <v>0</v>
      </c>
      <c r="BI234" s="6" t="b">
        <v>0</v>
      </c>
      <c r="BJ234" s="150">
        <v>307</v>
      </c>
      <c r="BK234" s="6">
        <f t="shared" si="71"/>
        <v>0</v>
      </c>
      <c r="BL234" s="6">
        <f t="shared" si="72"/>
        <v>0</v>
      </c>
      <c r="BM234" s="6" t="b">
        <v>0</v>
      </c>
    </row>
    <row r="235" spans="1:65" ht="24.95" customHeight="1">
      <c r="A235" s="339">
        <v>278</v>
      </c>
      <c r="B235" s="1605"/>
      <c r="C235" s="1599"/>
      <c r="D235" s="1599"/>
      <c r="E235" s="1599"/>
      <c r="F235" s="1599"/>
      <c r="G235" s="1600"/>
      <c r="H235" s="340"/>
      <c r="I235" s="341"/>
      <c r="J235" s="342"/>
      <c r="K235" s="1583"/>
      <c r="L235" s="1584"/>
      <c r="M235" s="1585"/>
      <c r="N235" s="344">
        <v>308</v>
      </c>
      <c r="O235" s="1605"/>
      <c r="P235" s="1599"/>
      <c r="Q235" s="1599"/>
      <c r="R235" s="1599"/>
      <c r="S235" s="1599"/>
      <c r="T235" s="1600"/>
      <c r="U235" s="340"/>
      <c r="V235" s="341"/>
      <c r="W235" s="342"/>
      <c r="X235" s="1583"/>
      <c r="Y235" s="1584"/>
      <c r="Z235" s="1585"/>
      <c r="BA235" s="53">
        <v>232</v>
      </c>
      <c r="BB235" s="54">
        <f t="shared" si="73"/>
        <v>0</v>
      </c>
      <c r="BC235" s="50">
        <f t="shared" si="74"/>
        <v>0</v>
      </c>
      <c r="BD235" s="55">
        <f t="shared" si="75"/>
        <v>0</v>
      </c>
      <c r="BE235" s="55">
        <f t="shared" si="75"/>
        <v>0</v>
      </c>
      <c r="BF235" s="139">
        <v>278</v>
      </c>
      <c r="BG235" s="6">
        <f t="shared" si="69"/>
        <v>0</v>
      </c>
      <c r="BH235" s="6">
        <f t="shared" si="70"/>
        <v>0</v>
      </c>
      <c r="BI235" s="6" t="b">
        <v>0</v>
      </c>
      <c r="BJ235" s="150">
        <v>308</v>
      </c>
      <c r="BK235" s="6">
        <f t="shared" si="71"/>
        <v>0</v>
      </c>
      <c r="BL235" s="6">
        <f t="shared" si="72"/>
        <v>0</v>
      </c>
      <c r="BM235" s="6" t="b">
        <v>0</v>
      </c>
    </row>
    <row r="236" spans="1:65" ht="24.95" customHeight="1">
      <c r="A236" s="339">
        <v>279</v>
      </c>
      <c r="B236" s="1605"/>
      <c r="C236" s="1599"/>
      <c r="D236" s="1599"/>
      <c r="E236" s="1599"/>
      <c r="F236" s="1599"/>
      <c r="G236" s="1600"/>
      <c r="H236" s="340"/>
      <c r="I236" s="341"/>
      <c r="J236" s="342"/>
      <c r="K236" s="1583"/>
      <c r="L236" s="1584"/>
      <c r="M236" s="1585"/>
      <c r="N236" s="344">
        <v>309</v>
      </c>
      <c r="O236" s="1605"/>
      <c r="P236" s="1599"/>
      <c r="Q236" s="1599"/>
      <c r="R236" s="1599"/>
      <c r="S236" s="1599"/>
      <c r="T236" s="1600"/>
      <c r="U236" s="340"/>
      <c r="V236" s="341"/>
      <c r="W236" s="342"/>
      <c r="X236" s="1583"/>
      <c r="Y236" s="1584"/>
      <c r="Z236" s="1585"/>
      <c r="BA236" s="53">
        <v>233</v>
      </c>
      <c r="BB236" s="54">
        <f t="shared" si="73"/>
        <v>0</v>
      </c>
      <c r="BC236" s="50">
        <f t="shared" si="74"/>
        <v>0</v>
      </c>
      <c r="BD236" s="55">
        <f t="shared" si="75"/>
        <v>0</v>
      </c>
      <c r="BE236" s="55">
        <f t="shared" si="75"/>
        <v>0</v>
      </c>
      <c r="BF236" s="139">
        <v>279</v>
      </c>
      <c r="BG236" s="6">
        <f t="shared" si="69"/>
        <v>0</v>
      </c>
      <c r="BH236" s="6">
        <f t="shared" si="70"/>
        <v>0</v>
      </c>
      <c r="BI236" s="6" t="b">
        <v>0</v>
      </c>
      <c r="BJ236" s="150">
        <v>309</v>
      </c>
      <c r="BK236" s="6">
        <f t="shared" si="71"/>
        <v>0</v>
      </c>
      <c r="BL236" s="6">
        <f t="shared" si="72"/>
        <v>0</v>
      </c>
      <c r="BM236" s="6" t="b">
        <v>0</v>
      </c>
    </row>
    <row r="237" spans="1:65" ht="24.95" customHeight="1">
      <c r="A237" s="339">
        <v>280</v>
      </c>
      <c r="B237" s="1609"/>
      <c r="C237" s="1609"/>
      <c r="D237" s="1609"/>
      <c r="E237" s="1609"/>
      <c r="F237" s="1609"/>
      <c r="G237" s="1609"/>
      <c r="H237" s="340"/>
      <c r="I237" s="341"/>
      <c r="J237" s="342"/>
      <c r="K237" s="1583"/>
      <c r="L237" s="1584"/>
      <c r="M237" s="1585"/>
      <c r="N237" s="344">
        <v>310</v>
      </c>
      <c r="O237" s="1619"/>
      <c r="P237" s="1620"/>
      <c r="Q237" s="1620"/>
      <c r="R237" s="1620"/>
      <c r="S237" s="1620"/>
      <c r="T237" s="1621"/>
      <c r="U237" s="340"/>
      <c r="V237" s="341"/>
      <c r="W237" s="342"/>
      <c r="X237" s="1583"/>
      <c r="Y237" s="1584"/>
      <c r="Z237" s="1585"/>
      <c r="BA237" s="53">
        <v>234</v>
      </c>
      <c r="BB237" s="54">
        <f t="shared" si="73"/>
        <v>0</v>
      </c>
      <c r="BC237" s="50">
        <f t="shared" si="74"/>
        <v>0</v>
      </c>
      <c r="BD237" s="55">
        <f t="shared" si="75"/>
        <v>0</v>
      </c>
      <c r="BE237" s="55">
        <f t="shared" si="75"/>
        <v>0</v>
      </c>
      <c r="BF237" s="139">
        <v>280</v>
      </c>
      <c r="BG237" s="6">
        <f t="shared" si="69"/>
        <v>0</v>
      </c>
      <c r="BH237" s="6">
        <f t="shared" si="70"/>
        <v>0</v>
      </c>
      <c r="BI237" s="6" t="b">
        <v>0</v>
      </c>
      <c r="BJ237" s="150">
        <v>310</v>
      </c>
      <c r="BK237" s="6">
        <f t="shared" si="71"/>
        <v>0</v>
      </c>
      <c r="BL237" s="6">
        <f t="shared" si="72"/>
        <v>0</v>
      </c>
      <c r="BM237" s="6" t="b">
        <v>0</v>
      </c>
    </row>
    <row r="238" spans="1:65" ht="24.95" customHeight="1">
      <c r="A238" s="339">
        <v>281</v>
      </c>
      <c r="B238" s="1609"/>
      <c r="C238" s="1609"/>
      <c r="D238" s="1609"/>
      <c r="E238" s="1609"/>
      <c r="F238" s="1609"/>
      <c r="G238" s="1609"/>
      <c r="H238" s="340"/>
      <c r="I238" s="341"/>
      <c r="J238" s="342"/>
      <c r="K238" s="1583"/>
      <c r="L238" s="1584"/>
      <c r="M238" s="1585"/>
      <c r="N238" s="344">
        <v>311</v>
      </c>
      <c r="O238" s="1605"/>
      <c r="P238" s="1599"/>
      <c r="Q238" s="1599"/>
      <c r="R238" s="1599"/>
      <c r="S238" s="1599"/>
      <c r="T238" s="1600"/>
      <c r="U238" s="340"/>
      <c r="V238" s="341"/>
      <c r="W238" s="342"/>
      <c r="X238" s="1583"/>
      <c r="Y238" s="1584"/>
      <c r="Z238" s="1585"/>
      <c r="BA238" s="53">
        <v>235</v>
      </c>
      <c r="BB238" s="54">
        <f t="shared" si="73"/>
        <v>0</v>
      </c>
      <c r="BC238" s="50">
        <f t="shared" si="74"/>
        <v>0</v>
      </c>
      <c r="BD238" s="55">
        <f t="shared" si="75"/>
        <v>0</v>
      </c>
      <c r="BE238" s="55">
        <f t="shared" si="75"/>
        <v>0</v>
      </c>
      <c r="BF238" s="139">
        <v>281</v>
      </c>
      <c r="BG238" s="6">
        <f t="shared" si="69"/>
        <v>0</v>
      </c>
      <c r="BH238" s="6">
        <f t="shared" si="70"/>
        <v>0</v>
      </c>
      <c r="BI238" s="6" t="b">
        <v>0</v>
      </c>
      <c r="BJ238" s="150">
        <v>311</v>
      </c>
      <c r="BK238" s="6">
        <f t="shared" si="71"/>
        <v>0</v>
      </c>
      <c r="BL238" s="6">
        <f t="shared" si="72"/>
        <v>0</v>
      </c>
      <c r="BM238" s="6" t="b">
        <v>0</v>
      </c>
    </row>
    <row r="239" spans="1:65" ht="24.95" customHeight="1">
      <c r="A239" s="339">
        <v>282</v>
      </c>
      <c r="B239" s="1609"/>
      <c r="C239" s="1609"/>
      <c r="D239" s="1609"/>
      <c r="E239" s="1609"/>
      <c r="F239" s="1609"/>
      <c r="G239" s="1609"/>
      <c r="H239" s="340"/>
      <c r="I239" s="341"/>
      <c r="J239" s="342"/>
      <c r="K239" s="1583"/>
      <c r="L239" s="1584"/>
      <c r="M239" s="1585"/>
      <c r="N239" s="344">
        <v>312</v>
      </c>
      <c r="O239" s="1605"/>
      <c r="P239" s="1599"/>
      <c r="Q239" s="1599"/>
      <c r="R239" s="1599"/>
      <c r="S239" s="1599"/>
      <c r="T239" s="1600"/>
      <c r="U239" s="340"/>
      <c r="V239" s="341"/>
      <c r="W239" s="342"/>
      <c r="X239" s="1583"/>
      <c r="Y239" s="1584"/>
      <c r="Z239" s="1585"/>
      <c r="BA239" s="53">
        <v>236</v>
      </c>
      <c r="BB239" s="54">
        <f t="shared" si="73"/>
        <v>0</v>
      </c>
      <c r="BC239" s="50">
        <f t="shared" si="74"/>
        <v>0</v>
      </c>
      <c r="BD239" s="55">
        <f t="shared" si="75"/>
        <v>0</v>
      </c>
      <c r="BE239" s="55">
        <f t="shared" si="75"/>
        <v>0</v>
      </c>
      <c r="BF239" s="139">
        <v>282</v>
      </c>
      <c r="BG239" s="6">
        <f t="shared" si="69"/>
        <v>0</v>
      </c>
      <c r="BH239" s="6">
        <f t="shared" si="70"/>
        <v>0</v>
      </c>
      <c r="BI239" s="6" t="b">
        <v>0</v>
      </c>
      <c r="BJ239" s="150">
        <v>312</v>
      </c>
      <c r="BK239" s="6">
        <f t="shared" si="71"/>
        <v>0</v>
      </c>
      <c r="BL239" s="6">
        <f t="shared" si="72"/>
        <v>0</v>
      </c>
      <c r="BM239" s="6" t="b">
        <v>0</v>
      </c>
    </row>
    <row r="240" spans="1:65" ht="24.95" customHeight="1">
      <c r="A240" s="339">
        <v>283</v>
      </c>
      <c r="B240" s="1609"/>
      <c r="C240" s="1609"/>
      <c r="D240" s="1609"/>
      <c r="E240" s="1609"/>
      <c r="F240" s="1609"/>
      <c r="G240" s="1609"/>
      <c r="H240" s="340"/>
      <c r="I240" s="341"/>
      <c r="J240" s="342"/>
      <c r="K240" s="1583"/>
      <c r="L240" s="1584"/>
      <c r="M240" s="1585"/>
      <c r="N240" s="344">
        <v>313</v>
      </c>
      <c r="O240" s="1605"/>
      <c r="P240" s="1599"/>
      <c r="Q240" s="1599"/>
      <c r="R240" s="1599"/>
      <c r="S240" s="1599"/>
      <c r="T240" s="1600"/>
      <c r="U240" s="340"/>
      <c r="V240" s="341"/>
      <c r="W240" s="342"/>
      <c r="X240" s="1583"/>
      <c r="Y240" s="1584"/>
      <c r="Z240" s="1585"/>
      <c r="BA240" s="53">
        <v>237</v>
      </c>
      <c r="BB240" s="54">
        <f t="shared" si="73"/>
        <v>0</v>
      </c>
      <c r="BC240" s="50">
        <f t="shared" si="74"/>
        <v>0</v>
      </c>
      <c r="BD240" s="55">
        <f t="shared" si="75"/>
        <v>0</v>
      </c>
      <c r="BE240" s="55">
        <f t="shared" si="75"/>
        <v>0</v>
      </c>
      <c r="BF240" s="139">
        <v>283</v>
      </c>
      <c r="BG240" s="6">
        <f t="shared" si="69"/>
        <v>0</v>
      </c>
      <c r="BH240" s="6">
        <f t="shared" si="70"/>
        <v>0</v>
      </c>
      <c r="BI240" s="6" t="b">
        <v>0</v>
      </c>
      <c r="BJ240" s="150">
        <v>313</v>
      </c>
      <c r="BK240" s="6">
        <f t="shared" si="71"/>
        <v>0</v>
      </c>
      <c r="BL240" s="6">
        <f t="shared" si="72"/>
        <v>0</v>
      </c>
      <c r="BM240" s="6" t="b">
        <v>0</v>
      </c>
    </row>
    <row r="241" spans="1:65" ht="24.95" customHeight="1">
      <c r="A241" s="339">
        <v>284</v>
      </c>
      <c r="B241" s="1609"/>
      <c r="C241" s="1609"/>
      <c r="D241" s="1609"/>
      <c r="E241" s="1609"/>
      <c r="F241" s="1609"/>
      <c r="G241" s="1609"/>
      <c r="H241" s="340"/>
      <c r="I241" s="341"/>
      <c r="J241" s="342"/>
      <c r="K241" s="1583"/>
      <c r="L241" s="1584"/>
      <c r="M241" s="1585"/>
      <c r="N241" s="344">
        <v>314</v>
      </c>
      <c r="O241" s="1605"/>
      <c r="P241" s="1599"/>
      <c r="Q241" s="1599"/>
      <c r="R241" s="1599"/>
      <c r="S241" s="1599"/>
      <c r="T241" s="1600"/>
      <c r="U241" s="340"/>
      <c r="V241" s="341"/>
      <c r="W241" s="342"/>
      <c r="X241" s="1583"/>
      <c r="Y241" s="1584"/>
      <c r="Z241" s="1585"/>
      <c r="BA241" s="53">
        <v>238</v>
      </c>
      <c r="BB241" s="54">
        <f t="shared" si="73"/>
        <v>0</v>
      </c>
      <c r="BC241" s="50">
        <f t="shared" si="74"/>
        <v>0</v>
      </c>
      <c r="BD241" s="55">
        <f t="shared" si="75"/>
        <v>0</v>
      </c>
      <c r="BE241" s="55">
        <f t="shared" si="75"/>
        <v>0</v>
      </c>
      <c r="BF241" s="139">
        <v>284</v>
      </c>
      <c r="BG241" s="6">
        <f t="shared" si="69"/>
        <v>0</v>
      </c>
      <c r="BH241" s="6">
        <f t="shared" si="70"/>
        <v>0</v>
      </c>
      <c r="BI241" s="6" t="b">
        <v>0</v>
      </c>
      <c r="BJ241" s="150">
        <v>314</v>
      </c>
      <c r="BK241" s="6">
        <f t="shared" si="71"/>
        <v>0</v>
      </c>
      <c r="BL241" s="6">
        <f t="shared" si="72"/>
        <v>0</v>
      </c>
      <c r="BM241" s="6" t="b">
        <v>0</v>
      </c>
    </row>
    <row r="242" spans="1:65" ht="24.95" customHeight="1">
      <c r="A242" s="339">
        <v>285</v>
      </c>
      <c r="B242" s="1609"/>
      <c r="C242" s="1609"/>
      <c r="D242" s="1609"/>
      <c r="E242" s="1609"/>
      <c r="F242" s="1609"/>
      <c r="G242" s="1609"/>
      <c r="H242" s="340"/>
      <c r="I242" s="341"/>
      <c r="J242" s="342"/>
      <c r="K242" s="1583"/>
      <c r="L242" s="1584"/>
      <c r="M242" s="1585"/>
      <c r="N242" s="344">
        <v>315</v>
      </c>
      <c r="O242" s="1605"/>
      <c r="P242" s="1599"/>
      <c r="Q242" s="1599"/>
      <c r="R242" s="1599"/>
      <c r="S242" s="1599"/>
      <c r="T242" s="1600"/>
      <c r="U242" s="340"/>
      <c r="V242" s="341"/>
      <c r="W242" s="342"/>
      <c r="X242" s="1583"/>
      <c r="Y242" s="1584"/>
      <c r="Z242" s="1585"/>
      <c r="BA242" s="53">
        <v>239</v>
      </c>
      <c r="BB242" s="54">
        <f t="shared" si="73"/>
        <v>0</v>
      </c>
      <c r="BC242" s="50">
        <f t="shared" si="74"/>
        <v>0</v>
      </c>
      <c r="BD242" s="55">
        <f t="shared" si="75"/>
        <v>0</v>
      </c>
      <c r="BE242" s="55">
        <f t="shared" si="75"/>
        <v>0</v>
      </c>
      <c r="BF242" s="139">
        <v>285</v>
      </c>
      <c r="BG242" s="6">
        <f t="shared" si="69"/>
        <v>0</v>
      </c>
      <c r="BH242" s="6">
        <f t="shared" si="70"/>
        <v>0</v>
      </c>
      <c r="BI242" s="6" t="b">
        <v>0</v>
      </c>
      <c r="BJ242" s="150">
        <v>315</v>
      </c>
      <c r="BK242" s="6">
        <f t="shared" si="71"/>
        <v>0</v>
      </c>
      <c r="BL242" s="6">
        <f t="shared" si="72"/>
        <v>0</v>
      </c>
      <c r="BM242" s="6" t="b">
        <v>0</v>
      </c>
    </row>
    <row r="243" spans="1:65" ht="24.95" customHeight="1">
      <c r="A243" s="339">
        <v>286</v>
      </c>
      <c r="B243" s="1609"/>
      <c r="C243" s="1609"/>
      <c r="D243" s="1609"/>
      <c r="E243" s="1609"/>
      <c r="F243" s="1609"/>
      <c r="G243" s="1609"/>
      <c r="H243" s="340"/>
      <c r="I243" s="341"/>
      <c r="J243" s="342"/>
      <c r="K243" s="1583"/>
      <c r="L243" s="1584"/>
      <c r="M243" s="1585"/>
      <c r="N243" s="344">
        <v>316</v>
      </c>
      <c r="O243" s="1605"/>
      <c r="P243" s="1599"/>
      <c r="Q243" s="1599"/>
      <c r="R243" s="1599"/>
      <c r="S243" s="1599"/>
      <c r="T243" s="1600"/>
      <c r="U243" s="340"/>
      <c r="V243" s="341"/>
      <c r="W243" s="342"/>
      <c r="X243" s="1583"/>
      <c r="Y243" s="1584"/>
      <c r="Z243" s="1585"/>
      <c r="BA243" s="53">
        <v>240</v>
      </c>
      <c r="BB243" s="54">
        <f t="shared" si="73"/>
        <v>0</v>
      </c>
      <c r="BC243" s="50">
        <f t="shared" si="74"/>
        <v>0</v>
      </c>
      <c r="BD243" s="55">
        <f t="shared" si="75"/>
        <v>0</v>
      </c>
      <c r="BE243" s="55">
        <f t="shared" si="75"/>
        <v>0</v>
      </c>
      <c r="BF243" s="139">
        <v>286</v>
      </c>
      <c r="BG243" s="6">
        <f t="shared" si="69"/>
        <v>0</v>
      </c>
      <c r="BH243" s="6">
        <f t="shared" si="70"/>
        <v>0</v>
      </c>
      <c r="BI243" s="6" t="b">
        <v>0</v>
      </c>
      <c r="BJ243" s="150">
        <v>316</v>
      </c>
      <c r="BK243" s="6">
        <f t="shared" si="71"/>
        <v>0</v>
      </c>
      <c r="BL243" s="6">
        <f t="shared" si="72"/>
        <v>0</v>
      </c>
      <c r="BM243" s="6" t="b">
        <v>0</v>
      </c>
    </row>
    <row r="244" spans="1:65" ht="24.95" customHeight="1">
      <c r="A244" s="339">
        <v>287</v>
      </c>
      <c r="B244" s="1609"/>
      <c r="C244" s="1609"/>
      <c r="D244" s="1609"/>
      <c r="E244" s="1609"/>
      <c r="F244" s="1609"/>
      <c r="G244" s="1609"/>
      <c r="H244" s="340"/>
      <c r="I244" s="341"/>
      <c r="J244" s="342"/>
      <c r="K244" s="1583"/>
      <c r="L244" s="1584"/>
      <c r="M244" s="1585"/>
      <c r="N244" s="344">
        <v>317</v>
      </c>
      <c r="O244" s="1605"/>
      <c r="P244" s="1599"/>
      <c r="Q244" s="1599"/>
      <c r="R244" s="1599"/>
      <c r="S244" s="1599"/>
      <c r="T244" s="1600"/>
      <c r="U244" s="340"/>
      <c r="V244" s="341"/>
      <c r="W244" s="342"/>
      <c r="X244" s="1583"/>
      <c r="Y244" s="1584"/>
      <c r="Z244" s="1585"/>
      <c r="BA244" s="53">
        <v>241</v>
      </c>
      <c r="BB244" s="54">
        <f t="shared" si="73"/>
        <v>0</v>
      </c>
      <c r="BC244" s="50">
        <f t="shared" si="74"/>
        <v>0</v>
      </c>
      <c r="BD244" s="55">
        <f t="shared" si="75"/>
        <v>0</v>
      </c>
      <c r="BE244" s="55">
        <f t="shared" si="75"/>
        <v>0</v>
      </c>
      <c r="BF244" s="139">
        <v>287</v>
      </c>
      <c r="BG244" s="6">
        <f t="shared" si="69"/>
        <v>0</v>
      </c>
      <c r="BH244" s="6">
        <f t="shared" si="70"/>
        <v>0</v>
      </c>
      <c r="BI244" s="6" t="b">
        <v>0</v>
      </c>
      <c r="BJ244" s="150">
        <v>317</v>
      </c>
      <c r="BK244" s="6">
        <f t="shared" si="71"/>
        <v>0</v>
      </c>
      <c r="BL244" s="6">
        <f t="shared" si="72"/>
        <v>0</v>
      </c>
      <c r="BM244" s="6" t="b">
        <v>0</v>
      </c>
    </row>
    <row r="245" spans="1:65" ht="24.95" customHeight="1">
      <c r="A245" s="339">
        <v>288</v>
      </c>
      <c r="B245" s="1609"/>
      <c r="C245" s="1609"/>
      <c r="D245" s="1609"/>
      <c r="E245" s="1609"/>
      <c r="F245" s="1609"/>
      <c r="G245" s="1609"/>
      <c r="H245" s="340"/>
      <c r="I245" s="341"/>
      <c r="J245" s="342"/>
      <c r="K245" s="1583"/>
      <c r="L245" s="1584"/>
      <c r="M245" s="1585"/>
      <c r="N245" s="344">
        <v>318</v>
      </c>
      <c r="O245" s="1605"/>
      <c r="P245" s="1599"/>
      <c r="Q245" s="1599"/>
      <c r="R245" s="1599"/>
      <c r="S245" s="1599"/>
      <c r="T245" s="1600"/>
      <c r="U245" s="340"/>
      <c r="V245" s="341"/>
      <c r="W245" s="342"/>
      <c r="X245" s="1583"/>
      <c r="Y245" s="1584"/>
      <c r="Z245" s="1585"/>
      <c r="BA245" s="53">
        <v>242</v>
      </c>
      <c r="BB245" s="54">
        <f t="shared" si="73"/>
        <v>0</v>
      </c>
      <c r="BC245" s="50">
        <f t="shared" si="74"/>
        <v>0</v>
      </c>
      <c r="BD245" s="55">
        <f t="shared" si="75"/>
        <v>0</v>
      </c>
      <c r="BE245" s="55">
        <f t="shared" si="75"/>
        <v>0</v>
      </c>
      <c r="BF245" s="139">
        <v>288</v>
      </c>
      <c r="BG245" s="6">
        <f t="shared" si="69"/>
        <v>0</v>
      </c>
      <c r="BH245" s="6">
        <f t="shared" si="70"/>
        <v>0</v>
      </c>
      <c r="BI245" s="6" t="b">
        <v>0</v>
      </c>
      <c r="BJ245" s="150">
        <v>318</v>
      </c>
      <c r="BK245" s="6">
        <f t="shared" si="71"/>
        <v>0</v>
      </c>
      <c r="BL245" s="6">
        <f t="shared" si="72"/>
        <v>0</v>
      </c>
      <c r="BM245" s="6" t="b">
        <v>0</v>
      </c>
    </row>
    <row r="246" spans="1:65" ht="24.95" customHeight="1">
      <c r="A246" s="339">
        <v>289</v>
      </c>
      <c r="B246" s="1609"/>
      <c r="C246" s="1609"/>
      <c r="D246" s="1609"/>
      <c r="E246" s="1609"/>
      <c r="F246" s="1609"/>
      <c r="G246" s="1609"/>
      <c r="H246" s="340"/>
      <c r="I246" s="341"/>
      <c r="J246" s="342"/>
      <c r="K246" s="1583"/>
      <c r="L246" s="1584"/>
      <c r="M246" s="1585"/>
      <c r="N246" s="344">
        <v>319</v>
      </c>
      <c r="O246" s="1605"/>
      <c r="P246" s="1599"/>
      <c r="Q246" s="1599"/>
      <c r="R246" s="1599"/>
      <c r="S246" s="1599"/>
      <c r="T246" s="1600"/>
      <c r="U246" s="340"/>
      <c r="V246" s="341"/>
      <c r="W246" s="342"/>
      <c r="X246" s="1583"/>
      <c r="Y246" s="1584"/>
      <c r="Z246" s="1585"/>
      <c r="BA246" s="53">
        <v>243</v>
      </c>
      <c r="BB246" s="54">
        <f t="shared" si="73"/>
        <v>0</v>
      </c>
      <c r="BC246" s="50">
        <f t="shared" si="74"/>
        <v>0</v>
      </c>
      <c r="BD246" s="55">
        <f t="shared" si="75"/>
        <v>0</v>
      </c>
      <c r="BE246" s="55">
        <f t="shared" si="75"/>
        <v>0</v>
      </c>
      <c r="BF246" s="139">
        <v>289</v>
      </c>
      <c r="BG246" s="6">
        <f t="shared" si="69"/>
        <v>0</v>
      </c>
      <c r="BH246" s="6">
        <f t="shared" si="70"/>
        <v>0</v>
      </c>
      <c r="BI246" s="6" t="b">
        <v>0</v>
      </c>
      <c r="BJ246" s="150">
        <v>319</v>
      </c>
      <c r="BK246" s="6">
        <f t="shared" si="71"/>
        <v>0</v>
      </c>
      <c r="BL246" s="6">
        <f t="shared" si="72"/>
        <v>0</v>
      </c>
      <c r="BM246" s="6" t="b">
        <v>0</v>
      </c>
    </row>
    <row r="247" spans="1:65" ht="24.95" customHeight="1">
      <c r="A247" s="339">
        <v>290</v>
      </c>
      <c r="B247" s="1609"/>
      <c r="C247" s="1609"/>
      <c r="D247" s="1609"/>
      <c r="E247" s="1609"/>
      <c r="F247" s="1609"/>
      <c r="G247" s="1609"/>
      <c r="H247" s="340"/>
      <c r="I247" s="341"/>
      <c r="J247" s="342"/>
      <c r="K247" s="1583"/>
      <c r="L247" s="1584"/>
      <c r="M247" s="1585"/>
      <c r="N247" s="344">
        <v>320</v>
      </c>
      <c r="O247" s="1605"/>
      <c r="P247" s="1599"/>
      <c r="Q247" s="1599"/>
      <c r="R247" s="1599"/>
      <c r="S247" s="1599"/>
      <c r="T247" s="1600"/>
      <c r="U247" s="340"/>
      <c r="V247" s="341"/>
      <c r="W247" s="342"/>
      <c r="X247" s="1583"/>
      <c r="Y247" s="1584"/>
      <c r="Z247" s="1585"/>
      <c r="BA247" s="53">
        <v>244</v>
      </c>
      <c r="BB247" s="54">
        <f t="shared" si="73"/>
        <v>0</v>
      </c>
      <c r="BC247" s="50">
        <f t="shared" si="74"/>
        <v>0</v>
      </c>
      <c r="BD247" s="55">
        <f t="shared" si="75"/>
        <v>0</v>
      </c>
      <c r="BE247" s="55">
        <f t="shared" si="75"/>
        <v>0</v>
      </c>
      <c r="BF247" s="139">
        <v>290</v>
      </c>
      <c r="BG247" s="6">
        <f t="shared" si="69"/>
        <v>0</v>
      </c>
      <c r="BH247" s="6">
        <f t="shared" si="70"/>
        <v>0</v>
      </c>
      <c r="BI247" s="6" t="b">
        <v>0</v>
      </c>
      <c r="BJ247" s="150">
        <v>320</v>
      </c>
      <c r="BK247" s="6">
        <f t="shared" si="71"/>
        <v>0</v>
      </c>
      <c r="BL247" s="6">
        <f t="shared" si="72"/>
        <v>0</v>
      </c>
      <c r="BM247" s="6" t="b">
        <v>0</v>
      </c>
    </row>
    <row r="248" spans="1:65" ht="24.95" customHeight="1">
      <c r="BA248" s="53">
        <v>245</v>
      </c>
      <c r="BB248" s="54">
        <f t="shared" si="73"/>
        <v>0</v>
      </c>
      <c r="BC248" s="50">
        <f t="shared" si="74"/>
        <v>0</v>
      </c>
      <c r="BD248" s="55">
        <f t="shared" si="75"/>
        <v>0</v>
      </c>
      <c r="BE248" s="55">
        <f t="shared" si="75"/>
        <v>0</v>
      </c>
    </row>
    <row r="249" spans="1:65">
      <c r="BA249" s="53">
        <v>246</v>
      </c>
      <c r="BB249" s="54">
        <f t="shared" si="73"/>
        <v>0</v>
      </c>
      <c r="BC249" s="50">
        <f t="shared" si="74"/>
        <v>0</v>
      </c>
      <c r="BD249" s="55">
        <f t="shared" si="75"/>
        <v>0</v>
      </c>
      <c r="BE249" s="55">
        <f t="shared" si="75"/>
        <v>0</v>
      </c>
    </row>
    <row r="250" spans="1:65">
      <c r="BA250" s="53">
        <v>247</v>
      </c>
      <c r="BB250" s="54">
        <f t="shared" si="73"/>
        <v>0</v>
      </c>
      <c r="BC250" s="50">
        <f t="shared" si="74"/>
        <v>0</v>
      </c>
      <c r="BD250" s="55">
        <f t="shared" ref="BD250:BE263" si="76">BB250-COUNTA(H191)</f>
        <v>0</v>
      </c>
      <c r="BE250" s="55">
        <f t="shared" si="76"/>
        <v>0</v>
      </c>
    </row>
    <row r="251" spans="1:65">
      <c r="A251" s="6" t="s">
        <v>564</v>
      </c>
      <c r="B251" s="6" t="s">
        <v>565</v>
      </c>
      <c r="C251" s="6" t="s">
        <v>566</v>
      </c>
      <c r="D251" s="511" t="s">
        <v>360</v>
      </c>
      <c r="E251" s="512" t="s">
        <v>359</v>
      </c>
      <c r="F251" s="511" t="s">
        <v>567</v>
      </c>
      <c r="G251" s="462" t="s">
        <v>553</v>
      </c>
      <c r="H251" s="511" t="s">
        <v>568</v>
      </c>
      <c r="I251" s="511" t="s">
        <v>558</v>
      </c>
      <c r="J251" s="6" t="s">
        <v>569</v>
      </c>
      <c r="K251" s="8"/>
      <c r="L251" s="8"/>
      <c r="M251" s="8"/>
      <c r="N251" s="8"/>
      <c r="O251" s="8"/>
      <c r="P251" s="8"/>
      <c r="Q251" s="8"/>
      <c r="R251" s="8"/>
      <c r="S251" s="8"/>
      <c r="T251" s="8"/>
      <c r="U251" s="8"/>
      <c r="V251" s="8"/>
      <c r="W251" s="8"/>
      <c r="X251" s="8"/>
      <c r="Y251" s="8"/>
      <c r="Z251" s="8"/>
      <c r="AB251" s="1670"/>
      <c r="AC251" s="1670"/>
      <c r="AD251" s="1670"/>
      <c r="AE251" s="1670"/>
      <c r="AF251" s="1670"/>
      <c r="AG251" s="1670"/>
      <c r="AH251" s="1670"/>
      <c r="AI251" s="1670"/>
      <c r="AJ251" s="1670"/>
      <c r="AK251" s="1670"/>
      <c r="AL251" s="1670"/>
      <c r="AM251" s="1670"/>
      <c r="AN251" s="1670"/>
      <c r="AO251" s="1670"/>
      <c r="AP251" s="1670"/>
      <c r="AQ251" s="1670"/>
      <c r="AR251" s="1670"/>
      <c r="AS251" s="1670"/>
      <c r="AT251" s="1670"/>
      <c r="AU251" s="1670"/>
      <c r="AV251" s="1670"/>
      <c r="AW251" s="1670"/>
      <c r="AX251" s="1670"/>
      <c r="AY251" s="1670"/>
      <c r="AZ251" s="1670"/>
      <c r="BA251" s="53">
        <v>248</v>
      </c>
      <c r="BB251" s="54">
        <f t="shared" si="73"/>
        <v>0</v>
      </c>
      <c r="BC251" s="50">
        <f t="shared" si="74"/>
        <v>0</v>
      </c>
      <c r="BD251" s="55">
        <f t="shared" si="76"/>
        <v>0</v>
      </c>
      <c r="BE251" s="55">
        <f t="shared" si="76"/>
        <v>0</v>
      </c>
    </row>
    <row r="252" spans="1:65">
      <c r="A252" s="139" t="s">
        <v>327</v>
      </c>
      <c r="B252" s="467" t="s">
        <v>327</v>
      </c>
      <c r="C252" s="461" t="s">
        <v>361</v>
      </c>
      <c r="D252" t="s">
        <v>534</v>
      </c>
      <c r="E252" s="244"/>
      <c r="F252" s="244"/>
      <c r="I252" s="244"/>
      <c r="J252" s="244"/>
      <c r="K252" s="244"/>
      <c r="L252" s="244"/>
      <c r="M252" s="142"/>
      <c r="N252" s="142"/>
      <c r="O252" s="142"/>
      <c r="P252" s="142"/>
      <c r="Q252" s="142"/>
      <c r="R252" s="142"/>
      <c r="S252" s="142"/>
      <c r="T252" s="142"/>
      <c r="U252" s="142"/>
      <c r="V252" s="142"/>
      <c r="W252" s="142"/>
      <c r="X252" s="142"/>
      <c r="Y252" s="142"/>
      <c r="Z252" s="142"/>
      <c r="AB252" s="466"/>
      <c r="AC252" s="466"/>
      <c r="AD252" s="244"/>
      <c r="AE252" s="244"/>
      <c r="AF252" s="244"/>
      <c r="AG252" s="466"/>
      <c r="AH252" s="244"/>
      <c r="AI252" s="244"/>
      <c r="AJ252" s="244"/>
      <c r="AK252" s="244"/>
      <c r="AL252" s="244"/>
      <c r="AM252" s="142"/>
      <c r="AN252" s="142"/>
      <c r="AO252" s="142"/>
      <c r="AP252" s="142"/>
      <c r="AQ252" s="142"/>
      <c r="AR252" s="142"/>
      <c r="AS252" s="142"/>
      <c r="AT252" s="142"/>
      <c r="AU252" s="142"/>
      <c r="AV252" s="142"/>
      <c r="AW252" s="142"/>
      <c r="AX252" s="142"/>
      <c r="AY252" s="142"/>
      <c r="AZ252" s="142"/>
      <c r="BA252" s="53">
        <v>249</v>
      </c>
      <c r="BB252" s="54">
        <f t="shared" si="73"/>
        <v>0</v>
      </c>
      <c r="BC252" s="50">
        <f t="shared" si="74"/>
        <v>0</v>
      </c>
      <c r="BD252" s="55">
        <f t="shared" si="76"/>
        <v>0</v>
      </c>
      <c r="BE252" s="55">
        <f t="shared" si="76"/>
        <v>0</v>
      </c>
    </row>
    <row r="253" spans="1:65">
      <c r="A253" s="139" t="s">
        <v>328</v>
      </c>
      <c r="B253" s="139" t="s">
        <v>328</v>
      </c>
      <c r="BA253" s="53">
        <v>250</v>
      </c>
      <c r="BB253" s="54">
        <f t="shared" si="73"/>
        <v>0</v>
      </c>
      <c r="BC253" s="50">
        <f t="shared" si="74"/>
        <v>0</v>
      </c>
      <c r="BD253" s="55">
        <f t="shared" si="76"/>
        <v>0</v>
      </c>
      <c r="BE253" s="55">
        <f t="shared" si="76"/>
        <v>0</v>
      </c>
    </row>
    <row r="254" spans="1:65">
      <c r="A254" s="138" t="s">
        <v>329</v>
      </c>
      <c r="B254" s="138" t="s">
        <v>329</v>
      </c>
      <c r="BA254" s="53">
        <v>251</v>
      </c>
      <c r="BB254" s="54">
        <f t="shared" si="73"/>
        <v>0</v>
      </c>
      <c r="BC254" s="50">
        <f t="shared" si="74"/>
        <v>0</v>
      </c>
      <c r="BD254" s="55">
        <f t="shared" si="76"/>
        <v>0</v>
      </c>
      <c r="BE254" s="55">
        <f t="shared" si="76"/>
        <v>0</v>
      </c>
    </row>
    <row r="255" spans="1:65">
      <c r="A255" s="138" t="s">
        <v>330</v>
      </c>
      <c r="B255" s="138" t="s">
        <v>330</v>
      </c>
      <c r="I255" t="s">
        <v>532</v>
      </c>
      <c r="K255" s="1670" t="s">
        <v>359</v>
      </c>
      <c r="L255" s="1670"/>
      <c r="BA255" s="53">
        <v>252</v>
      </c>
      <c r="BB255" s="54">
        <f t="shared" si="73"/>
        <v>0</v>
      </c>
      <c r="BC255" s="50">
        <f t="shared" si="74"/>
        <v>0</v>
      </c>
      <c r="BD255" s="55">
        <f t="shared" si="76"/>
        <v>0</v>
      </c>
      <c r="BE255" s="55">
        <f t="shared" si="76"/>
        <v>0</v>
      </c>
    </row>
    <row r="256" spans="1:65">
      <c r="A256" s="138" t="s">
        <v>331</v>
      </c>
      <c r="B256" s="138" t="s">
        <v>331</v>
      </c>
      <c r="I256" t="s">
        <v>533</v>
      </c>
      <c r="K256" s="1670"/>
      <c r="L256" s="1670"/>
      <c r="BA256" s="53">
        <v>253</v>
      </c>
      <c r="BB256" s="54">
        <f t="shared" si="73"/>
        <v>0</v>
      </c>
      <c r="BC256" s="50">
        <f t="shared" si="74"/>
        <v>0</v>
      </c>
      <c r="BD256" s="55">
        <f t="shared" si="76"/>
        <v>0</v>
      </c>
      <c r="BE256" s="55">
        <f t="shared" si="76"/>
        <v>0</v>
      </c>
    </row>
    <row r="257" spans="1:57">
      <c r="A257" s="139" t="s">
        <v>335</v>
      </c>
      <c r="B257" s="139" t="s">
        <v>335</v>
      </c>
      <c r="BA257" s="53">
        <v>254</v>
      </c>
      <c r="BB257" s="54">
        <f t="shared" si="73"/>
        <v>0</v>
      </c>
      <c r="BC257" s="50">
        <f t="shared" si="74"/>
        <v>0</v>
      </c>
      <c r="BD257" s="55">
        <f t="shared" si="76"/>
        <v>0</v>
      </c>
      <c r="BE257" s="55">
        <f t="shared" si="76"/>
        <v>0</v>
      </c>
    </row>
    <row r="258" spans="1:57">
      <c r="A258" s="138" t="s">
        <v>336</v>
      </c>
      <c r="B258" s="138" t="s">
        <v>336</v>
      </c>
      <c r="BA258" s="53">
        <v>255</v>
      </c>
      <c r="BB258" s="54">
        <f t="shared" si="73"/>
        <v>0</v>
      </c>
      <c r="BC258" s="50">
        <f t="shared" si="74"/>
        <v>0</v>
      </c>
      <c r="BD258" s="55">
        <f t="shared" si="76"/>
        <v>0</v>
      </c>
      <c r="BE258" s="55">
        <f t="shared" si="76"/>
        <v>0</v>
      </c>
    </row>
    <row r="259" spans="1:57">
      <c r="A259" s="138" t="s">
        <v>337</v>
      </c>
      <c r="B259" s="138" t="s">
        <v>337</v>
      </c>
      <c r="BA259" s="53">
        <v>256</v>
      </c>
      <c r="BB259" s="54">
        <f t="shared" si="73"/>
        <v>0</v>
      </c>
      <c r="BC259" s="50">
        <f t="shared" si="74"/>
        <v>0</v>
      </c>
      <c r="BD259" s="55">
        <f t="shared" si="76"/>
        <v>0</v>
      </c>
      <c r="BE259" s="55">
        <f t="shared" si="76"/>
        <v>0</v>
      </c>
    </row>
    <row r="260" spans="1:57">
      <c r="A260" s="138" t="s">
        <v>338</v>
      </c>
      <c r="B260" s="138" t="s">
        <v>338</v>
      </c>
      <c r="BA260" s="53">
        <v>257</v>
      </c>
      <c r="BB260" s="54">
        <f t="shared" si="73"/>
        <v>0</v>
      </c>
      <c r="BC260" s="50">
        <f t="shared" si="74"/>
        <v>0</v>
      </c>
      <c r="BD260" s="55">
        <f t="shared" si="76"/>
        <v>0</v>
      </c>
      <c r="BE260" s="55">
        <f t="shared" si="76"/>
        <v>0</v>
      </c>
    </row>
    <row r="261" spans="1:57">
      <c r="A261" s="138" t="s">
        <v>339</v>
      </c>
      <c r="B261" s="138" t="s">
        <v>339</v>
      </c>
      <c r="BA261" s="53">
        <v>258</v>
      </c>
      <c r="BB261" s="54">
        <f t="shared" si="73"/>
        <v>0</v>
      </c>
      <c r="BC261" s="50">
        <f t="shared" si="74"/>
        <v>0</v>
      </c>
      <c r="BD261" s="55">
        <f t="shared" si="76"/>
        <v>0</v>
      </c>
      <c r="BE261" s="55">
        <f t="shared" si="76"/>
        <v>0</v>
      </c>
    </row>
    <row r="262" spans="1:57">
      <c r="A262" s="138" t="s">
        <v>340</v>
      </c>
      <c r="B262" s="138" t="s">
        <v>340</v>
      </c>
      <c r="BA262" s="53">
        <v>259</v>
      </c>
      <c r="BB262" s="54">
        <f t="shared" si="73"/>
        <v>0</v>
      </c>
      <c r="BC262" s="50">
        <f t="shared" si="74"/>
        <v>0</v>
      </c>
      <c r="BD262" s="55">
        <f t="shared" si="76"/>
        <v>0</v>
      </c>
      <c r="BE262" s="55">
        <f t="shared" si="76"/>
        <v>0</v>
      </c>
    </row>
    <row r="263" spans="1:57">
      <c r="A263" s="141" t="s">
        <v>341</v>
      </c>
      <c r="B263" s="141" t="s">
        <v>341</v>
      </c>
      <c r="BA263" s="53">
        <v>260</v>
      </c>
      <c r="BB263" s="54">
        <f t="shared" si="73"/>
        <v>0</v>
      </c>
      <c r="BC263" s="50">
        <f t="shared" si="74"/>
        <v>0</v>
      </c>
      <c r="BD263" s="55">
        <f t="shared" si="76"/>
        <v>0</v>
      </c>
      <c r="BE263" s="55">
        <f t="shared" si="76"/>
        <v>0</v>
      </c>
    </row>
    <row r="264" spans="1:57">
      <c r="A264" s="141" t="s">
        <v>342</v>
      </c>
      <c r="B264" s="141" t="s">
        <v>342</v>
      </c>
      <c r="BA264" s="53">
        <v>261</v>
      </c>
      <c r="BB264" s="54">
        <f>COUNTA(H218:I218)</f>
        <v>0</v>
      </c>
      <c r="BC264" s="50">
        <f>COUNTA(X218)</f>
        <v>0</v>
      </c>
      <c r="BD264" s="55">
        <f t="shared" ref="BD264:BE293" si="77">BB264-COUNTA(H218)</f>
        <v>0</v>
      </c>
      <c r="BE264" s="55">
        <f t="shared" si="77"/>
        <v>0</v>
      </c>
    </row>
    <row r="265" spans="1:57">
      <c r="A265" s="141" t="s">
        <v>343</v>
      </c>
      <c r="B265" s="141" t="s">
        <v>343</v>
      </c>
      <c r="BA265" s="53">
        <v>262</v>
      </c>
      <c r="BB265" s="54">
        <f t="shared" ref="BB265:BB293" si="78">COUNTA(H219:I219)</f>
        <v>0</v>
      </c>
      <c r="BC265" s="50">
        <f t="shared" ref="BC265:BC293" si="79">COUNTA(X219)</f>
        <v>0</v>
      </c>
      <c r="BD265" s="55">
        <f t="shared" si="77"/>
        <v>0</v>
      </c>
      <c r="BE265" s="55">
        <f t="shared" si="77"/>
        <v>0</v>
      </c>
    </row>
    <row r="266" spans="1:57">
      <c r="A266" s="141" t="s">
        <v>344</v>
      </c>
      <c r="B266" s="141" t="s">
        <v>344</v>
      </c>
      <c r="BA266" s="53">
        <v>263</v>
      </c>
      <c r="BB266" s="54">
        <f t="shared" si="78"/>
        <v>0</v>
      </c>
      <c r="BC266" s="50">
        <f t="shared" si="79"/>
        <v>0</v>
      </c>
      <c r="BD266" s="55">
        <f t="shared" si="77"/>
        <v>0</v>
      </c>
      <c r="BE266" s="55">
        <f t="shared" si="77"/>
        <v>0</v>
      </c>
    </row>
    <row r="267" spans="1:57">
      <c r="A267" s="141" t="s">
        <v>345</v>
      </c>
      <c r="B267" s="141" t="s">
        <v>345</v>
      </c>
      <c r="BA267" s="53">
        <v>264</v>
      </c>
      <c r="BB267" s="54">
        <f t="shared" si="78"/>
        <v>0</v>
      </c>
      <c r="BC267" s="50">
        <f t="shared" si="79"/>
        <v>0</v>
      </c>
      <c r="BD267" s="55">
        <f t="shared" si="77"/>
        <v>0</v>
      </c>
      <c r="BE267" s="55">
        <f t="shared" si="77"/>
        <v>0</v>
      </c>
    </row>
    <row r="268" spans="1:57">
      <c r="A268" s="141" t="s">
        <v>346</v>
      </c>
      <c r="B268" s="141" t="s">
        <v>346</v>
      </c>
      <c r="BA268" s="53">
        <v>265</v>
      </c>
      <c r="BB268" s="54">
        <f t="shared" si="78"/>
        <v>0</v>
      </c>
      <c r="BC268" s="50">
        <f t="shared" si="79"/>
        <v>0</v>
      </c>
      <c r="BD268" s="55">
        <f t="shared" si="77"/>
        <v>0</v>
      </c>
      <c r="BE268" s="55">
        <f t="shared" si="77"/>
        <v>0</v>
      </c>
    </row>
    <row r="269" spans="1:57">
      <c r="A269" s="141" t="s">
        <v>347</v>
      </c>
      <c r="B269" s="141" t="s">
        <v>347</v>
      </c>
      <c r="BA269" s="53">
        <v>266</v>
      </c>
      <c r="BB269" s="54">
        <f t="shared" si="78"/>
        <v>0</v>
      </c>
      <c r="BC269" s="50">
        <f t="shared" si="79"/>
        <v>0</v>
      </c>
      <c r="BD269" s="55">
        <f t="shared" si="77"/>
        <v>0</v>
      </c>
      <c r="BE269" s="55">
        <f t="shared" si="77"/>
        <v>0</v>
      </c>
    </row>
    <row r="270" spans="1:57">
      <c r="A270" s="141" t="s">
        <v>348</v>
      </c>
      <c r="B270" s="141" t="s">
        <v>348</v>
      </c>
      <c r="BA270" s="53">
        <v>267</v>
      </c>
      <c r="BB270" s="54">
        <f t="shared" si="78"/>
        <v>0</v>
      </c>
      <c r="BC270" s="50">
        <f t="shared" si="79"/>
        <v>0</v>
      </c>
      <c r="BD270" s="55">
        <f t="shared" si="77"/>
        <v>0</v>
      </c>
      <c r="BE270" s="55">
        <f t="shared" si="77"/>
        <v>0</v>
      </c>
    </row>
    <row r="271" spans="1:57">
      <c r="A271" s="141" t="s">
        <v>349</v>
      </c>
      <c r="B271" s="141" t="s">
        <v>349</v>
      </c>
      <c r="BA271" s="53">
        <v>268</v>
      </c>
      <c r="BB271" s="54">
        <f t="shared" si="78"/>
        <v>0</v>
      </c>
      <c r="BC271" s="50">
        <f t="shared" si="79"/>
        <v>0</v>
      </c>
      <c r="BD271" s="55">
        <f t="shared" si="77"/>
        <v>0</v>
      </c>
      <c r="BE271" s="55">
        <f t="shared" si="77"/>
        <v>0</v>
      </c>
    </row>
    <row r="272" spans="1:57">
      <c r="A272" s="141" t="s">
        <v>350</v>
      </c>
      <c r="B272" s="141" t="s">
        <v>350</v>
      </c>
      <c r="BA272" s="53">
        <v>269</v>
      </c>
      <c r="BB272" s="54">
        <f t="shared" si="78"/>
        <v>0</v>
      </c>
      <c r="BC272" s="50">
        <f t="shared" si="79"/>
        <v>0</v>
      </c>
      <c r="BD272" s="55">
        <f t="shared" si="77"/>
        <v>0</v>
      </c>
      <c r="BE272" s="55">
        <f t="shared" si="77"/>
        <v>0</v>
      </c>
    </row>
    <row r="273" spans="1:57">
      <c r="A273" s="141" t="s">
        <v>351</v>
      </c>
      <c r="B273" s="141" t="s">
        <v>351</v>
      </c>
      <c r="BA273" s="53">
        <v>270</v>
      </c>
      <c r="BB273" s="54">
        <f t="shared" si="78"/>
        <v>0</v>
      </c>
      <c r="BC273" s="50">
        <f t="shared" si="79"/>
        <v>0</v>
      </c>
      <c r="BD273" s="55">
        <f t="shared" si="77"/>
        <v>0</v>
      </c>
      <c r="BE273" s="55">
        <f t="shared" si="77"/>
        <v>0</v>
      </c>
    </row>
    <row r="274" spans="1:57">
      <c r="A274" s="141" t="s">
        <v>352</v>
      </c>
      <c r="B274" s="141" t="s">
        <v>352</v>
      </c>
      <c r="BA274" s="53">
        <v>271</v>
      </c>
      <c r="BB274" s="54">
        <f t="shared" si="78"/>
        <v>0</v>
      </c>
      <c r="BC274" s="50">
        <f t="shared" si="79"/>
        <v>0</v>
      </c>
      <c r="BD274" s="55">
        <f t="shared" si="77"/>
        <v>0</v>
      </c>
      <c r="BE274" s="55">
        <f t="shared" si="77"/>
        <v>0</v>
      </c>
    </row>
    <row r="275" spans="1:57">
      <c r="A275" s="141" t="s">
        <v>353</v>
      </c>
      <c r="B275" s="141" t="s">
        <v>353</v>
      </c>
      <c r="BA275" s="53">
        <v>272</v>
      </c>
      <c r="BB275" s="54">
        <f t="shared" si="78"/>
        <v>0</v>
      </c>
      <c r="BC275" s="50">
        <f t="shared" si="79"/>
        <v>0</v>
      </c>
      <c r="BD275" s="55">
        <f t="shared" si="77"/>
        <v>0</v>
      </c>
      <c r="BE275" s="55">
        <f t="shared" si="77"/>
        <v>0</v>
      </c>
    </row>
    <row r="276" spans="1:57">
      <c r="A276" s="141" t="s">
        <v>366</v>
      </c>
      <c r="B276" s="141" t="s">
        <v>366</v>
      </c>
      <c r="BA276" s="53">
        <v>273</v>
      </c>
      <c r="BB276" s="54">
        <f t="shared" si="78"/>
        <v>0</v>
      </c>
      <c r="BC276" s="50">
        <f t="shared" si="79"/>
        <v>0</v>
      </c>
      <c r="BD276" s="55">
        <f t="shared" si="77"/>
        <v>0</v>
      </c>
      <c r="BE276" s="55">
        <f t="shared" si="77"/>
        <v>0</v>
      </c>
    </row>
    <row r="277" spans="1:57">
      <c r="BA277" s="53">
        <v>274</v>
      </c>
      <c r="BB277" s="54">
        <f t="shared" si="78"/>
        <v>0</v>
      </c>
      <c r="BC277" s="50">
        <f t="shared" si="79"/>
        <v>0</v>
      </c>
      <c r="BD277" s="55">
        <f t="shared" si="77"/>
        <v>0</v>
      </c>
      <c r="BE277" s="55">
        <f t="shared" si="77"/>
        <v>0</v>
      </c>
    </row>
    <row r="278" spans="1:57">
      <c r="BA278" s="53">
        <v>275</v>
      </c>
      <c r="BB278" s="54">
        <f t="shared" si="78"/>
        <v>0</v>
      </c>
      <c r="BC278" s="50">
        <f t="shared" si="79"/>
        <v>0</v>
      </c>
      <c r="BD278" s="55">
        <f t="shared" si="77"/>
        <v>0</v>
      </c>
      <c r="BE278" s="55">
        <f t="shared" si="77"/>
        <v>0</v>
      </c>
    </row>
    <row r="279" spans="1:57">
      <c r="BA279" s="53">
        <v>276</v>
      </c>
      <c r="BB279" s="54">
        <f t="shared" si="78"/>
        <v>0</v>
      </c>
      <c r="BC279" s="50">
        <f t="shared" si="79"/>
        <v>0</v>
      </c>
      <c r="BD279" s="55">
        <f t="shared" si="77"/>
        <v>0</v>
      </c>
      <c r="BE279" s="55">
        <f t="shared" si="77"/>
        <v>0</v>
      </c>
    </row>
    <row r="280" spans="1:57">
      <c r="BA280" s="53">
        <v>277</v>
      </c>
      <c r="BB280" s="54">
        <f t="shared" si="78"/>
        <v>0</v>
      </c>
      <c r="BC280" s="50">
        <f t="shared" si="79"/>
        <v>0</v>
      </c>
      <c r="BD280" s="55">
        <f t="shared" si="77"/>
        <v>0</v>
      </c>
      <c r="BE280" s="55">
        <f t="shared" si="77"/>
        <v>0</v>
      </c>
    </row>
    <row r="281" spans="1:57">
      <c r="BA281" s="53">
        <v>278</v>
      </c>
      <c r="BB281" s="54">
        <f t="shared" si="78"/>
        <v>0</v>
      </c>
      <c r="BC281" s="50">
        <f t="shared" si="79"/>
        <v>0</v>
      </c>
      <c r="BD281" s="55">
        <f t="shared" si="77"/>
        <v>0</v>
      </c>
      <c r="BE281" s="55">
        <f t="shared" si="77"/>
        <v>0</v>
      </c>
    </row>
    <row r="282" spans="1:57">
      <c r="BA282" s="53">
        <v>279</v>
      </c>
      <c r="BB282" s="54">
        <f t="shared" si="78"/>
        <v>0</v>
      </c>
      <c r="BC282" s="50">
        <f t="shared" si="79"/>
        <v>0</v>
      </c>
      <c r="BD282" s="55">
        <f t="shared" si="77"/>
        <v>0</v>
      </c>
      <c r="BE282" s="55">
        <f t="shared" si="77"/>
        <v>0</v>
      </c>
    </row>
    <row r="283" spans="1:57">
      <c r="BA283" s="53">
        <v>280</v>
      </c>
      <c r="BB283" s="54">
        <f t="shared" si="78"/>
        <v>0</v>
      </c>
      <c r="BC283" s="50">
        <f t="shared" si="79"/>
        <v>0</v>
      </c>
      <c r="BD283" s="55">
        <f t="shared" si="77"/>
        <v>0</v>
      </c>
      <c r="BE283" s="55">
        <f t="shared" si="77"/>
        <v>0</v>
      </c>
    </row>
    <row r="284" spans="1:57">
      <c r="BA284" s="53">
        <v>281</v>
      </c>
      <c r="BB284" s="54">
        <f t="shared" si="78"/>
        <v>0</v>
      </c>
      <c r="BC284" s="50">
        <f t="shared" si="79"/>
        <v>0</v>
      </c>
      <c r="BD284" s="55">
        <f t="shared" si="77"/>
        <v>0</v>
      </c>
      <c r="BE284" s="55">
        <f t="shared" si="77"/>
        <v>0</v>
      </c>
    </row>
    <row r="285" spans="1:57">
      <c r="BA285" s="53">
        <v>282</v>
      </c>
      <c r="BB285" s="54">
        <f t="shared" si="78"/>
        <v>0</v>
      </c>
      <c r="BC285" s="50">
        <f t="shared" si="79"/>
        <v>0</v>
      </c>
      <c r="BD285" s="55">
        <f t="shared" si="77"/>
        <v>0</v>
      </c>
      <c r="BE285" s="55">
        <f t="shared" si="77"/>
        <v>0</v>
      </c>
    </row>
    <row r="286" spans="1:57">
      <c r="BA286" s="53">
        <v>283</v>
      </c>
      <c r="BB286" s="54">
        <f t="shared" si="78"/>
        <v>0</v>
      </c>
      <c r="BC286" s="50">
        <f t="shared" si="79"/>
        <v>0</v>
      </c>
      <c r="BD286" s="55">
        <f t="shared" si="77"/>
        <v>0</v>
      </c>
      <c r="BE286" s="55">
        <f t="shared" si="77"/>
        <v>0</v>
      </c>
    </row>
    <row r="287" spans="1:57">
      <c r="BA287" s="53">
        <v>284</v>
      </c>
      <c r="BB287" s="54">
        <f t="shared" si="78"/>
        <v>0</v>
      </c>
      <c r="BC287" s="50">
        <f t="shared" si="79"/>
        <v>0</v>
      </c>
      <c r="BD287" s="55">
        <f t="shared" si="77"/>
        <v>0</v>
      </c>
      <c r="BE287" s="55">
        <f t="shared" si="77"/>
        <v>0</v>
      </c>
    </row>
    <row r="288" spans="1:57">
      <c r="BA288" s="53">
        <v>285</v>
      </c>
      <c r="BB288" s="54">
        <f t="shared" si="78"/>
        <v>0</v>
      </c>
      <c r="BC288" s="50">
        <f t="shared" si="79"/>
        <v>0</v>
      </c>
      <c r="BD288" s="55">
        <f t="shared" si="77"/>
        <v>0</v>
      </c>
      <c r="BE288" s="55">
        <f t="shared" si="77"/>
        <v>0</v>
      </c>
    </row>
    <row r="289" spans="53:57">
      <c r="BA289" s="53">
        <v>286</v>
      </c>
      <c r="BB289" s="54">
        <f t="shared" si="78"/>
        <v>0</v>
      </c>
      <c r="BC289" s="50">
        <f t="shared" si="79"/>
        <v>0</v>
      </c>
      <c r="BD289" s="55">
        <f t="shared" si="77"/>
        <v>0</v>
      </c>
      <c r="BE289" s="55">
        <f t="shared" si="77"/>
        <v>0</v>
      </c>
    </row>
    <row r="290" spans="53:57">
      <c r="BA290" s="53">
        <v>287</v>
      </c>
      <c r="BB290" s="54">
        <f t="shared" si="78"/>
        <v>0</v>
      </c>
      <c r="BC290" s="50">
        <f t="shared" si="79"/>
        <v>0</v>
      </c>
      <c r="BD290" s="55">
        <f t="shared" si="77"/>
        <v>0</v>
      </c>
      <c r="BE290" s="55">
        <f t="shared" si="77"/>
        <v>0</v>
      </c>
    </row>
    <row r="291" spans="53:57">
      <c r="BA291" s="53">
        <v>288</v>
      </c>
      <c r="BB291" s="54">
        <f t="shared" si="78"/>
        <v>0</v>
      </c>
      <c r="BC291" s="50">
        <f t="shared" si="79"/>
        <v>0</v>
      </c>
      <c r="BD291" s="55">
        <f t="shared" si="77"/>
        <v>0</v>
      </c>
      <c r="BE291" s="55">
        <f t="shared" si="77"/>
        <v>0</v>
      </c>
    </row>
    <row r="292" spans="53:57">
      <c r="BA292" s="53">
        <v>289</v>
      </c>
      <c r="BB292" s="54">
        <f t="shared" si="78"/>
        <v>0</v>
      </c>
      <c r="BC292" s="50">
        <f t="shared" si="79"/>
        <v>0</v>
      </c>
      <c r="BD292" s="55">
        <f t="shared" si="77"/>
        <v>0</v>
      </c>
      <c r="BE292" s="55">
        <f t="shared" si="77"/>
        <v>0</v>
      </c>
    </row>
    <row r="293" spans="53:57">
      <c r="BA293" s="53">
        <v>290</v>
      </c>
      <c r="BB293" s="54">
        <f t="shared" si="78"/>
        <v>0</v>
      </c>
      <c r="BC293" s="50">
        <f t="shared" si="79"/>
        <v>0</v>
      </c>
      <c r="BD293" s="55">
        <f t="shared" si="77"/>
        <v>0</v>
      </c>
      <c r="BE293" s="55">
        <f t="shared" si="77"/>
        <v>0</v>
      </c>
    </row>
    <row r="294" spans="53:57">
      <c r="BA294" s="53">
        <v>291</v>
      </c>
      <c r="BB294" s="54">
        <f>COUNTA(H218:I218)</f>
        <v>0</v>
      </c>
      <c r="BC294" s="50">
        <f>COUNTA(X218)</f>
        <v>0</v>
      </c>
      <c r="BD294" s="55">
        <f t="shared" ref="BD294:BE323" si="80">BB294-COUNTA(H218)</f>
        <v>0</v>
      </c>
      <c r="BE294" s="55">
        <f t="shared" si="80"/>
        <v>0</v>
      </c>
    </row>
    <row r="295" spans="53:57">
      <c r="BA295" s="53">
        <v>292</v>
      </c>
      <c r="BB295" s="54">
        <f t="shared" ref="BB295:BB323" si="81">COUNTA(H219:I219)</f>
        <v>0</v>
      </c>
      <c r="BC295" s="50">
        <f t="shared" ref="BC295:BC323" si="82">COUNTA(X219)</f>
        <v>0</v>
      </c>
      <c r="BD295" s="55">
        <f t="shared" si="80"/>
        <v>0</v>
      </c>
      <c r="BE295" s="55">
        <f t="shared" si="80"/>
        <v>0</v>
      </c>
    </row>
    <row r="296" spans="53:57">
      <c r="BA296" s="53">
        <v>293</v>
      </c>
      <c r="BB296" s="54">
        <f t="shared" si="81"/>
        <v>0</v>
      </c>
      <c r="BC296" s="50">
        <f t="shared" si="82"/>
        <v>0</v>
      </c>
      <c r="BD296" s="55">
        <f t="shared" si="80"/>
        <v>0</v>
      </c>
      <c r="BE296" s="55">
        <f t="shared" si="80"/>
        <v>0</v>
      </c>
    </row>
    <row r="297" spans="53:57">
      <c r="BA297" s="53">
        <v>294</v>
      </c>
      <c r="BB297" s="54">
        <f t="shared" si="81"/>
        <v>0</v>
      </c>
      <c r="BC297" s="50">
        <f t="shared" si="82"/>
        <v>0</v>
      </c>
      <c r="BD297" s="55">
        <f t="shared" si="80"/>
        <v>0</v>
      </c>
      <c r="BE297" s="55">
        <f t="shared" si="80"/>
        <v>0</v>
      </c>
    </row>
    <row r="298" spans="53:57">
      <c r="BA298" s="53">
        <v>295</v>
      </c>
      <c r="BB298" s="54">
        <f t="shared" si="81"/>
        <v>0</v>
      </c>
      <c r="BC298" s="50">
        <f t="shared" si="82"/>
        <v>0</v>
      </c>
      <c r="BD298" s="55">
        <f t="shared" si="80"/>
        <v>0</v>
      </c>
      <c r="BE298" s="55">
        <f t="shared" si="80"/>
        <v>0</v>
      </c>
    </row>
    <row r="299" spans="53:57">
      <c r="BA299" s="53">
        <v>296</v>
      </c>
      <c r="BB299" s="54">
        <f t="shared" si="81"/>
        <v>0</v>
      </c>
      <c r="BC299" s="50">
        <f t="shared" si="82"/>
        <v>0</v>
      </c>
      <c r="BD299" s="55">
        <f t="shared" si="80"/>
        <v>0</v>
      </c>
      <c r="BE299" s="55">
        <f t="shared" si="80"/>
        <v>0</v>
      </c>
    </row>
    <row r="300" spans="53:57">
      <c r="BA300" s="53">
        <v>297</v>
      </c>
      <c r="BB300" s="54">
        <f t="shared" si="81"/>
        <v>0</v>
      </c>
      <c r="BC300" s="50">
        <f t="shared" si="82"/>
        <v>0</v>
      </c>
      <c r="BD300" s="55">
        <f t="shared" si="80"/>
        <v>0</v>
      </c>
      <c r="BE300" s="55">
        <f t="shared" si="80"/>
        <v>0</v>
      </c>
    </row>
    <row r="301" spans="53:57">
      <c r="BA301" s="53">
        <v>298</v>
      </c>
      <c r="BB301" s="54">
        <f t="shared" si="81"/>
        <v>0</v>
      </c>
      <c r="BC301" s="50">
        <f t="shared" si="82"/>
        <v>0</v>
      </c>
      <c r="BD301" s="55">
        <f t="shared" si="80"/>
        <v>0</v>
      </c>
      <c r="BE301" s="55">
        <f t="shared" si="80"/>
        <v>0</v>
      </c>
    </row>
    <row r="302" spans="53:57">
      <c r="BA302" s="53">
        <v>299</v>
      </c>
      <c r="BB302" s="54">
        <f t="shared" si="81"/>
        <v>0</v>
      </c>
      <c r="BC302" s="50">
        <f t="shared" si="82"/>
        <v>0</v>
      </c>
      <c r="BD302" s="55">
        <f t="shared" si="80"/>
        <v>0</v>
      </c>
      <c r="BE302" s="55">
        <f t="shared" si="80"/>
        <v>0</v>
      </c>
    </row>
    <row r="303" spans="53:57">
      <c r="BA303" s="53">
        <v>300</v>
      </c>
      <c r="BB303" s="54">
        <f t="shared" si="81"/>
        <v>0</v>
      </c>
      <c r="BC303" s="50">
        <f t="shared" si="82"/>
        <v>0</v>
      </c>
      <c r="BD303" s="55">
        <f t="shared" si="80"/>
        <v>0</v>
      </c>
      <c r="BE303" s="55">
        <f t="shared" si="80"/>
        <v>0</v>
      </c>
    </row>
    <row r="304" spans="53:57">
      <c r="BA304" s="53">
        <v>301</v>
      </c>
      <c r="BB304" s="54">
        <f t="shared" si="81"/>
        <v>0</v>
      </c>
      <c r="BC304" s="50">
        <f t="shared" si="82"/>
        <v>0</v>
      </c>
      <c r="BD304" s="55">
        <f t="shared" si="80"/>
        <v>0</v>
      </c>
      <c r="BE304" s="55">
        <f t="shared" si="80"/>
        <v>0</v>
      </c>
    </row>
    <row r="305" spans="53:57">
      <c r="BA305" s="53">
        <v>302</v>
      </c>
      <c r="BB305" s="54">
        <f t="shared" si="81"/>
        <v>0</v>
      </c>
      <c r="BC305" s="50">
        <f t="shared" si="82"/>
        <v>0</v>
      </c>
      <c r="BD305" s="55">
        <f t="shared" si="80"/>
        <v>0</v>
      </c>
      <c r="BE305" s="55">
        <f t="shared" si="80"/>
        <v>0</v>
      </c>
    </row>
    <row r="306" spans="53:57">
      <c r="BA306" s="53">
        <v>303</v>
      </c>
      <c r="BB306" s="54">
        <f t="shared" si="81"/>
        <v>0</v>
      </c>
      <c r="BC306" s="50">
        <f t="shared" si="82"/>
        <v>0</v>
      </c>
      <c r="BD306" s="55">
        <f t="shared" si="80"/>
        <v>0</v>
      </c>
      <c r="BE306" s="55">
        <f t="shared" si="80"/>
        <v>0</v>
      </c>
    </row>
    <row r="307" spans="53:57">
      <c r="BA307" s="53">
        <v>304</v>
      </c>
      <c r="BB307" s="54">
        <f t="shared" si="81"/>
        <v>0</v>
      </c>
      <c r="BC307" s="50">
        <f t="shared" si="82"/>
        <v>0</v>
      </c>
      <c r="BD307" s="55">
        <f t="shared" si="80"/>
        <v>0</v>
      </c>
      <c r="BE307" s="55">
        <f t="shared" si="80"/>
        <v>0</v>
      </c>
    </row>
    <row r="308" spans="53:57">
      <c r="BA308" s="53">
        <v>305</v>
      </c>
      <c r="BB308" s="54">
        <f t="shared" si="81"/>
        <v>0</v>
      </c>
      <c r="BC308" s="50">
        <f t="shared" si="82"/>
        <v>0</v>
      </c>
      <c r="BD308" s="55">
        <f t="shared" si="80"/>
        <v>0</v>
      </c>
      <c r="BE308" s="55">
        <f t="shared" si="80"/>
        <v>0</v>
      </c>
    </row>
    <row r="309" spans="53:57">
      <c r="BA309" s="53">
        <v>306</v>
      </c>
      <c r="BB309" s="54">
        <f t="shared" si="81"/>
        <v>0</v>
      </c>
      <c r="BC309" s="50">
        <f t="shared" si="82"/>
        <v>0</v>
      </c>
      <c r="BD309" s="55">
        <f t="shared" si="80"/>
        <v>0</v>
      </c>
      <c r="BE309" s="55">
        <f t="shared" si="80"/>
        <v>0</v>
      </c>
    </row>
    <row r="310" spans="53:57">
      <c r="BA310" s="53">
        <v>307</v>
      </c>
      <c r="BB310" s="54">
        <f t="shared" si="81"/>
        <v>0</v>
      </c>
      <c r="BC310" s="50">
        <f t="shared" si="82"/>
        <v>0</v>
      </c>
      <c r="BD310" s="55">
        <f t="shared" si="80"/>
        <v>0</v>
      </c>
      <c r="BE310" s="55">
        <f t="shared" si="80"/>
        <v>0</v>
      </c>
    </row>
    <row r="311" spans="53:57">
      <c r="BA311" s="53">
        <v>308</v>
      </c>
      <c r="BB311" s="54">
        <f t="shared" si="81"/>
        <v>0</v>
      </c>
      <c r="BC311" s="50">
        <f t="shared" si="82"/>
        <v>0</v>
      </c>
      <c r="BD311" s="55">
        <f t="shared" si="80"/>
        <v>0</v>
      </c>
      <c r="BE311" s="55">
        <f t="shared" si="80"/>
        <v>0</v>
      </c>
    </row>
    <row r="312" spans="53:57">
      <c r="BA312" s="53">
        <v>309</v>
      </c>
      <c r="BB312" s="54">
        <f t="shared" si="81"/>
        <v>0</v>
      </c>
      <c r="BC312" s="50">
        <f t="shared" si="82"/>
        <v>0</v>
      </c>
      <c r="BD312" s="55">
        <f t="shared" si="80"/>
        <v>0</v>
      </c>
      <c r="BE312" s="55">
        <f t="shared" si="80"/>
        <v>0</v>
      </c>
    </row>
    <row r="313" spans="53:57">
      <c r="BA313" s="53">
        <v>310</v>
      </c>
      <c r="BB313" s="54">
        <f t="shared" si="81"/>
        <v>0</v>
      </c>
      <c r="BC313" s="50">
        <f t="shared" si="82"/>
        <v>0</v>
      </c>
      <c r="BD313" s="55">
        <f t="shared" si="80"/>
        <v>0</v>
      </c>
      <c r="BE313" s="55">
        <f t="shared" si="80"/>
        <v>0</v>
      </c>
    </row>
    <row r="314" spans="53:57">
      <c r="BA314" s="53">
        <v>311</v>
      </c>
      <c r="BB314" s="54">
        <f t="shared" si="81"/>
        <v>0</v>
      </c>
      <c r="BC314" s="50">
        <f t="shared" si="82"/>
        <v>0</v>
      </c>
      <c r="BD314" s="55">
        <f t="shared" si="80"/>
        <v>0</v>
      </c>
      <c r="BE314" s="55">
        <f t="shared" si="80"/>
        <v>0</v>
      </c>
    </row>
    <row r="315" spans="53:57">
      <c r="BA315" s="53">
        <v>312</v>
      </c>
      <c r="BB315" s="54">
        <f t="shared" si="81"/>
        <v>0</v>
      </c>
      <c r="BC315" s="50">
        <f t="shared" si="82"/>
        <v>0</v>
      </c>
      <c r="BD315" s="55">
        <f t="shared" si="80"/>
        <v>0</v>
      </c>
      <c r="BE315" s="55">
        <f t="shared" si="80"/>
        <v>0</v>
      </c>
    </row>
    <row r="316" spans="53:57">
      <c r="BA316" s="53">
        <v>313</v>
      </c>
      <c r="BB316" s="54">
        <f t="shared" si="81"/>
        <v>0</v>
      </c>
      <c r="BC316" s="50">
        <f t="shared" si="82"/>
        <v>0</v>
      </c>
      <c r="BD316" s="55">
        <f t="shared" si="80"/>
        <v>0</v>
      </c>
      <c r="BE316" s="55">
        <f t="shared" si="80"/>
        <v>0</v>
      </c>
    </row>
    <row r="317" spans="53:57">
      <c r="BA317" s="53">
        <v>314</v>
      </c>
      <c r="BB317" s="54">
        <f t="shared" si="81"/>
        <v>0</v>
      </c>
      <c r="BC317" s="50">
        <f t="shared" si="82"/>
        <v>0</v>
      </c>
      <c r="BD317" s="55">
        <f t="shared" si="80"/>
        <v>0</v>
      </c>
      <c r="BE317" s="55">
        <f t="shared" si="80"/>
        <v>0</v>
      </c>
    </row>
    <row r="318" spans="53:57">
      <c r="BA318" s="53">
        <v>315</v>
      </c>
      <c r="BB318" s="54">
        <f t="shared" si="81"/>
        <v>0</v>
      </c>
      <c r="BC318" s="50">
        <f t="shared" si="82"/>
        <v>0</v>
      </c>
      <c r="BD318" s="55">
        <f t="shared" si="80"/>
        <v>0</v>
      </c>
      <c r="BE318" s="55">
        <f t="shared" si="80"/>
        <v>0</v>
      </c>
    </row>
    <row r="319" spans="53:57">
      <c r="BA319" s="53">
        <v>316</v>
      </c>
      <c r="BB319" s="54">
        <f t="shared" si="81"/>
        <v>0</v>
      </c>
      <c r="BC319" s="50">
        <f t="shared" si="82"/>
        <v>0</v>
      </c>
      <c r="BD319" s="55">
        <f t="shared" si="80"/>
        <v>0</v>
      </c>
      <c r="BE319" s="55">
        <f t="shared" si="80"/>
        <v>0</v>
      </c>
    </row>
    <row r="320" spans="53:57">
      <c r="BA320" s="53">
        <v>317</v>
      </c>
      <c r="BB320" s="54">
        <f t="shared" si="81"/>
        <v>0</v>
      </c>
      <c r="BC320" s="50">
        <f t="shared" si="82"/>
        <v>0</v>
      </c>
      <c r="BD320" s="55">
        <f t="shared" si="80"/>
        <v>0</v>
      </c>
      <c r="BE320" s="55">
        <f t="shared" si="80"/>
        <v>0</v>
      </c>
    </row>
    <row r="321" spans="53:57">
      <c r="BA321" s="53">
        <v>318</v>
      </c>
      <c r="BB321" s="54">
        <f t="shared" si="81"/>
        <v>0</v>
      </c>
      <c r="BC321" s="50">
        <f t="shared" si="82"/>
        <v>0</v>
      </c>
      <c r="BD321" s="55">
        <f t="shared" si="80"/>
        <v>0</v>
      </c>
      <c r="BE321" s="55">
        <f t="shared" si="80"/>
        <v>0</v>
      </c>
    </row>
    <row r="322" spans="53:57">
      <c r="BA322" s="53">
        <v>319</v>
      </c>
      <c r="BB322" s="54">
        <f t="shared" si="81"/>
        <v>0</v>
      </c>
      <c r="BC322" s="50">
        <f t="shared" si="82"/>
        <v>0</v>
      </c>
      <c r="BD322" s="55">
        <f t="shared" si="80"/>
        <v>0</v>
      </c>
      <c r="BE322" s="55">
        <f t="shared" si="80"/>
        <v>0</v>
      </c>
    </row>
    <row r="323" spans="53:57">
      <c r="BA323" s="53">
        <v>320</v>
      </c>
      <c r="BB323" s="54">
        <f t="shared" si="81"/>
        <v>0</v>
      </c>
      <c r="BC323" s="50">
        <f t="shared" si="82"/>
        <v>0</v>
      </c>
      <c r="BD323" s="55">
        <f t="shared" si="80"/>
        <v>0</v>
      </c>
      <c r="BE323" s="55">
        <f t="shared" si="80"/>
        <v>0</v>
      </c>
    </row>
    <row r="324" spans="53:57">
      <c r="BA324" s="50"/>
      <c r="BB324" s="50"/>
      <c r="BC324" s="50"/>
      <c r="BD324" s="50"/>
      <c r="BE324" s="50"/>
    </row>
  </sheetData>
  <sheetProtection algorithmName="SHA-512" hashValue="Nf2Bblb/0HvT+6x5otgKeRg47zRo0SVMWY+TDdPuVO/eMq3DOQVvYA2t5EB3EVlqFiQ3tTfV5CfZKSQKktzF/Q==" saltValue="D7VacPMHj5l1UaeA10/hVg==" spinCount="100000" sheet="1" selectLockedCells="1"/>
  <dataConsolidate/>
  <mergeCells count="837">
    <mergeCell ref="AB32:AD32"/>
    <mergeCell ref="AB33:AD33"/>
    <mergeCell ref="AH32:AJ32"/>
    <mergeCell ref="AK32:AM32"/>
    <mergeCell ref="AB30:AC30"/>
    <mergeCell ref="AD30:AE30"/>
    <mergeCell ref="AF30:AG30"/>
    <mergeCell ref="AH30:AI30"/>
    <mergeCell ref="AJ30:AK30"/>
    <mergeCell ref="AL30:AM30"/>
    <mergeCell ref="AR30:AS30"/>
    <mergeCell ref="AT30:AU30"/>
    <mergeCell ref="AP30:AQ30"/>
    <mergeCell ref="AB29:AC29"/>
    <mergeCell ref="AD29:AE29"/>
    <mergeCell ref="AF29:AG29"/>
    <mergeCell ref="AH29:AI29"/>
    <mergeCell ref="AJ29:AK29"/>
    <mergeCell ref="AL29:AM29"/>
    <mergeCell ref="AN29:AO29"/>
    <mergeCell ref="AR29:AS29"/>
    <mergeCell ref="AT29:AU29"/>
    <mergeCell ref="AP29:AQ29"/>
    <mergeCell ref="AB251:AZ251"/>
    <mergeCell ref="K255:L255"/>
    <mergeCell ref="K256:L256"/>
    <mergeCell ref="BN7:BO7"/>
    <mergeCell ref="BN8:BO8"/>
    <mergeCell ref="U5:V5"/>
    <mergeCell ref="AI5:AI6"/>
    <mergeCell ref="U6:V6"/>
    <mergeCell ref="W6:X6"/>
    <mergeCell ref="AE5:AE6"/>
    <mergeCell ref="BN9:BO9"/>
    <mergeCell ref="BN10:BO10"/>
    <mergeCell ref="AO16:AT16"/>
    <mergeCell ref="AB14:AG14"/>
    <mergeCell ref="O14:T14"/>
    <mergeCell ref="AO14:AT14"/>
    <mergeCell ref="AO15:AT15"/>
    <mergeCell ref="AB15:AG15"/>
    <mergeCell ref="AO19:AT19"/>
    <mergeCell ref="AN8:AN12"/>
    <mergeCell ref="AO8:AT12"/>
    <mergeCell ref="AA28:AU28"/>
    <mergeCell ref="AA29:AA30"/>
    <mergeCell ref="AN30:AO30"/>
    <mergeCell ref="AR5:AR6"/>
    <mergeCell ref="AS5:AS6"/>
    <mergeCell ref="AN5:AN6"/>
    <mergeCell ref="AF5:AF6"/>
    <mergeCell ref="A1:Z1"/>
    <mergeCell ref="AA1:AZ1"/>
    <mergeCell ref="W2:X2"/>
    <mergeCell ref="Y2:Z2"/>
    <mergeCell ref="AO5:AO6"/>
    <mergeCell ref="AP5:AP6"/>
    <mergeCell ref="AQ5:AQ6"/>
    <mergeCell ref="AJ5:AJ6"/>
    <mergeCell ref="AL5:AL6"/>
    <mergeCell ref="AM5:AM6"/>
    <mergeCell ref="AT5:AT6"/>
    <mergeCell ref="AU5:AV5"/>
    <mergeCell ref="AU6:AV6"/>
    <mergeCell ref="AW6:AX6"/>
    <mergeCell ref="AW2:AX2"/>
    <mergeCell ref="AY2:AZ2"/>
    <mergeCell ref="A4:B4"/>
    <mergeCell ref="AA4:AB4"/>
    <mergeCell ref="AC4:AT4"/>
    <mergeCell ref="M5:M6"/>
    <mergeCell ref="B13:G13"/>
    <mergeCell ref="B14:G14"/>
    <mergeCell ref="B16:G16"/>
    <mergeCell ref="C5:L6"/>
    <mergeCell ref="N5:T6"/>
    <mergeCell ref="AK5:AK6"/>
    <mergeCell ref="AA5:AB6"/>
    <mergeCell ref="AC5:AD6"/>
    <mergeCell ref="AH5:AH6"/>
    <mergeCell ref="AG5:AG6"/>
    <mergeCell ref="A8:A12"/>
    <mergeCell ref="B8:G12"/>
    <mergeCell ref="H8:I9"/>
    <mergeCell ref="AH8:AI9"/>
    <mergeCell ref="W10:W12"/>
    <mergeCell ref="O8:T12"/>
    <mergeCell ref="U8:V9"/>
    <mergeCell ref="N8:N12"/>
    <mergeCell ref="AA8:AA12"/>
    <mergeCell ref="AB8:AG12"/>
    <mergeCell ref="W8:Z9"/>
    <mergeCell ref="X10:Z12"/>
    <mergeCell ref="AH10:AH12"/>
    <mergeCell ref="AI10:AI12"/>
    <mergeCell ref="U10:U12"/>
    <mergeCell ref="V10:V12"/>
    <mergeCell ref="H10:H12"/>
    <mergeCell ref="J8:M9"/>
    <mergeCell ref="K10:M12"/>
    <mergeCell ref="AO21:AT21"/>
    <mergeCell ref="AB21:AG21"/>
    <mergeCell ref="AO13:AT13"/>
    <mergeCell ref="O13:T13"/>
    <mergeCell ref="AB13:AG13"/>
    <mergeCell ref="I10:I12"/>
    <mergeCell ref="J10:J12"/>
    <mergeCell ref="AB22:AG22"/>
    <mergeCell ref="AO22:AT22"/>
    <mergeCell ref="O21:T21"/>
    <mergeCell ref="O17:T17"/>
    <mergeCell ref="O15:T15"/>
    <mergeCell ref="O18:T18"/>
    <mergeCell ref="AB18:AG18"/>
    <mergeCell ref="AO18:AT18"/>
    <mergeCell ref="O20:T20"/>
    <mergeCell ref="AB20:AG20"/>
    <mergeCell ref="AO20:AT20"/>
    <mergeCell ref="AB19:AG19"/>
    <mergeCell ref="AO17:AT17"/>
    <mergeCell ref="O16:T16"/>
    <mergeCell ref="AB16:AG16"/>
    <mergeCell ref="AJ10:AJ12"/>
    <mergeCell ref="O19:T19"/>
    <mergeCell ref="Q32:S32"/>
    <mergeCell ref="R29:S29"/>
    <mergeCell ref="R30:S30"/>
    <mergeCell ref="T29:U29"/>
    <mergeCell ref="T30:U30"/>
    <mergeCell ref="B30:C30"/>
    <mergeCell ref="D30:E30"/>
    <mergeCell ref="F30:G30"/>
    <mergeCell ref="A26:M27"/>
    <mergeCell ref="P30:Q30"/>
    <mergeCell ref="H29:I29"/>
    <mergeCell ref="J29:K29"/>
    <mergeCell ref="T32:V32"/>
    <mergeCell ref="B32:D32"/>
    <mergeCell ref="K32:M32"/>
    <mergeCell ref="N32:P32"/>
    <mergeCell ref="B21:G21"/>
    <mergeCell ref="B17:G17"/>
    <mergeCell ref="B15:G15"/>
    <mergeCell ref="B18:G18"/>
    <mergeCell ref="B20:G20"/>
    <mergeCell ref="B29:C29"/>
    <mergeCell ref="D29:E29"/>
    <mergeCell ref="F29:G29"/>
    <mergeCell ref="B22:G22"/>
    <mergeCell ref="A28:U28"/>
    <mergeCell ref="L29:M29"/>
    <mergeCell ref="N29:O29"/>
    <mergeCell ref="O22:T22"/>
    <mergeCell ref="A24:M25"/>
    <mergeCell ref="B19:G19"/>
    <mergeCell ref="M38:M39"/>
    <mergeCell ref="O70:T70"/>
    <mergeCell ref="B69:G69"/>
    <mergeCell ref="O155:T155"/>
    <mergeCell ref="O245:T245"/>
    <mergeCell ref="O244:T244"/>
    <mergeCell ref="B243:G243"/>
    <mergeCell ref="O243:T243"/>
    <mergeCell ref="K241:M241"/>
    <mergeCell ref="N38:N39"/>
    <mergeCell ref="Q38:Q39"/>
    <mergeCell ref="R38:R39"/>
    <mergeCell ref="S38:S39"/>
    <mergeCell ref="F81:F82"/>
    <mergeCell ref="H43:H45"/>
    <mergeCell ref="B66:G66"/>
    <mergeCell ref="B46:G46"/>
    <mergeCell ref="B52:G52"/>
    <mergeCell ref="B47:G47"/>
    <mergeCell ref="B51:G51"/>
    <mergeCell ref="B48:G48"/>
    <mergeCell ref="B49:G49"/>
    <mergeCell ref="B50:G50"/>
    <mergeCell ref="B73:G73"/>
    <mergeCell ref="E38:E39"/>
    <mergeCell ref="F38:F39"/>
    <mergeCell ref="G38:G39"/>
    <mergeCell ref="H38:H39"/>
    <mergeCell ref="C38:D39"/>
    <mergeCell ref="B247:G247"/>
    <mergeCell ref="O247:T247"/>
    <mergeCell ref="B246:G246"/>
    <mergeCell ref="O246:T246"/>
    <mergeCell ref="B245:G245"/>
    <mergeCell ref="B244:G244"/>
    <mergeCell ref="P38:P39"/>
    <mergeCell ref="I43:I45"/>
    <mergeCell ref="J41:M42"/>
    <mergeCell ref="K43:M45"/>
    <mergeCell ref="J43:J45"/>
    <mergeCell ref="B70:G70"/>
    <mergeCell ref="B67:G67"/>
    <mergeCell ref="B68:G68"/>
    <mergeCell ref="O67:T67"/>
    <mergeCell ref="O68:T68"/>
    <mergeCell ref="O69:T69"/>
    <mergeCell ref="O65:T65"/>
    <mergeCell ref="O63:T63"/>
    <mergeCell ref="B33:D33"/>
    <mergeCell ref="A41:A45"/>
    <mergeCell ref="I38:I39"/>
    <mergeCell ref="B41:G45"/>
    <mergeCell ref="A29:A30"/>
    <mergeCell ref="P29:Q29"/>
    <mergeCell ref="H30:I30"/>
    <mergeCell ref="J30:K30"/>
    <mergeCell ref="L30:M30"/>
    <mergeCell ref="N30:O30"/>
    <mergeCell ref="A34:Z34"/>
    <mergeCell ref="A37:B37"/>
    <mergeCell ref="E33:G33"/>
    <mergeCell ref="A38:B39"/>
    <mergeCell ref="H41:I42"/>
    <mergeCell ref="K38:K39"/>
    <mergeCell ref="L38:L39"/>
    <mergeCell ref="U39:V39"/>
    <mergeCell ref="U41:V42"/>
    <mergeCell ref="O41:T45"/>
    <mergeCell ref="E32:G32"/>
    <mergeCell ref="H32:J32"/>
    <mergeCell ref="J38:J39"/>
    <mergeCell ref="V43:V45"/>
    <mergeCell ref="AA34:AZ37"/>
    <mergeCell ref="AE33:AG33"/>
    <mergeCell ref="AH33:AJ33"/>
    <mergeCell ref="AK33:AM33"/>
    <mergeCell ref="AN33:AP33"/>
    <mergeCell ref="A32:A33"/>
    <mergeCell ref="H33:J33"/>
    <mergeCell ref="K33:M33"/>
    <mergeCell ref="N33:P33"/>
    <mergeCell ref="C37:T37"/>
    <mergeCell ref="W32:Y32"/>
    <mergeCell ref="Q33:S33"/>
    <mergeCell ref="T33:V33"/>
    <mergeCell ref="W33:Y33"/>
    <mergeCell ref="AQ32:AS32"/>
    <mergeCell ref="AT32:AV32"/>
    <mergeCell ref="AW32:AY32"/>
    <mergeCell ref="AQ33:AS33"/>
    <mergeCell ref="AT33:AV33"/>
    <mergeCell ref="Y35:Z35"/>
    <mergeCell ref="AW33:AY33"/>
    <mergeCell ref="AN32:AP32"/>
    <mergeCell ref="AE32:AG32"/>
    <mergeCell ref="AA32:AA33"/>
    <mergeCell ref="W35:X35"/>
    <mergeCell ref="U43:U45"/>
    <mergeCell ref="O46:T46"/>
    <mergeCell ref="O55:T55"/>
    <mergeCell ref="W39:X39"/>
    <mergeCell ref="U38:V38"/>
    <mergeCell ref="O52:T52"/>
    <mergeCell ref="T38:T39"/>
    <mergeCell ref="O38:O39"/>
    <mergeCell ref="O53:T53"/>
    <mergeCell ref="O51:T51"/>
    <mergeCell ref="O49:T49"/>
    <mergeCell ref="O50:T50"/>
    <mergeCell ref="O47:T47"/>
    <mergeCell ref="O48:T48"/>
    <mergeCell ref="B57:G57"/>
    <mergeCell ref="O57:T57"/>
    <mergeCell ref="B54:G54"/>
    <mergeCell ref="O54:T54"/>
    <mergeCell ref="B55:G55"/>
    <mergeCell ref="O66:T66"/>
    <mergeCell ref="B65:G65"/>
    <mergeCell ref="B62:G62"/>
    <mergeCell ref="O62:T62"/>
    <mergeCell ref="B63:G63"/>
    <mergeCell ref="U84:V85"/>
    <mergeCell ref="N84:N88"/>
    <mergeCell ref="O84:T88"/>
    <mergeCell ref="U86:U88"/>
    <mergeCell ref="V86:V88"/>
    <mergeCell ref="K81:K82"/>
    <mergeCell ref="P81:P82"/>
    <mergeCell ref="U81:V81"/>
    <mergeCell ref="B71:G71"/>
    <mergeCell ref="B72:G72"/>
    <mergeCell ref="B74:G74"/>
    <mergeCell ref="O73:T73"/>
    <mergeCell ref="O90:T90"/>
    <mergeCell ref="B90:G90"/>
    <mergeCell ref="B89:G89"/>
    <mergeCell ref="J86:J88"/>
    <mergeCell ref="A81:B82"/>
    <mergeCell ref="E81:E82"/>
    <mergeCell ref="I81:I82"/>
    <mergeCell ref="S81:S82"/>
    <mergeCell ref="T81:T82"/>
    <mergeCell ref="A84:A88"/>
    <mergeCell ref="B84:G88"/>
    <mergeCell ref="H84:I85"/>
    <mergeCell ref="H86:H88"/>
    <mergeCell ref="I86:I88"/>
    <mergeCell ref="Q81:Q82"/>
    <mergeCell ref="R81:R82"/>
    <mergeCell ref="J84:M85"/>
    <mergeCell ref="K86:M88"/>
    <mergeCell ref="X245:Z245"/>
    <mergeCell ref="X246:Z246"/>
    <mergeCell ref="K200:M200"/>
    <mergeCell ref="K203:M203"/>
    <mergeCell ref="B204:G204"/>
    <mergeCell ref="B91:G91"/>
    <mergeCell ref="O91:T91"/>
    <mergeCell ref="B102:G102"/>
    <mergeCell ref="O102:T102"/>
    <mergeCell ref="B103:G103"/>
    <mergeCell ref="O103:T103"/>
    <mergeCell ref="B115:G115"/>
    <mergeCell ref="O115:T115"/>
    <mergeCell ref="B113:G113"/>
    <mergeCell ref="B114:G114"/>
    <mergeCell ref="B94:G94"/>
    <mergeCell ref="O94:T94"/>
    <mergeCell ref="O113:T113"/>
    <mergeCell ref="O114:T114"/>
    <mergeCell ref="B112:G112"/>
    <mergeCell ref="O112:T112"/>
    <mergeCell ref="B110:G110"/>
    <mergeCell ref="O110:T110"/>
    <mergeCell ref="B98:G98"/>
    <mergeCell ref="B106:G106"/>
    <mergeCell ref="O106:T106"/>
    <mergeCell ref="B107:G107"/>
    <mergeCell ref="O107:T107"/>
    <mergeCell ref="B111:G111"/>
    <mergeCell ref="X247:Z247"/>
    <mergeCell ref="U172:U174"/>
    <mergeCell ref="O197:T197"/>
    <mergeCell ref="B198:G198"/>
    <mergeCell ref="O198:T198"/>
    <mergeCell ref="B197:G197"/>
    <mergeCell ref="B175:G175"/>
    <mergeCell ref="B199:G199"/>
    <mergeCell ref="O199:T199"/>
    <mergeCell ref="B200:G200"/>
    <mergeCell ref="O200:T200"/>
    <mergeCell ref="O202:T202"/>
    <mergeCell ref="B203:G203"/>
    <mergeCell ref="K245:M245"/>
    <mergeCell ref="K246:M246"/>
    <mergeCell ref="K247:M247"/>
    <mergeCell ref="X238:Z238"/>
    <mergeCell ref="X239:Z239"/>
    <mergeCell ref="X240:Z240"/>
    <mergeCell ref="B93:G93"/>
    <mergeCell ref="O93:T93"/>
    <mergeCell ref="B104:G104"/>
    <mergeCell ref="O104:T104"/>
    <mergeCell ref="B105:G105"/>
    <mergeCell ref="O105:T105"/>
    <mergeCell ref="B100:G100"/>
    <mergeCell ref="O100:T100"/>
    <mergeCell ref="B101:G101"/>
    <mergeCell ref="O101:T101"/>
    <mergeCell ref="O98:T98"/>
    <mergeCell ref="B99:G99"/>
    <mergeCell ref="O99:T99"/>
    <mergeCell ref="B96:G96"/>
    <mergeCell ref="O96:T96"/>
    <mergeCell ref="B127:G131"/>
    <mergeCell ref="H127:I128"/>
    <mergeCell ref="J127:M128"/>
    <mergeCell ref="O142:T142"/>
    <mergeCell ref="B147:G147"/>
    <mergeCell ref="J124:J125"/>
    <mergeCell ref="K124:K125"/>
    <mergeCell ref="B132:G132"/>
    <mergeCell ref="O132:T132"/>
    <mergeCell ref="O127:T131"/>
    <mergeCell ref="B138:G138"/>
    <mergeCell ref="O138:T138"/>
    <mergeCell ref="O147:T147"/>
    <mergeCell ref="B135:G135"/>
    <mergeCell ref="O135:T135"/>
    <mergeCell ref="B136:G136"/>
    <mergeCell ref="O136:T136"/>
    <mergeCell ref="B137:G137"/>
    <mergeCell ref="B238:G238"/>
    <mergeCell ref="O238:T238"/>
    <mergeCell ref="R210:R211"/>
    <mergeCell ref="O210:O211"/>
    <mergeCell ref="N210:N211"/>
    <mergeCell ref="N213:N217"/>
    <mergeCell ref="B225:G225"/>
    <mergeCell ref="O225:T225"/>
    <mergeCell ref="K204:M204"/>
    <mergeCell ref="H215:H217"/>
    <mergeCell ref="K237:M237"/>
    <mergeCell ref="B233:G233"/>
    <mergeCell ref="O233:T233"/>
    <mergeCell ref="B234:G234"/>
    <mergeCell ref="O234:T234"/>
    <mergeCell ref="B231:G231"/>
    <mergeCell ref="B227:G227"/>
    <mergeCell ref="O227:T227"/>
    <mergeCell ref="B228:G228"/>
    <mergeCell ref="O228:T228"/>
    <mergeCell ref="K227:M227"/>
    <mergeCell ref="O230:T230"/>
    <mergeCell ref="K229:M229"/>
    <mergeCell ref="B221:G221"/>
    <mergeCell ref="K243:M243"/>
    <mergeCell ref="K244:M244"/>
    <mergeCell ref="B241:G241"/>
    <mergeCell ref="O241:T241"/>
    <mergeCell ref="B242:G242"/>
    <mergeCell ref="O242:T242"/>
    <mergeCell ref="H124:H125"/>
    <mergeCell ref="J129:J131"/>
    <mergeCell ref="N127:N131"/>
    <mergeCell ref="T124:T125"/>
    <mergeCell ref="H129:H131"/>
    <mergeCell ref="I129:I131"/>
    <mergeCell ref="B139:G139"/>
    <mergeCell ref="O139:T139"/>
    <mergeCell ref="R124:R125"/>
    <mergeCell ref="S124:S125"/>
    <mergeCell ref="L124:L125"/>
    <mergeCell ref="M124:M125"/>
    <mergeCell ref="N124:N125"/>
    <mergeCell ref="B133:G133"/>
    <mergeCell ref="O133:T133"/>
    <mergeCell ref="B134:G134"/>
    <mergeCell ref="O134:T134"/>
    <mergeCell ref="P124:P125"/>
    <mergeCell ref="K242:M242"/>
    <mergeCell ref="B118:G118"/>
    <mergeCell ref="B108:G108"/>
    <mergeCell ref="O108:T108"/>
    <mergeCell ref="B109:G109"/>
    <mergeCell ref="O109:T109"/>
    <mergeCell ref="B117:G117"/>
    <mergeCell ref="B116:G116"/>
    <mergeCell ref="O116:T116"/>
    <mergeCell ref="A120:Z120"/>
    <mergeCell ref="A123:B123"/>
    <mergeCell ref="C123:T123"/>
    <mergeCell ref="A124:B125"/>
    <mergeCell ref="C124:D125"/>
    <mergeCell ref="U124:V124"/>
    <mergeCell ref="U125:V125"/>
    <mergeCell ref="O117:T117"/>
    <mergeCell ref="W121:X121"/>
    <mergeCell ref="I124:I125"/>
    <mergeCell ref="E124:E125"/>
    <mergeCell ref="G124:G125"/>
    <mergeCell ref="B141:G141"/>
    <mergeCell ref="O141:T141"/>
    <mergeCell ref="B142:G142"/>
    <mergeCell ref="B184:G184"/>
    <mergeCell ref="B179:G179"/>
    <mergeCell ref="O179:T179"/>
    <mergeCell ref="B180:G180"/>
    <mergeCell ref="O180:T180"/>
    <mergeCell ref="K177:M177"/>
    <mergeCell ref="C167:D168"/>
    <mergeCell ref="O140:T140"/>
    <mergeCell ref="B154:G154"/>
    <mergeCell ref="O154:T154"/>
    <mergeCell ref="B155:G155"/>
    <mergeCell ref="A166:B166"/>
    <mergeCell ref="C166:T166"/>
    <mergeCell ref="A170:A174"/>
    <mergeCell ref="B170:G174"/>
    <mergeCell ref="H170:I171"/>
    <mergeCell ref="F167:F168"/>
    <mergeCell ref="T167:T168"/>
    <mergeCell ref="R167:R168"/>
    <mergeCell ref="G167:G168"/>
    <mergeCell ref="Q167:Q168"/>
    <mergeCell ref="I167:I168"/>
    <mergeCell ref="J167:J168"/>
    <mergeCell ref="B146:G146"/>
    <mergeCell ref="B194:G194"/>
    <mergeCell ref="O194:T194"/>
    <mergeCell ref="B191:G191"/>
    <mergeCell ref="O191:T191"/>
    <mergeCell ref="B192:G192"/>
    <mergeCell ref="O192:T192"/>
    <mergeCell ref="B188:G188"/>
    <mergeCell ref="O188:T188"/>
    <mergeCell ref="B185:G185"/>
    <mergeCell ref="O185:T185"/>
    <mergeCell ref="B186:G186"/>
    <mergeCell ref="B189:G189"/>
    <mergeCell ref="O189:T189"/>
    <mergeCell ref="K187:M187"/>
    <mergeCell ref="B190:G190"/>
    <mergeCell ref="O190:T190"/>
    <mergeCell ref="O186:T186"/>
    <mergeCell ref="B187:G187"/>
    <mergeCell ref="O187:T187"/>
    <mergeCell ref="K192:M192"/>
    <mergeCell ref="K193:M193"/>
    <mergeCell ref="K189:M189"/>
    <mergeCell ref="K190:M190"/>
    <mergeCell ref="K191:M191"/>
    <mergeCell ref="O204:T204"/>
    <mergeCell ref="H213:I214"/>
    <mergeCell ref="X195:Z195"/>
    <mergeCell ref="X196:Z196"/>
    <mergeCell ref="X197:Z197"/>
    <mergeCell ref="B195:G195"/>
    <mergeCell ref="B196:G196"/>
    <mergeCell ref="O196:T196"/>
    <mergeCell ref="B202:G202"/>
    <mergeCell ref="B201:G201"/>
    <mergeCell ref="O201:T201"/>
    <mergeCell ref="O195:T195"/>
    <mergeCell ref="X201:Z201"/>
    <mergeCell ref="X198:Z198"/>
    <mergeCell ref="K199:M199"/>
    <mergeCell ref="K195:M195"/>
    <mergeCell ref="K196:M196"/>
    <mergeCell ref="K202:M202"/>
    <mergeCell ref="A210:B211"/>
    <mergeCell ref="B193:G193"/>
    <mergeCell ref="O193:T193"/>
    <mergeCell ref="O56:T56"/>
    <mergeCell ref="W207:X207"/>
    <mergeCell ref="Y207:Z207"/>
    <mergeCell ref="X199:Z199"/>
    <mergeCell ref="W215:W217"/>
    <mergeCell ref="K201:M201"/>
    <mergeCell ref="J210:J211"/>
    <mergeCell ref="K210:K211"/>
    <mergeCell ref="T210:T211"/>
    <mergeCell ref="L210:L211"/>
    <mergeCell ref="O203:T203"/>
    <mergeCell ref="J215:J217"/>
    <mergeCell ref="U213:V214"/>
    <mergeCell ref="K215:M217"/>
    <mergeCell ref="M210:M211"/>
    <mergeCell ref="P210:P211"/>
    <mergeCell ref="X202:Z202"/>
    <mergeCell ref="J213:M214"/>
    <mergeCell ref="V215:V217"/>
    <mergeCell ref="C209:T209"/>
    <mergeCell ref="C210:D211"/>
    <mergeCell ref="X200:Z200"/>
    <mergeCell ref="C4:T4"/>
    <mergeCell ref="A5:B6"/>
    <mergeCell ref="C81:D82"/>
    <mergeCell ref="J81:J82"/>
    <mergeCell ref="N81:N82"/>
    <mergeCell ref="B64:G64"/>
    <mergeCell ref="O64:T64"/>
    <mergeCell ref="B60:G60"/>
    <mergeCell ref="O60:T60"/>
    <mergeCell ref="B61:G61"/>
    <mergeCell ref="O61:T61"/>
    <mergeCell ref="B58:G58"/>
    <mergeCell ref="O58:T58"/>
    <mergeCell ref="C80:T80"/>
    <mergeCell ref="B59:G59"/>
    <mergeCell ref="O59:T59"/>
    <mergeCell ref="B56:G56"/>
    <mergeCell ref="O74:T74"/>
    <mergeCell ref="L81:L82"/>
    <mergeCell ref="M81:M82"/>
    <mergeCell ref="G81:G82"/>
    <mergeCell ref="O75:T75"/>
    <mergeCell ref="B53:G53"/>
    <mergeCell ref="N41:N45"/>
    <mergeCell ref="X194:Z194"/>
    <mergeCell ref="K194:M194"/>
    <mergeCell ref="B240:G240"/>
    <mergeCell ref="O240:T240"/>
    <mergeCell ref="K236:M236"/>
    <mergeCell ref="K235:M235"/>
    <mergeCell ref="K239:M239"/>
    <mergeCell ref="K238:M238"/>
    <mergeCell ref="K129:M131"/>
    <mergeCell ref="K197:M197"/>
    <mergeCell ref="K198:M198"/>
    <mergeCell ref="O149:T149"/>
    <mergeCell ref="K183:M183"/>
    <mergeCell ref="K184:M184"/>
    <mergeCell ref="B237:G237"/>
    <mergeCell ref="O237:T237"/>
    <mergeCell ref="B235:G235"/>
    <mergeCell ref="O235:T235"/>
    <mergeCell ref="B236:G236"/>
    <mergeCell ref="K240:M240"/>
    <mergeCell ref="B239:G239"/>
    <mergeCell ref="K228:M228"/>
    <mergeCell ref="O222:T222"/>
    <mergeCell ref="O239:T239"/>
    <mergeCell ref="K233:M233"/>
    <mergeCell ref="A206:Z206"/>
    <mergeCell ref="A209:B209"/>
    <mergeCell ref="K220:M220"/>
    <mergeCell ref="F210:F211"/>
    <mergeCell ref="G210:G211"/>
    <mergeCell ref="H210:H211"/>
    <mergeCell ref="E210:E211"/>
    <mergeCell ref="I210:I211"/>
    <mergeCell ref="I215:I217"/>
    <mergeCell ref="B219:G219"/>
    <mergeCell ref="B220:G220"/>
    <mergeCell ref="O220:T220"/>
    <mergeCell ref="U215:U217"/>
    <mergeCell ref="B218:G218"/>
    <mergeCell ref="K218:M218"/>
    <mergeCell ref="K219:M219"/>
    <mergeCell ref="K221:M221"/>
    <mergeCell ref="B213:G217"/>
    <mergeCell ref="X228:Z228"/>
    <mergeCell ref="X229:Z229"/>
    <mergeCell ref="S210:S211"/>
    <mergeCell ref="B232:G232"/>
    <mergeCell ref="O232:T232"/>
    <mergeCell ref="K231:M231"/>
    <mergeCell ref="K230:M230"/>
    <mergeCell ref="O224:T224"/>
    <mergeCell ref="K226:M226"/>
    <mergeCell ref="A213:A217"/>
    <mergeCell ref="A212:Z212"/>
    <mergeCell ref="W168:X168"/>
    <mergeCell ref="O184:T184"/>
    <mergeCell ref="W211:X211"/>
    <mergeCell ref="X220:Z220"/>
    <mergeCell ref="X221:Z221"/>
    <mergeCell ref="U210:V210"/>
    <mergeCell ref="O226:T226"/>
    <mergeCell ref="O223:T223"/>
    <mergeCell ref="Q210:Q211"/>
    <mergeCell ref="O218:T218"/>
    <mergeCell ref="O213:T217"/>
    <mergeCell ref="U211:V211"/>
    <mergeCell ref="O219:T219"/>
    <mergeCell ref="X190:Z190"/>
    <mergeCell ref="X191:Z191"/>
    <mergeCell ref="X192:Z192"/>
    <mergeCell ref="B229:G229"/>
    <mergeCell ref="O229:T229"/>
    <mergeCell ref="B230:G230"/>
    <mergeCell ref="X222:Z222"/>
    <mergeCell ref="X223:Z223"/>
    <mergeCell ref="X224:Z224"/>
    <mergeCell ref="X225:Z225"/>
    <mergeCell ref="X226:Z226"/>
    <mergeCell ref="B226:G226"/>
    <mergeCell ref="B223:G223"/>
    <mergeCell ref="B224:G224"/>
    <mergeCell ref="K224:M224"/>
    <mergeCell ref="K225:M225"/>
    <mergeCell ref="K222:M222"/>
    <mergeCell ref="K223:M223"/>
    <mergeCell ref="B222:G222"/>
    <mergeCell ref="X129:Z131"/>
    <mergeCell ref="O151:T151"/>
    <mergeCell ref="A127:A131"/>
    <mergeCell ref="W127:Z128"/>
    <mergeCell ref="O160:T160"/>
    <mergeCell ref="U127:V128"/>
    <mergeCell ref="O152:T152"/>
    <mergeCell ref="W172:W174"/>
    <mergeCell ref="B149:G149"/>
    <mergeCell ref="U129:U131"/>
    <mergeCell ref="B150:G150"/>
    <mergeCell ref="V129:V131"/>
    <mergeCell ref="O137:T137"/>
    <mergeCell ref="O146:T146"/>
    <mergeCell ref="B143:G143"/>
    <mergeCell ref="O143:T143"/>
    <mergeCell ref="B144:G144"/>
    <mergeCell ref="B145:G145"/>
    <mergeCell ref="O145:T145"/>
    <mergeCell ref="O144:T144"/>
    <mergeCell ref="B140:G140"/>
    <mergeCell ref="B148:G148"/>
    <mergeCell ref="O148:T148"/>
    <mergeCell ref="B151:G151"/>
    <mergeCell ref="W78:X78"/>
    <mergeCell ref="Y78:Z78"/>
    <mergeCell ref="O81:O82"/>
    <mergeCell ref="O71:T71"/>
    <mergeCell ref="O72:T72"/>
    <mergeCell ref="O118:T118"/>
    <mergeCell ref="W125:X125"/>
    <mergeCell ref="O89:T89"/>
    <mergeCell ref="O111:T111"/>
    <mergeCell ref="A77:Z77"/>
    <mergeCell ref="A80:B80"/>
    <mergeCell ref="U82:V82"/>
    <mergeCell ref="H81:H82"/>
    <mergeCell ref="B75:G75"/>
    <mergeCell ref="F124:F125"/>
    <mergeCell ref="Q124:Q125"/>
    <mergeCell ref="O124:O125"/>
    <mergeCell ref="B97:G97"/>
    <mergeCell ref="O97:T97"/>
    <mergeCell ref="Y121:Z121"/>
    <mergeCell ref="B95:G95"/>
    <mergeCell ref="O95:T95"/>
    <mergeCell ref="B92:G92"/>
    <mergeCell ref="O92:T92"/>
    <mergeCell ref="K188:M188"/>
    <mergeCell ref="X187:Z187"/>
    <mergeCell ref="X188:Z188"/>
    <mergeCell ref="O157:T157"/>
    <mergeCell ref="O150:T150"/>
    <mergeCell ref="O181:T181"/>
    <mergeCell ref="O182:T182"/>
    <mergeCell ref="O175:T175"/>
    <mergeCell ref="N170:N174"/>
    <mergeCell ref="K178:M178"/>
    <mergeCell ref="K179:M179"/>
    <mergeCell ref="K176:M176"/>
    <mergeCell ref="S167:S168"/>
    <mergeCell ref="N167:N168"/>
    <mergeCell ref="O167:O168"/>
    <mergeCell ref="O161:T161"/>
    <mergeCell ref="O177:T177"/>
    <mergeCell ref="P167:P168"/>
    <mergeCell ref="O178:T178"/>
    <mergeCell ref="J170:M171"/>
    <mergeCell ref="K172:M174"/>
    <mergeCell ref="K175:M175"/>
    <mergeCell ref="X177:Z177"/>
    <mergeCell ref="O183:T183"/>
    <mergeCell ref="B178:G178"/>
    <mergeCell ref="E167:E168"/>
    <mergeCell ref="B159:G159"/>
    <mergeCell ref="B158:G158"/>
    <mergeCell ref="B156:G156"/>
    <mergeCell ref="B153:G153"/>
    <mergeCell ref="B183:G183"/>
    <mergeCell ref="V172:V174"/>
    <mergeCell ref="U167:V167"/>
    <mergeCell ref="W170:Z171"/>
    <mergeCell ref="H167:H168"/>
    <mergeCell ref="M167:M168"/>
    <mergeCell ref="U168:V168"/>
    <mergeCell ref="B182:G182"/>
    <mergeCell ref="B181:G181"/>
    <mergeCell ref="B152:G152"/>
    <mergeCell ref="B157:G157"/>
    <mergeCell ref="O159:T159"/>
    <mergeCell ref="O156:T156"/>
    <mergeCell ref="O158:T158"/>
    <mergeCell ref="O153:T153"/>
    <mergeCell ref="O170:T174"/>
    <mergeCell ref="B176:G176"/>
    <mergeCell ref="O176:T176"/>
    <mergeCell ref="K167:K168"/>
    <mergeCell ref="L167:L168"/>
    <mergeCell ref="H172:H174"/>
    <mergeCell ref="I172:I174"/>
    <mergeCell ref="J172:J174"/>
    <mergeCell ref="A167:B168"/>
    <mergeCell ref="B160:G160"/>
    <mergeCell ref="B161:G161"/>
    <mergeCell ref="B177:G177"/>
    <mergeCell ref="X244:Z244"/>
    <mergeCell ref="X230:Z230"/>
    <mergeCell ref="X231:Z231"/>
    <mergeCell ref="X232:Z232"/>
    <mergeCell ref="X233:Z233"/>
    <mergeCell ref="K180:M180"/>
    <mergeCell ref="K181:M181"/>
    <mergeCell ref="K182:M182"/>
    <mergeCell ref="K185:M185"/>
    <mergeCell ref="K186:M186"/>
    <mergeCell ref="X185:Z185"/>
    <mergeCell ref="X186:Z186"/>
    <mergeCell ref="X243:Z243"/>
    <mergeCell ref="X184:Z184"/>
    <mergeCell ref="K234:M234"/>
    <mergeCell ref="K232:M232"/>
    <mergeCell ref="O231:T231"/>
    <mergeCell ref="X234:Z234"/>
    <mergeCell ref="X235:Z235"/>
    <mergeCell ref="X236:Z236"/>
    <mergeCell ref="X237:Z237"/>
    <mergeCell ref="O236:T236"/>
    <mergeCell ref="X193:Z193"/>
    <mergeCell ref="O221:T221"/>
    <mergeCell ref="CN10:CP10"/>
    <mergeCell ref="CM1:CP1"/>
    <mergeCell ref="AJ8:AM9"/>
    <mergeCell ref="AK10:AM12"/>
    <mergeCell ref="AW8:AZ9"/>
    <mergeCell ref="AX10:AZ12"/>
    <mergeCell ref="X203:Z203"/>
    <mergeCell ref="X204:Z204"/>
    <mergeCell ref="X178:Z178"/>
    <mergeCell ref="X182:Z182"/>
    <mergeCell ref="X183:Z183"/>
    <mergeCell ref="X180:Z180"/>
    <mergeCell ref="X181:Z181"/>
    <mergeCell ref="BN6:BO6"/>
    <mergeCell ref="X189:Z189"/>
    <mergeCell ref="W164:X164"/>
    <mergeCell ref="Y164:Z164"/>
    <mergeCell ref="X175:Z175"/>
    <mergeCell ref="X176:Z176"/>
    <mergeCell ref="X172:Z174"/>
    <mergeCell ref="X179:Z179"/>
    <mergeCell ref="BF63:BN63"/>
    <mergeCell ref="A163:Z163"/>
    <mergeCell ref="U170:V171"/>
    <mergeCell ref="W82:X82"/>
    <mergeCell ref="W84:Z85"/>
    <mergeCell ref="X86:Z88"/>
    <mergeCell ref="X241:Z241"/>
    <mergeCell ref="X242:Z242"/>
    <mergeCell ref="CH1:CK1"/>
    <mergeCell ref="W213:Z214"/>
    <mergeCell ref="X215:Z217"/>
    <mergeCell ref="X218:Z218"/>
    <mergeCell ref="X219:Z219"/>
    <mergeCell ref="X227:Z227"/>
    <mergeCell ref="W129:W131"/>
    <mergeCell ref="AA24:AM25"/>
    <mergeCell ref="AA26:AM27"/>
    <mergeCell ref="W86:W88"/>
    <mergeCell ref="AA38:AZ50"/>
    <mergeCell ref="W41:Z42"/>
    <mergeCell ref="X43:Z45"/>
    <mergeCell ref="W43:W45"/>
    <mergeCell ref="AU10:AU12"/>
    <mergeCell ref="AV10:AV12"/>
    <mergeCell ref="AW10:AW12"/>
    <mergeCell ref="AB17:AG17"/>
    <mergeCell ref="AU8:AV9"/>
  </mergeCells>
  <phoneticPr fontId="7"/>
  <conditionalFormatting sqref="C4:T4 W5 C5:D6 N5:N6 Y5:Y6 B13:M22 O13:Z22 C37:C38 F38 H38 K38 N38 P38 S38 W38 Y38 B46:M75 O46:Z75 C80:T80 W81 C81:D82 F81:F82 H81:H82 K81:K82 N81:N82 P81:P82 S81:S82 Y81:Y82 B89:M118 O89:Z118 C123:T123 W124 C124:D125 F124:F125 H124:H125 K124:K125 N124:N125 P124:P125 S124:S125 Y124:Y125 B132:M161 O132:Z161 Y3922">
    <cfRule type="containsBlanks" dxfId="66" priority="1">
      <formula>LEN(TRIM(B4))=0</formula>
    </cfRule>
  </conditionalFormatting>
  <dataValidations count="12">
    <dataValidation type="list" allowBlank="1" showInputMessage="1" showErrorMessage="1" sqref="I218:I247 V218:V247 I175:I204 V175:V204 AV13:AV22 AI14:AI15 AI21:AI22 AI17:AI18" xr:uid="{00000000-0002-0000-0600-000001000000}">
      <formula1>$AA$13:$AA$14</formula1>
    </dataValidation>
    <dataValidation type="list" allowBlank="1" showInputMessage="1" showErrorMessage="1" sqref="H218:H247 AH14:AH22 H175:H204 U175:U204 U218:U247 AU13:AU22" xr:uid="{00000000-0002-0000-0600-000002000000}">
      <formula1>$AA$13</formula1>
    </dataValidation>
    <dataValidation type="list" allowBlank="1" showInputMessage="1" showErrorMessage="1" sqref="U162:V162 H205:I205 U205:V205 H162:I162" xr:uid="{00000000-0002-0000-0600-000003000000}">
      <formula1>#REF!</formula1>
    </dataValidation>
    <dataValidation type="list" allowBlank="1" showInputMessage="1" sqref="AI16 AI19:AI20" xr:uid="{00000000-0002-0000-0600-000005000000}">
      <formula1>$AA$13:$AA$14</formula1>
    </dataValidation>
    <dataValidation type="list" allowBlank="1" showInputMessage="1" showErrorMessage="1" sqref="K255:L255 J132:J161 AJ13:AJ22 J218:J247 W13:W22 J46:J75 J13:J22 J89:J118 W46:W75 W89:W118 W132:W161 W175:W204 J175:J204 W218:W247 AW13:AW22" xr:uid="{69398FC8-8284-4558-84DA-22434F909627}">
      <formula1>料金区分</formula1>
    </dataValidation>
    <dataValidation type="list" allowBlank="1" showInputMessage="1" showErrorMessage="1" sqref="K219:M247 X175:Z204 K175:M204 X218:Z247" xr:uid="{9F395469-7107-4048-9F6B-E27E058DA387}">
      <formula1>INDIRECT(J175)</formula1>
    </dataValidation>
    <dataValidation type="list" allowBlank="1" showInputMessage="1" showErrorMessage="1" sqref="K256:L256" xr:uid="{E84D1EB6-0507-4D9B-B260-5F5D6396719C}">
      <formula1>INDIRECT($K$255)</formula1>
    </dataValidation>
    <dataValidation type="list" allowBlank="1" showInputMessage="1" showErrorMessage="1" sqref="K218:M218" xr:uid="{B80782FB-11AE-4920-BE5B-F50995D9E18D}">
      <formula1>INDIRECT($J$218)</formula1>
    </dataValidation>
    <dataValidation type="list" allowBlank="1" showInputMessage="1" showErrorMessage="1" sqref="AH13 H132:H161 U132:U161 U89:U118 H89:H118 U46:U75 H46:H75 U13:U22 H13:H22" xr:uid="{AF1D36F9-EA11-4CCB-B9F6-E13C1C618515}">
      <formula1>$AA$13:$AA$22</formula1>
    </dataValidation>
    <dataValidation type="list" allowBlank="1" showInputMessage="1" sqref="AI13 I132:I161 V132:V161 V89:V118 I89:I118 V46:V75 I46:I75 V13:V22 I13:I22" xr:uid="{8F67050D-7423-4C35-AD1B-50F19E716E50}">
      <formula1>$AA$13:$AA$22</formula1>
    </dataValidation>
    <dataValidation type="list" allowBlank="1" showInputMessage="1" showErrorMessage="1" sqref="AX13:AZ22 AK13:AM22" xr:uid="{C403E628-AB0D-4E6C-8636-04E8FD67ED17}">
      <formula1>"身,療,精,児,介"</formula1>
    </dataValidation>
    <dataValidation type="list" allowBlank="1" showInputMessage="1" showErrorMessage="1" sqref="K13:M22 K132:M161 X132:Z161 X89:Z118 K89:M118 X46:Z75 K46:M75 X13:Z22" xr:uid="{16A211FC-714E-4B84-AB66-BDFDE6DBA8CC}">
      <formula1>"準,特,身,療,精,児,介,札"</formula1>
    </dataValidation>
  </dataValidations>
  <printOptions horizontalCentered="1"/>
  <pageMargins left="0.39370078740157483" right="0.39370078740157483" top="0.39370078740157483" bottom="0.39370078740157483" header="0" footer="0"/>
  <pageSetup paperSize="9" scale="81" fitToHeight="0" orientation="portrait" r:id="rId1"/>
  <headerFooter>
    <oddHeader>&amp;RⅥ-6</oddHeader>
    <oddFooter>&amp;R&amp;D &amp;T</oddFooter>
  </headerFooter>
  <rowBreaks count="5" manualBreakCount="5">
    <brk id="33" max="16383" man="1"/>
    <brk id="76" max="16383" man="1"/>
    <brk id="119" max="51" man="1"/>
    <brk id="162" max="51" man="1"/>
    <brk id="205" max="51" man="1"/>
  </rowBreaks>
  <colBreaks count="1" manualBreakCount="1">
    <brk id="26" max="161" man="1"/>
  </colBreaks>
  <ignoredErrors>
    <ignoredError sqref="BT14 BT24 BU12:BU26 BI65:BI76" formula="1"/>
  </ignoredErrors>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31">
    <tabColor theme="9" tint="0.59999389629810485"/>
  </sheetPr>
  <dimension ref="A1:DJ100"/>
  <sheetViews>
    <sheetView view="pageBreakPreview" topLeftCell="A5" zoomScale="55" zoomScaleNormal="40" zoomScaleSheetLayoutView="55" workbookViewId="0">
      <selection activeCell="V5" sqref="V5"/>
    </sheetView>
  </sheetViews>
  <sheetFormatPr defaultRowHeight="13.5"/>
  <cols>
    <col min="1" max="1" width="5.75" customWidth="1"/>
    <col min="2" max="2" width="5.375" customWidth="1"/>
    <col min="3" max="3" width="5.625" customWidth="1"/>
    <col min="4" max="4" width="3.625" customWidth="1"/>
    <col min="5" max="5" width="7.625" customWidth="1"/>
    <col min="6" max="6" width="6.625" customWidth="1"/>
    <col min="7" max="7" width="8.625" customWidth="1"/>
    <col min="8" max="8" width="5" customWidth="1"/>
    <col min="9" max="11" width="6.625" customWidth="1"/>
    <col min="12" max="15" width="12.625" customWidth="1"/>
    <col min="16" max="18" width="6.625" customWidth="1"/>
    <col min="19" max="19" width="7.625" customWidth="1"/>
    <col min="20" max="20" width="12" customWidth="1"/>
    <col min="21" max="21" width="8.875" customWidth="1"/>
    <col min="22" max="22" width="4.875" style="665" customWidth="1"/>
    <col min="23" max="24" width="5.75" customWidth="1"/>
    <col min="25" max="26" width="5.625" customWidth="1"/>
    <col min="27" max="29" width="7.625" customWidth="1"/>
    <col min="30" max="30" width="6.625" customWidth="1"/>
    <col min="31" max="31" width="8.625" customWidth="1"/>
    <col min="32" max="32" width="5.625" customWidth="1"/>
    <col min="33" max="38" width="5.125" customWidth="1"/>
    <col min="39" max="46" width="4.625" customWidth="1"/>
    <col min="47" max="52" width="4.75" customWidth="1"/>
    <col min="53" max="53" width="14.875" customWidth="1"/>
    <col min="54" max="54" width="20.125" hidden="1" customWidth="1"/>
    <col min="55" max="55" width="8.75" bestFit="1" customWidth="1"/>
    <col min="56" max="57" width="5.625" customWidth="1"/>
    <col min="58" max="62" width="6.625" customWidth="1"/>
    <col min="63" max="63" width="8.5" customWidth="1"/>
    <col min="64" max="65" width="6.625" customWidth="1"/>
    <col min="66" max="69" width="12.625" customWidth="1"/>
    <col min="70" max="71" width="6.625" customWidth="1"/>
    <col min="72" max="72" width="8.625" customWidth="1"/>
    <col min="73" max="74" width="7.625" customWidth="1"/>
    <col min="75" max="75" width="5.75" customWidth="1"/>
    <col min="76" max="78" width="5.625" customWidth="1"/>
    <col min="79" max="80" width="5.75" customWidth="1"/>
    <col min="81" max="83" width="5.625" customWidth="1"/>
    <col min="84" max="84" width="5.875" customWidth="1"/>
    <col min="85" max="85" width="5.625" customWidth="1"/>
    <col min="86" max="100" width="5.75" customWidth="1"/>
    <col min="101" max="102" width="15.625" customWidth="1"/>
    <col min="103" max="103" width="18.875" customWidth="1"/>
    <col min="104" max="104" width="27.375" hidden="1" customWidth="1"/>
    <col min="105" max="105" width="14.375" hidden="1" customWidth="1"/>
    <col min="106" max="106" width="10.5" hidden="1" customWidth="1"/>
    <col min="107" max="107" width="27.375" hidden="1" customWidth="1"/>
    <col min="108" max="108" width="17.125" hidden="1" customWidth="1"/>
    <col min="109" max="109" width="11.75" hidden="1" customWidth="1"/>
    <col min="110" max="110" width="9.5" hidden="1" customWidth="1"/>
    <col min="111" max="111" width="17.875" hidden="1" customWidth="1"/>
    <col min="112" max="112" width="16.375" hidden="1" customWidth="1"/>
    <col min="113" max="113" width="11.25" hidden="1" customWidth="1"/>
    <col min="114" max="114" width="27.375" hidden="1" customWidth="1"/>
    <col min="115" max="116" width="27.375" customWidth="1"/>
  </cols>
  <sheetData>
    <row r="1" spans="1:113" ht="23.25" customHeight="1">
      <c r="A1" s="2078" t="s">
        <v>807</v>
      </c>
      <c r="B1" s="2078"/>
      <c r="C1" s="2078"/>
      <c r="D1" s="2078"/>
      <c r="E1" s="2078"/>
      <c r="F1" s="2078"/>
      <c r="G1" s="2078"/>
      <c r="H1" s="2078"/>
      <c r="I1" s="2078"/>
      <c r="J1" s="2078"/>
      <c r="K1" s="2078"/>
      <c r="L1" s="2078"/>
      <c r="M1" s="2078"/>
      <c r="N1" s="1846"/>
      <c r="O1" s="1846"/>
      <c r="P1" s="1846"/>
      <c r="Q1" s="1846"/>
      <c r="R1" s="1846"/>
      <c r="S1" s="1846"/>
      <c r="T1" s="1846"/>
      <c r="U1" s="1846"/>
      <c r="V1" s="655"/>
      <c r="W1" s="753"/>
      <c r="X1" s="753"/>
      <c r="Y1" s="2093" t="s">
        <v>810</v>
      </c>
      <c r="Z1" s="2093"/>
      <c r="AA1" s="2093"/>
      <c r="AB1" s="2093"/>
      <c r="AC1" s="2093"/>
      <c r="AD1" s="2095" t="s">
        <v>811</v>
      </c>
      <c r="AE1" s="2095"/>
      <c r="AF1" s="2095"/>
      <c r="AG1" s="2095"/>
      <c r="AH1" s="2095"/>
      <c r="AI1" s="2095"/>
      <c r="AJ1" s="2095"/>
      <c r="AK1" s="2095"/>
      <c r="AL1" s="755"/>
      <c r="AM1" s="2097" t="s">
        <v>812</v>
      </c>
      <c r="AN1" s="2097"/>
      <c r="AO1" s="2097"/>
      <c r="AP1" s="2097"/>
      <c r="AQ1" s="2097"/>
      <c r="AR1" s="2095" t="s">
        <v>813</v>
      </c>
      <c r="AS1" s="2095"/>
      <c r="AT1" s="2095"/>
      <c r="AU1" s="2095"/>
      <c r="AV1" s="2095"/>
      <c r="AW1" s="2095"/>
      <c r="AX1" s="2095"/>
      <c r="AY1" s="2095"/>
      <c r="AZ1" s="753"/>
      <c r="BA1" s="753"/>
      <c r="BB1" s="647"/>
      <c r="BC1" s="2078" t="s">
        <v>807</v>
      </c>
      <c r="BD1" s="2078"/>
      <c r="BE1" s="2078"/>
      <c r="BF1" s="2078"/>
      <c r="BG1" s="2078"/>
      <c r="BH1" s="2078"/>
      <c r="BI1" s="2078"/>
      <c r="BJ1" s="2078"/>
      <c r="BK1" s="2078"/>
      <c r="BL1" s="2078"/>
      <c r="BM1" s="2078"/>
      <c r="BN1" s="2078"/>
      <c r="BO1" s="2078"/>
      <c r="BP1" s="1846"/>
      <c r="BQ1" s="1846"/>
      <c r="BR1" s="2082"/>
      <c r="BS1" s="2082"/>
      <c r="BT1" s="2082"/>
      <c r="BU1" s="2082"/>
      <c r="BV1" s="2082"/>
      <c r="BW1" s="2082"/>
      <c r="BX1" s="24"/>
      <c r="BY1" s="757"/>
      <c r="BZ1" s="2101" t="s">
        <v>810</v>
      </c>
      <c r="CA1" s="2101"/>
      <c r="CB1" s="2101"/>
      <c r="CC1" s="2101"/>
      <c r="CD1" s="2101"/>
      <c r="CE1" s="2103" t="s">
        <v>811</v>
      </c>
      <c r="CF1" s="2103"/>
      <c r="CG1" s="2103"/>
      <c r="CH1" s="2103"/>
      <c r="CI1" s="2103"/>
      <c r="CJ1" s="2103"/>
      <c r="CK1" s="2103"/>
      <c r="CL1" s="2103"/>
      <c r="CM1" s="2105" t="s">
        <v>812</v>
      </c>
      <c r="CN1" s="2105"/>
      <c r="CO1" s="2105"/>
      <c r="CP1" s="2105"/>
      <c r="CQ1" s="2105"/>
      <c r="CR1" s="2103" t="s">
        <v>813</v>
      </c>
      <c r="CS1" s="2103"/>
      <c r="CT1" s="2103"/>
      <c r="CU1" s="2103"/>
      <c r="CV1" s="2103"/>
      <c r="CW1" s="2103"/>
      <c r="CX1" s="2103"/>
      <c r="CY1" s="2103"/>
      <c r="CZ1" s="2072" t="s">
        <v>116</v>
      </c>
      <c r="DA1" s="2072"/>
      <c r="DB1" s="2072"/>
      <c r="DC1" s="2072"/>
      <c r="DD1" s="2072"/>
      <c r="DE1" s="10"/>
      <c r="DF1" s="9"/>
      <c r="DG1" s="10"/>
      <c r="DH1" s="9"/>
    </row>
    <row r="2" spans="1:113" ht="13.5" customHeight="1" thickBot="1">
      <c r="A2" s="2078"/>
      <c r="B2" s="2078"/>
      <c r="C2" s="2078"/>
      <c r="D2" s="2078"/>
      <c r="E2" s="2078"/>
      <c r="F2" s="2078"/>
      <c r="G2" s="2078"/>
      <c r="H2" s="2078"/>
      <c r="I2" s="2078"/>
      <c r="J2" s="2078"/>
      <c r="K2" s="2078"/>
      <c r="L2" s="2078"/>
      <c r="M2" s="2078"/>
      <c r="N2" s="1846"/>
      <c r="O2" s="1846"/>
      <c r="P2" s="1846"/>
      <c r="Q2" s="1846"/>
      <c r="R2" s="1846"/>
      <c r="S2" s="1846"/>
      <c r="T2" s="1846"/>
      <c r="U2" s="1846"/>
      <c r="V2" s="656"/>
      <c r="W2" s="754"/>
      <c r="X2" s="754"/>
      <c r="Y2" s="2094"/>
      <c r="Z2" s="2094"/>
      <c r="AA2" s="2094"/>
      <c r="AB2" s="2094"/>
      <c r="AC2" s="2094"/>
      <c r="AD2" s="2096"/>
      <c r="AE2" s="2096"/>
      <c r="AF2" s="2096"/>
      <c r="AG2" s="2096"/>
      <c r="AH2" s="2096"/>
      <c r="AI2" s="2096"/>
      <c r="AJ2" s="2096"/>
      <c r="AK2" s="2096"/>
      <c r="AL2" s="756"/>
      <c r="AM2" s="2098"/>
      <c r="AN2" s="2098"/>
      <c r="AO2" s="2098"/>
      <c r="AP2" s="2098"/>
      <c r="AQ2" s="2098"/>
      <c r="AR2" s="2096"/>
      <c r="AS2" s="2096"/>
      <c r="AT2" s="2096"/>
      <c r="AU2" s="2096"/>
      <c r="AV2" s="2096"/>
      <c r="AW2" s="2096"/>
      <c r="AX2" s="2096"/>
      <c r="AY2" s="2096"/>
      <c r="AZ2" s="754"/>
      <c r="BA2" s="754"/>
      <c r="BB2" s="647"/>
      <c r="BC2" s="2078"/>
      <c r="BD2" s="2078"/>
      <c r="BE2" s="2078"/>
      <c r="BF2" s="2078"/>
      <c r="BG2" s="2078"/>
      <c r="BH2" s="2078"/>
      <c r="BI2" s="2078"/>
      <c r="BJ2" s="2078"/>
      <c r="BK2" s="2078"/>
      <c r="BL2" s="2078"/>
      <c r="BM2" s="2078"/>
      <c r="BN2" s="2078"/>
      <c r="BO2" s="2078"/>
      <c r="BP2" s="1846"/>
      <c r="BQ2" s="1846"/>
      <c r="BR2" s="2082"/>
      <c r="BS2" s="2082"/>
      <c r="BT2" s="2082"/>
      <c r="BU2" s="2082"/>
      <c r="BV2" s="2082"/>
      <c r="BW2" s="2082"/>
      <c r="BX2" s="25"/>
      <c r="BY2" s="758"/>
      <c r="BZ2" s="2102"/>
      <c r="CA2" s="2102"/>
      <c r="CB2" s="2102"/>
      <c r="CC2" s="2102"/>
      <c r="CD2" s="2102"/>
      <c r="CE2" s="2104"/>
      <c r="CF2" s="2104"/>
      <c r="CG2" s="2104"/>
      <c r="CH2" s="2104"/>
      <c r="CI2" s="2104"/>
      <c r="CJ2" s="2104"/>
      <c r="CK2" s="2104"/>
      <c r="CL2" s="2104"/>
      <c r="CM2" s="2106"/>
      <c r="CN2" s="2106"/>
      <c r="CO2" s="2106"/>
      <c r="CP2" s="2106"/>
      <c r="CQ2" s="2106"/>
      <c r="CR2" s="2104"/>
      <c r="CS2" s="2104"/>
      <c r="CT2" s="2104"/>
      <c r="CU2" s="2104"/>
      <c r="CV2" s="2104"/>
      <c r="CW2" s="2104"/>
      <c r="CX2" s="2104"/>
      <c r="CY2" s="2104"/>
      <c r="CZ2" s="2073" t="s">
        <v>117</v>
      </c>
      <c r="DA2" s="2073"/>
      <c r="DB2" s="9"/>
      <c r="DC2" s="11" t="s">
        <v>118</v>
      </c>
      <c r="DD2" s="9"/>
      <c r="DE2" s="9"/>
      <c r="DF2" s="9"/>
      <c r="DG2" s="11" t="s">
        <v>119</v>
      </c>
      <c r="DH2" s="9"/>
    </row>
    <row r="3" spans="1:113" ht="30" customHeight="1" thickTop="1" thickBot="1">
      <c r="A3" s="2074" t="s">
        <v>587</v>
      </c>
      <c r="B3" s="2074"/>
      <c r="C3" s="2074"/>
      <c r="D3" s="2020"/>
      <c r="E3" s="2075" t="str">
        <f>CONCATENATE('01 使用承認申請書'!D4)</f>
        <v/>
      </c>
      <c r="F3" s="2076"/>
      <c r="G3" s="2076"/>
      <c r="H3" s="2076"/>
      <c r="I3" s="2076"/>
      <c r="J3" s="2076"/>
      <c r="K3" s="2076"/>
      <c r="L3" s="2076"/>
      <c r="M3" s="2077"/>
      <c r="N3" s="1847"/>
      <c r="O3" s="1847"/>
      <c r="P3" s="1847"/>
      <c r="Q3" s="1847"/>
      <c r="R3" s="1847"/>
      <c r="S3" s="1847"/>
      <c r="T3" s="1847"/>
      <c r="U3" s="1847"/>
      <c r="V3" s="656"/>
      <c r="W3" s="2119" t="s">
        <v>809</v>
      </c>
      <c r="X3" s="2079" t="s">
        <v>120</v>
      </c>
      <c r="Y3" s="2080"/>
      <c r="Z3" s="2080"/>
      <c r="AA3" s="2080"/>
      <c r="AB3" s="2080"/>
      <c r="AC3" s="2081"/>
      <c r="AD3" s="374" t="s">
        <v>121</v>
      </c>
      <c r="AE3" s="2067" t="s">
        <v>122</v>
      </c>
      <c r="AF3" s="1822" t="s">
        <v>399</v>
      </c>
      <c r="AG3" s="2069"/>
      <c r="AH3" s="2070"/>
      <c r="AI3" s="1822" t="s">
        <v>400</v>
      </c>
      <c r="AJ3" s="2069"/>
      <c r="AK3" s="2070"/>
      <c r="AL3" s="1822" t="s">
        <v>401</v>
      </c>
      <c r="AM3" s="1823"/>
      <c r="AN3" s="1824"/>
      <c r="AO3" s="1822" t="s">
        <v>402</v>
      </c>
      <c r="AP3" s="1823"/>
      <c r="AQ3" s="1824"/>
      <c r="AR3" s="1822" t="s">
        <v>408</v>
      </c>
      <c r="AS3" s="1823"/>
      <c r="AT3" s="1824"/>
      <c r="AU3" s="1822"/>
      <c r="AV3" s="1823"/>
      <c r="AW3" s="1824"/>
      <c r="AX3" s="1822"/>
      <c r="AY3" s="1823"/>
      <c r="AZ3" s="1824"/>
      <c r="BA3" s="377" t="s">
        <v>123</v>
      </c>
      <c r="BB3" s="377"/>
      <c r="BC3" s="2074" t="s">
        <v>389</v>
      </c>
      <c r="BD3" s="2074"/>
      <c r="BE3" s="2074"/>
      <c r="BF3" s="2020"/>
      <c r="BG3" s="2075" t="s">
        <v>540</v>
      </c>
      <c r="BH3" s="2076"/>
      <c r="BI3" s="2076"/>
      <c r="BJ3" s="2076"/>
      <c r="BK3" s="2076"/>
      <c r="BL3" s="2076"/>
      <c r="BM3" s="2076"/>
      <c r="BN3" s="2076"/>
      <c r="BO3" s="2077"/>
      <c r="BP3" s="1971"/>
      <c r="BQ3" s="1972"/>
      <c r="BR3" s="1972"/>
      <c r="BS3" s="1972"/>
      <c r="BT3" s="1972"/>
      <c r="BU3" s="1972"/>
      <c r="BV3" s="1972"/>
      <c r="BW3" s="1973"/>
      <c r="BX3" s="25"/>
      <c r="BY3" s="2110" t="s">
        <v>809</v>
      </c>
      <c r="BZ3" s="2079" t="s">
        <v>120</v>
      </c>
      <c r="CA3" s="2080"/>
      <c r="CB3" s="2080"/>
      <c r="CC3" s="2080"/>
      <c r="CD3" s="2080"/>
      <c r="CE3" s="2081"/>
      <c r="CF3" s="374" t="s">
        <v>121</v>
      </c>
      <c r="CG3" s="2067" t="s">
        <v>122</v>
      </c>
      <c r="CH3" s="1822" t="s">
        <v>399</v>
      </c>
      <c r="CI3" s="2069"/>
      <c r="CJ3" s="2070"/>
      <c r="CK3" s="1822" t="s">
        <v>400</v>
      </c>
      <c r="CL3" s="2069"/>
      <c r="CM3" s="2070"/>
      <c r="CN3" s="1822" t="s">
        <v>401</v>
      </c>
      <c r="CO3" s="1823"/>
      <c r="CP3" s="1824"/>
      <c r="CQ3" s="1822" t="s">
        <v>402</v>
      </c>
      <c r="CR3" s="1823"/>
      <c r="CS3" s="1824"/>
      <c r="CT3" s="1822" t="s">
        <v>408</v>
      </c>
      <c r="CU3" s="1823"/>
      <c r="CV3" s="1824"/>
      <c r="CW3" s="375" t="s">
        <v>409</v>
      </c>
      <c r="CX3" s="376" t="s">
        <v>410</v>
      </c>
      <c r="CY3" s="377" t="s">
        <v>123</v>
      </c>
      <c r="CZ3" s="772" t="s">
        <v>124</v>
      </c>
      <c r="DA3" s="773"/>
      <c r="DB3" s="9"/>
      <c r="DC3" s="14"/>
      <c r="DD3" s="12"/>
      <c r="DE3" s="9"/>
      <c r="DF3" s="9"/>
      <c r="DG3" s="14" t="s">
        <v>323</v>
      </c>
      <c r="DH3" s="12"/>
    </row>
    <row r="4" spans="1:113" ht="31.5" thickTop="1" thickBot="1">
      <c r="A4" s="2020" t="s">
        <v>125</v>
      </c>
      <c r="B4" s="2021"/>
      <c r="C4" s="2021"/>
      <c r="D4" s="2021"/>
      <c r="E4" s="2061">
        <f>('01 使用承認申請書'!C14)</f>
        <v>0</v>
      </c>
      <c r="F4" s="2062"/>
      <c r="G4" s="2062"/>
      <c r="H4" s="2062"/>
      <c r="I4" s="2062"/>
      <c r="J4" s="2062"/>
      <c r="K4" s="2062"/>
      <c r="L4" s="356" t="s">
        <v>126</v>
      </c>
      <c r="M4" s="2063">
        <f>('01 使用承認申請書'!C16)</f>
        <v>0</v>
      </c>
      <c r="N4" s="2063"/>
      <c r="O4" s="2063"/>
      <c r="P4" s="2063"/>
      <c r="Q4" s="358"/>
      <c r="R4" s="360">
        <f>M4-E4</f>
        <v>0</v>
      </c>
      <c r="S4" s="356" t="s">
        <v>41</v>
      </c>
      <c r="T4" s="360">
        <f>R4+1</f>
        <v>1</v>
      </c>
      <c r="U4" s="361" t="s">
        <v>11</v>
      </c>
      <c r="V4" s="656"/>
      <c r="W4" s="2120"/>
      <c r="X4" s="1998" t="s">
        <v>127</v>
      </c>
      <c r="Y4" s="378" t="s">
        <v>128</v>
      </c>
      <c r="Z4" s="379" t="s">
        <v>129</v>
      </c>
      <c r="AA4" s="1974" t="s">
        <v>130</v>
      </c>
      <c r="AB4" s="1974"/>
      <c r="AC4" s="1974"/>
      <c r="AD4" s="380" t="s">
        <v>131</v>
      </c>
      <c r="AE4" s="2068"/>
      <c r="AF4" s="1825" t="s">
        <v>132</v>
      </c>
      <c r="AG4" s="1826"/>
      <c r="AH4" s="1827"/>
      <c r="AI4" s="1825" t="s">
        <v>132</v>
      </c>
      <c r="AJ4" s="1826"/>
      <c r="AK4" s="1827"/>
      <c r="AL4" s="1825" t="s">
        <v>132</v>
      </c>
      <c r="AM4" s="1826"/>
      <c r="AN4" s="1827"/>
      <c r="AO4" s="1825" t="s">
        <v>133</v>
      </c>
      <c r="AP4" s="1826"/>
      <c r="AQ4" s="1827"/>
      <c r="AR4" s="1825" t="s">
        <v>132</v>
      </c>
      <c r="AS4" s="1826"/>
      <c r="AT4" s="1827"/>
      <c r="AU4" s="1825"/>
      <c r="AV4" s="1826"/>
      <c r="AW4" s="1827"/>
      <c r="AX4" s="1825"/>
      <c r="AY4" s="1826"/>
      <c r="AZ4" s="1827"/>
      <c r="BA4" s="383" t="s">
        <v>134</v>
      </c>
      <c r="BB4" s="648"/>
      <c r="BC4" s="2020" t="s">
        <v>125</v>
      </c>
      <c r="BD4" s="2021"/>
      <c r="BE4" s="2021"/>
      <c r="BF4" s="2021"/>
      <c r="BG4" s="2022">
        <f>'[2]01 使用承認申請書'!AY12</f>
        <v>0</v>
      </c>
      <c r="BH4" s="2023"/>
      <c r="BI4" s="356" t="s">
        <v>13</v>
      </c>
      <c r="BJ4" s="357" t="str">
        <f>CONCATENATE('[2]01 使用承認申請書'!AZ14)</f>
        <v/>
      </c>
      <c r="BK4" s="356" t="s">
        <v>12</v>
      </c>
      <c r="BL4" s="357"/>
      <c r="BM4" s="356" t="s">
        <v>11</v>
      </c>
      <c r="BN4" s="356" t="s">
        <v>30</v>
      </c>
      <c r="BO4" s="357" t="str">
        <f>CONCATENATE('[2]01 使用承認申請書'!AZ16)</f>
        <v/>
      </c>
      <c r="BP4" s="356" t="s">
        <v>12</v>
      </c>
      <c r="BQ4" s="357"/>
      <c r="BR4" s="356" t="s">
        <v>11</v>
      </c>
      <c r="BS4" s="358"/>
      <c r="BT4" s="359"/>
      <c r="BU4" s="356" t="s">
        <v>41</v>
      </c>
      <c r="BV4" s="360"/>
      <c r="BW4" s="361" t="s">
        <v>11</v>
      </c>
      <c r="BX4" s="25"/>
      <c r="BY4" s="2111"/>
      <c r="BZ4" s="1998" t="s">
        <v>127</v>
      </c>
      <c r="CA4" s="378" t="s">
        <v>128</v>
      </c>
      <c r="CB4" s="379" t="s">
        <v>129</v>
      </c>
      <c r="CC4" s="1974" t="s">
        <v>130</v>
      </c>
      <c r="CD4" s="1974"/>
      <c r="CE4" s="1974"/>
      <c r="CF4" s="380" t="s">
        <v>131</v>
      </c>
      <c r="CG4" s="2068"/>
      <c r="CH4" s="1825" t="s">
        <v>132</v>
      </c>
      <c r="CI4" s="1826"/>
      <c r="CJ4" s="1827"/>
      <c r="CK4" s="1825" t="s">
        <v>132</v>
      </c>
      <c r="CL4" s="1826"/>
      <c r="CM4" s="1827"/>
      <c r="CN4" s="1825" t="s">
        <v>132</v>
      </c>
      <c r="CO4" s="1826"/>
      <c r="CP4" s="1827"/>
      <c r="CQ4" s="1825" t="s">
        <v>132</v>
      </c>
      <c r="CR4" s="1826"/>
      <c r="CS4" s="1827"/>
      <c r="CT4" s="1825" t="s">
        <v>132</v>
      </c>
      <c r="CU4" s="1826"/>
      <c r="CV4" s="1827"/>
      <c r="CW4" s="381" t="s">
        <v>411</v>
      </c>
      <c r="CX4" s="382" t="s">
        <v>411</v>
      </c>
      <c r="CY4" s="383" t="s">
        <v>134</v>
      </c>
      <c r="CZ4" s="772" t="s">
        <v>135</v>
      </c>
      <c r="DA4" s="772">
        <v>50</v>
      </c>
      <c r="DB4" s="15"/>
      <c r="DC4" s="14" t="s">
        <v>136</v>
      </c>
      <c r="DD4" s="12"/>
      <c r="DE4" s="9" t="s">
        <v>764</v>
      </c>
      <c r="DF4" s="9"/>
      <c r="DG4" s="14" t="s">
        <v>137</v>
      </c>
      <c r="DH4" s="12">
        <v>130</v>
      </c>
      <c r="DI4" s="668" t="s">
        <v>853</v>
      </c>
    </row>
    <row r="5" spans="1:113" ht="27" customHeight="1" thickTop="1">
      <c r="A5" s="1671" t="s">
        <v>866</v>
      </c>
      <c r="B5" s="1671"/>
      <c r="C5" s="1671"/>
      <c r="D5" s="1671"/>
      <c r="E5" s="1671"/>
      <c r="F5" s="1671"/>
      <c r="G5" s="1671"/>
      <c r="H5" s="1671"/>
      <c r="I5" s="1671"/>
      <c r="J5" s="1671"/>
      <c r="K5" s="1671"/>
      <c r="L5" s="1671"/>
      <c r="M5" s="1671"/>
      <c r="N5" s="1671"/>
      <c r="O5" s="1671"/>
      <c r="P5" s="1671"/>
      <c r="Q5" s="1671"/>
      <c r="R5" s="1671"/>
      <c r="S5" s="1671"/>
      <c r="T5" s="1671"/>
      <c r="U5" s="1671"/>
      <c r="V5" s="657" t="b">
        <v>1</v>
      </c>
      <c r="W5" s="2120"/>
      <c r="X5" s="1999"/>
      <c r="Y5" s="384">
        <f>'03 食事申込書'!BT106</f>
        <v>0</v>
      </c>
      <c r="Z5" s="385">
        <f>'03 食事申込書'!BV106</f>
        <v>0</v>
      </c>
      <c r="AA5" s="1975">
        <f>'03 食事申込書'!BW106</f>
        <v>0</v>
      </c>
      <c r="AB5" s="1976"/>
      <c r="AC5" s="1976"/>
      <c r="AD5" s="386">
        <f>IFERROR(VLOOKUP(AA5, $DC$3:$DD$71, 2, FALSE), 0)</f>
        <v>0</v>
      </c>
      <c r="AE5" s="387">
        <f>'03 食事申込書'!BY106</f>
        <v>0</v>
      </c>
      <c r="AF5" s="1962"/>
      <c r="AG5" s="1708"/>
      <c r="AH5" s="1812"/>
      <c r="AI5" s="1708"/>
      <c r="AJ5" s="1708"/>
      <c r="AK5" s="1812"/>
      <c r="AL5" s="1811"/>
      <c r="AM5" s="1708"/>
      <c r="AN5" s="1812"/>
      <c r="AO5" s="1811"/>
      <c r="AP5" s="1708"/>
      <c r="AQ5" s="1812"/>
      <c r="AR5" s="1811"/>
      <c r="AS5" s="1708"/>
      <c r="AT5" s="1812"/>
      <c r="AU5" s="1811"/>
      <c r="AV5" s="1708"/>
      <c r="AW5" s="1812"/>
      <c r="AX5" s="677"/>
      <c r="AY5" s="677"/>
      <c r="AZ5" s="389"/>
      <c r="BA5" s="499">
        <f>IF('03 食事申込書'!BY106=AF5+AI5+AR5+AL5+AO5+AU5+AZ5,AD5*AE5,"人数を再確認！")</f>
        <v>0</v>
      </c>
      <c r="BB5" s="649" t="str">
        <f t="shared" ref="BB5:BB20" si="0">IFERROR(VLOOKUP(AA5,$DC$5:$DE$67,3,FALSE),"")</f>
        <v/>
      </c>
      <c r="BC5" s="1671" t="s">
        <v>866</v>
      </c>
      <c r="BD5" s="1671"/>
      <c r="BE5" s="1671"/>
      <c r="BF5" s="1671"/>
      <c r="BG5" s="1671"/>
      <c r="BH5" s="1671"/>
      <c r="BI5" s="1671"/>
      <c r="BJ5" s="1671"/>
      <c r="BK5" s="1671"/>
      <c r="BL5" s="1671"/>
      <c r="BM5" s="1671"/>
      <c r="BN5" s="1671"/>
      <c r="BO5" s="1671"/>
      <c r="BP5" s="1671"/>
      <c r="BQ5" s="1671"/>
      <c r="BR5" s="1671"/>
      <c r="BS5" s="1671"/>
      <c r="BT5" s="1671"/>
      <c r="BU5" s="1671"/>
      <c r="BV5" s="1671"/>
      <c r="BW5" s="1671"/>
      <c r="BX5" s="555"/>
      <c r="BY5" s="2111"/>
      <c r="BZ5" s="1999"/>
      <c r="CA5" s="384">
        <v>8</v>
      </c>
      <c r="CB5" s="385" t="s">
        <v>91</v>
      </c>
      <c r="CC5" s="1975" t="s">
        <v>588</v>
      </c>
      <c r="CD5" s="1976"/>
      <c r="CE5" s="1976"/>
      <c r="CF5" s="386">
        <v>500</v>
      </c>
      <c r="CG5" s="387">
        <v>111</v>
      </c>
      <c r="CH5" s="1962">
        <v>100</v>
      </c>
      <c r="CI5" s="1708"/>
      <c r="CJ5" s="1812"/>
      <c r="CK5" s="1708">
        <v>6</v>
      </c>
      <c r="CL5" s="1708"/>
      <c r="CM5" s="1812"/>
      <c r="CN5" s="1811">
        <v>5</v>
      </c>
      <c r="CO5" s="1708"/>
      <c r="CP5" s="1812"/>
      <c r="CQ5" s="1811"/>
      <c r="CR5" s="1708"/>
      <c r="CS5" s="1812"/>
      <c r="CT5" s="1811"/>
      <c r="CU5" s="1708"/>
      <c r="CV5" s="1812"/>
      <c r="CW5" s="388"/>
      <c r="CX5" s="389"/>
      <c r="CY5" s="499">
        <f>CF5*CG5</f>
        <v>55500</v>
      </c>
      <c r="CZ5" s="772" t="s">
        <v>138</v>
      </c>
      <c r="DA5" s="772">
        <v>80</v>
      </c>
      <c r="DB5" s="16"/>
      <c r="DC5" s="17" t="s">
        <v>139</v>
      </c>
      <c r="DD5" s="83">
        <v>720</v>
      </c>
      <c r="DE5" s="666" t="s">
        <v>823</v>
      </c>
      <c r="DF5" s="666"/>
      <c r="DG5" s="14" t="s">
        <v>147</v>
      </c>
      <c r="DH5" s="12">
        <v>320</v>
      </c>
      <c r="DI5" s="668" t="s">
        <v>854</v>
      </c>
    </row>
    <row r="6" spans="1:113" ht="27" customHeight="1">
      <c r="A6" s="1671"/>
      <c r="B6" s="1671"/>
      <c r="C6" s="1671"/>
      <c r="D6" s="1671"/>
      <c r="E6" s="1671"/>
      <c r="F6" s="1671"/>
      <c r="G6" s="1671"/>
      <c r="H6" s="1671"/>
      <c r="I6" s="1671"/>
      <c r="J6" s="1671"/>
      <c r="K6" s="1671"/>
      <c r="L6" s="1671"/>
      <c r="M6" s="1671"/>
      <c r="N6" s="1671"/>
      <c r="O6" s="1671"/>
      <c r="P6" s="1671"/>
      <c r="Q6" s="1671"/>
      <c r="R6" s="1671"/>
      <c r="S6" s="1671"/>
      <c r="T6" s="1671"/>
      <c r="U6" s="1671"/>
      <c r="V6" s="657" t="b">
        <v>0</v>
      </c>
      <c r="W6" s="2120"/>
      <c r="X6" s="1999"/>
      <c r="Y6" s="390">
        <f>'03 食事申込書'!BT107</f>
        <v>0</v>
      </c>
      <c r="Z6" s="391">
        <f>'03 食事申込書'!BV107</f>
        <v>0</v>
      </c>
      <c r="AA6" s="2099">
        <f>'03 食事申込書'!BW107</f>
        <v>0</v>
      </c>
      <c r="AB6" s="2100"/>
      <c r="AC6" s="2100"/>
      <c r="AD6" s="386">
        <f>IFERROR(VLOOKUP(AA6, $DC$3:$DD$71, 2, FALSE), 0)</f>
        <v>0</v>
      </c>
      <c r="AE6" s="387">
        <f>'03 食事申込書'!BY107</f>
        <v>0</v>
      </c>
      <c r="AF6" s="1724"/>
      <c r="AG6" s="1710"/>
      <c r="AH6" s="1721"/>
      <c r="AI6" s="1710"/>
      <c r="AJ6" s="1710"/>
      <c r="AK6" s="1721"/>
      <c r="AL6" s="1720"/>
      <c r="AM6" s="1710"/>
      <c r="AN6" s="1721"/>
      <c r="AO6" s="1720"/>
      <c r="AP6" s="1710"/>
      <c r="AQ6" s="1721"/>
      <c r="AR6" s="1720"/>
      <c r="AS6" s="1710"/>
      <c r="AT6" s="1721"/>
      <c r="AU6" s="1720"/>
      <c r="AV6" s="1710"/>
      <c r="AW6" s="1721"/>
      <c r="AX6" s="675"/>
      <c r="AY6" s="675"/>
      <c r="AZ6" s="394"/>
      <c r="BA6" s="499">
        <f>IF('03 食事申込書'!BY107=AF6+AI6+AZ6+AL6+AO6+AR6+AU6,AD6*AE6,"人数を再確認！")</f>
        <v>0</v>
      </c>
      <c r="BB6" s="649" t="str">
        <f t="shared" si="0"/>
        <v/>
      </c>
      <c r="BC6" s="1671"/>
      <c r="BD6" s="1671"/>
      <c r="BE6" s="1671"/>
      <c r="BF6" s="1671"/>
      <c r="BG6" s="1671"/>
      <c r="BH6" s="1671"/>
      <c r="BI6" s="1671"/>
      <c r="BJ6" s="1671"/>
      <c r="BK6" s="1671"/>
      <c r="BL6" s="1671"/>
      <c r="BM6" s="1671"/>
      <c r="BN6" s="1671"/>
      <c r="BO6" s="1671"/>
      <c r="BP6" s="1671"/>
      <c r="BQ6" s="1671"/>
      <c r="BR6" s="1671"/>
      <c r="BS6" s="1671"/>
      <c r="BT6" s="1671"/>
      <c r="BU6" s="1671"/>
      <c r="BV6" s="1671"/>
      <c r="BW6" s="1671"/>
      <c r="BX6" s="555"/>
      <c r="BY6" s="2111"/>
      <c r="BZ6" s="1999"/>
      <c r="CA6" s="390">
        <f>'[2]03 食事申込書'!DQ107</f>
        <v>0</v>
      </c>
      <c r="CB6" s="391">
        <f>'[2]03 食事申込書'!DS107</f>
        <v>0</v>
      </c>
      <c r="CC6" s="1977" t="s">
        <v>589</v>
      </c>
      <c r="CD6" s="1978"/>
      <c r="CE6" s="1978"/>
      <c r="CF6" s="392">
        <v>700</v>
      </c>
      <c r="CG6" s="387">
        <v>100</v>
      </c>
      <c r="CH6" s="1724">
        <v>100</v>
      </c>
      <c r="CI6" s="1710"/>
      <c r="CJ6" s="1721"/>
      <c r="CK6" s="1710"/>
      <c r="CL6" s="1710"/>
      <c r="CM6" s="1721"/>
      <c r="CN6" s="1720"/>
      <c r="CO6" s="1710"/>
      <c r="CP6" s="1721"/>
      <c r="CQ6" s="1720"/>
      <c r="CR6" s="1710"/>
      <c r="CS6" s="1721"/>
      <c r="CT6" s="1720"/>
      <c r="CU6" s="1710"/>
      <c r="CV6" s="1721"/>
      <c r="CW6" s="393"/>
      <c r="CX6" s="394"/>
      <c r="CY6" s="499">
        <f t="shared" ref="CY6:CY13" si="1">CF6*CG6</f>
        <v>70000</v>
      </c>
      <c r="CZ6" s="12" t="s">
        <v>140</v>
      </c>
      <c r="DA6" s="13"/>
      <c r="DB6" s="9"/>
      <c r="DC6" s="17" t="s">
        <v>141</v>
      </c>
      <c r="DD6" s="83">
        <v>840</v>
      </c>
      <c r="DE6" s="666" t="s">
        <v>824</v>
      </c>
      <c r="DF6" s="666"/>
      <c r="DG6" s="14" t="s">
        <v>152</v>
      </c>
      <c r="DH6" s="12">
        <v>500</v>
      </c>
      <c r="DI6" s="668" t="s">
        <v>855</v>
      </c>
    </row>
    <row r="7" spans="1:113" ht="27" customHeight="1">
      <c r="A7" s="1671"/>
      <c r="B7" s="1671"/>
      <c r="C7" s="1671"/>
      <c r="D7" s="1671"/>
      <c r="E7" s="1671"/>
      <c r="F7" s="1671"/>
      <c r="G7" s="1671"/>
      <c r="H7" s="1671"/>
      <c r="I7" s="1671"/>
      <c r="J7" s="1671"/>
      <c r="K7" s="1671"/>
      <c r="L7" s="1671"/>
      <c r="M7" s="1671"/>
      <c r="N7" s="1671"/>
      <c r="O7" s="1671"/>
      <c r="P7" s="1671"/>
      <c r="Q7" s="1671"/>
      <c r="R7" s="1671"/>
      <c r="S7" s="1671"/>
      <c r="T7" s="1671"/>
      <c r="U7" s="1671"/>
      <c r="V7" s="657" t="b">
        <v>0</v>
      </c>
      <c r="W7" s="2120"/>
      <c r="X7" s="1999"/>
      <c r="Y7" s="390">
        <f>'03 食事申込書'!BT108</f>
        <v>0</v>
      </c>
      <c r="Z7" s="391">
        <f>'03 食事申込書'!BV108</f>
        <v>0</v>
      </c>
      <c r="AA7" s="1722">
        <f>'03 食事申込書'!BW108</f>
        <v>0</v>
      </c>
      <c r="AB7" s="1723"/>
      <c r="AC7" s="1723"/>
      <c r="AD7" s="386">
        <f>IFERROR(VLOOKUP(AA7, $DC$3:$DD$71, 2, FALSE), 0)</f>
        <v>0</v>
      </c>
      <c r="AE7" s="387">
        <f>'03 食事申込書'!BY108</f>
        <v>0</v>
      </c>
      <c r="AF7" s="1724"/>
      <c r="AG7" s="1710"/>
      <c r="AH7" s="1721"/>
      <c r="AI7" s="1710"/>
      <c r="AJ7" s="1710"/>
      <c r="AK7" s="1721"/>
      <c r="AL7" s="1720"/>
      <c r="AM7" s="1710"/>
      <c r="AN7" s="1721"/>
      <c r="AO7" s="1720"/>
      <c r="AP7" s="1710"/>
      <c r="AQ7" s="1721"/>
      <c r="AR7" s="1720"/>
      <c r="AS7" s="1710"/>
      <c r="AT7" s="1721"/>
      <c r="AU7" s="1720"/>
      <c r="AV7" s="1710"/>
      <c r="AW7" s="1721"/>
      <c r="AX7" s="675"/>
      <c r="AY7" s="675"/>
      <c r="AZ7" s="394"/>
      <c r="BA7" s="499">
        <f>IF('03 食事申込書'!BY108=AF7+AI7+AR7+AL7+AO7+AU7+AZ7,AD7*AE7,"人数を再確認！")</f>
        <v>0</v>
      </c>
      <c r="BB7" s="649" t="str">
        <f t="shared" si="0"/>
        <v/>
      </c>
      <c r="BC7" s="1671"/>
      <c r="BD7" s="1671"/>
      <c r="BE7" s="1671"/>
      <c r="BF7" s="1671"/>
      <c r="BG7" s="1671"/>
      <c r="BH7" s="1671"/>
      <c r="BI7" s="1671"/>
      <c r="BJ7" s="1671"/>
      <c r="BK7" s="1671"/>
      <c r="BL7" s="1671"/>
      <c r="BM7" s="1671"/>
      <c r="BN7" s="1671"/>
      <c r="BO7" s="1671"/>
      <c r="BP7" s="1671"/>
      <c r="BQ7" s="1671"/>
      <c r="BR7" s="1671"/>
      <c r="BS7" s="1671"/>
      <c r="BT7" s="1671"/>
      <c r="BU7" s="1671"/>
      <c r="BV7" s="1671"/>
      <c r="BW7" s="1671"/>
      <c r="BX7" s="555"/>
      <c r="BY7" s="2111"/>
      <c r="BZ7" s="1999"/>
      <c r="CA7" s="390">
        <f>'[2]03 食事申込書'!DQ108</f>
        <v>0</v>
      </c>
      <c r="CB7" s="391">
        <f>'[2]03 食事申込書'!DS108</f>
        <v>0</v>
      </c>
      <c r="CC7" s="1722" t="s">
        <v>590</v>
      </c>
      <c r="CD7" s="1723"/>
      <c r="CE7" s="1723"/>
      <c r="CF7" s="392">
        <v>750</v>
      </c>
      <c r="CG7" s="387">
        <v>10</v>
      </c>
      <c r="CH7" s="1724"/>
      <c r="CI7" s="1710"/>
      <c r="CJ7" s="1721"/>
      <c r="CK7" s="1710">
        <v>6</v>
      </c>
      <c r="CL7" s="1710"/>
      <c r="CM7" s="1721"/>
      <c r="CN7" s="1720">
        <v>5</v>
      </c>
      <c r="CO7" s="1710"/>
      <c r="CP7" s="1721"/>
      <c r="CQ7" s="1720"/>
      <c r="CR7" s="1710"/>
      <c r="CS7" s="1721"/>
      <c r="CT7" s="1720"/>
      <c r="CU7" s="1710"/>
      <c r="CV7" s="1721"/>
      <c r="CW7" s="393"/>
      <c r="CX7" s="394"/>
      <c r="CY7" s="499">
        <f t="shared" si="1"/>
        <v>7500</v>
      </c>
      <c r="CZ7" s="12" t="s">
        <v>135</v>
      </c>
      <c r="DA7" s="12">
        <v>290</v>
      </c>
      <c r="DB7" s="9"/>
      <c r="DC7" s="17" t="s">
        <v>142</v>
      </c>
      <c r="DD7" s="83">
        <v>900</v>
      </c>
      <c r="DE7" s="666" t="s">
        <v>825</v>
      </c>
      <c r="DF7" s="666"/>
      <c r="DG7" s="14" t="s">
        <v>641</v>
      </c>
      <c r="DH7" s="12">
        <v>380</v>
      </c>
      <c r="DI7" s="668" t="s">
        <v>856</v>
      </c>
    </row>
    <row r="8" spans="1:113" ht="27" customHeight="1">
      <c r="A8" s="1672" t="s">
        <v>867</v>
      </c>
      <c r="B8" s="1672"/>
      <c r="C8" s="1672"/>
      <c r="D8" s="1672"/>
      <c r="E8" s="1672"/>
      <c r="F8" s="1672"/>
      <c r="G8" s="1672"/>
      <c r="H8" s="1672"/>
      <c r="I8" s="1672"/>
      <c r="J8" s="1672"/>
      <c r="K8" s="1672"/>
      <c r="L8" s="1672"/>
      <c r="M8" s="1672"/>
      <c r="N8" s="1672"/>
      <c r="O8" s="1672"/>
      <c r="P8" s="1672"/>
      <c r="Q8" s="1672"/>
      <c r="R8" s="1672"/>
      <c r="S8" s="1672"/>
      <c r="T8" s="1674"/>
      <c r="U8" s="796"/>
      <c r="V8" s="657" t="b">
        <v>0</v>
      </c>
      <c r="W8" s="2120"/>
      <c r="X8" s="1999"/>
      <c r="Y8" s="390">
        <f>'03 食事申込書'!BT109</f>
        <v>0</v>
      </c>
      <c r="Z8" s="391">
        <f>'03 食事申込書'!BV109</f>
        <v>0</v>
      </c>
      <c r="AA8" s="1722">
        <f>'03 食事申込書'!BW109</f>
        <v>0</v>
      </c>
      <c r="AB8" s="1723"/>
      <c r="AC8" s="1723"/>
      <c r="AD8" s="386">
        <f t="shared" ref="AD8:AD9" si="2">IFERROR(VLOOKUP(AA8, $DC$3:$DD$71, 2, FALSE), 0)</f>
        <v>0</v>
      </c>
      <c r="AE8" s="387">
        <f>'03 食事申込書'!BY109</f>
        <v>0</v>
      </c>
      <c r="AF8" s="1724"/>
      <c r="AG8" s="1710"/>
      <c r="AH8" s="1721"/>
      <c r="AI8" s="1710"/>
      <c r="AJ8" s="1710"/>
      <c r="AK8" s="1721"/>
      <c r="AL8" s="1720"/>
      <c r="AM8" s="1710"/>
      <c r="AN8" s="1721"/>
      <c r="AO8" s="1720"/>
      <c r="AP8" s="1710"/>
      <c r="AQ8" s="1721"/>
      <c r="AR8" s="1720"/>
      <c r="AS8" s="1710"/>
      <c r="AT8" s="1721"/>
      <c r="AU8" s="1720"/>
      <c r="AV8" s="1710"/>
      <c r="AW8" s="1721"/>
      <c r="AX8" s="675"/>
      <c r="AY8" s="675"/>
      <c r="AZ8" s="394"/>
      <c r="BA8" s="499">
        <f>IF('03 食事申込書'!BY109=AF8+AI8+AR8+AL8+AO8+AU8+AZ8,AD8*AE8,"人数を再確認！")</f>
        <v>0</v>
      </c>
      <c r="BB8" s="649" t="str">
        <f t="shared" si="0"/>
        <v/>
      </c>
      <c r="BC8" s="1672" t="s">
        <v>867</v>
      </c>
      <c r="BD8" s="1672"/>
      <c r="BE8" s="1672"/>
      <c r="BF8" s="1672"/>
      <c r="BG8" s="1672"/>
      <c r="BH8" s="1672"/>
      <c r="BI8" s="1672"/>
      <c r="BJ8" s="1672"/>
      <c r="BK8" s="1672"/>
      <c r="BL8" s="1672"/>
      <c r="BM8" s="1672"/>
      <c r="BN8" s="1672"/>
      <c r="BO8" s="1672"/>
      <c r="BP8" s="1672"/>
      <c r="BQ8" s="1672"/>
      <c r="BR8" s="1672"/>
      <c r="BS8" s="1672"/>
      <c r="BT8" s="1672"/>
      <c r="BU8" s="1672"/>
      <c r="BV8" s="1674"/>
      <c r="BW8" s="796"/>
      <c r="BX8" s="555"/>
      <c r="BY8" s="2111"/>
      <c r="BZ8" s="1999"/>
      <c r="CA8" s="390">
        <f>'[2]03 食事申込書'!DQ109</f>
        <v>0</v>
      </c>
      <c r="CB8" s="391">
        <f>'[2]03 食事申込書'!DS109</f>
        <v>0</v>
      </c>
      <c r="CC8" s="1722" t="s">
        <v>591</v>
      </c>
      <c r="CD8" s="1723"/>
      <c r="CE8" s="1723"/>
      <c r="CF8" s="392">
        <v>570</v>
      </c>
      <c r="CG8" s="387">
        <v>100</v>
      </c>
      <c r="CH8" s="1724">
        <v>100</v>
      </c>
      <c r="CI8" s="1710"/>
      <c r="CJ8" s="1721"/>
      <c r="CK8" s="1710"/>
      <c r="CL8" s="1710"/>
      <c r="CM8" s="1721"/>
      <c r="CN8" s="1720"/>
      <c r="CO8" s="1710"/>
      <c r="CP8" s="1721"/>
      <c r="CQ8" s="1720"/>
      <c r="CR8" s="1710"/>
      <c r="CS8" s="1721"/>
      <c r="CT8" s="1720"/>
      <c r="CU8" s="1710"/>
      <c r="CV8" s="1721"/>
      <c r="CW8" s="393"/>
      <c r="CX8" s="394"/>
      <c r="CY8" s="499">
        <f t="shared" si="1"/>
        <v>57000</v>
      </c>
      <c r="CZ8" s="12" t="s">
        <v>138</v>
      </c>
      <c r="DA8" s="12">
        <v>450</v>
      </c>
      <c r="DB8" s="9"/>
      <c r="DC8" s="17" t="s">
        <v>143</v>
      </c>
      <c r="DD8" s="83">
        <v>840</v>
      </c>
      <c r="DE8" s="666" t="s">
        <v>826</v>
      </c>
      <c r="DF8" s="666"/>
      <c r="DG8" s="14"/>
      <c r="DH8" s="12"/>
    </row>
    <row r="9" spans="1:113" ht="27" customHeight="1">
      <c r="A9" s="1673"/>
      <c r="B9" s="1673"/>
      <c r="C9" s="1673"/>
      <c r="D9" s="1673"/>
      <c r="E9" s="1673"/>
      <c r="F9" s="1673"/>
      <c r="G9" s="1673"/>
      <c r="H9" s="1673"/>
      <c r="I9" s="1673"/>
      <c r="J9" s="1673"/>
      <c r="K9" s="1673"/>
      <c r="L9" s="1673"/>
      <c r="M9" s="1673"/>
      <c r="N9" s="1673"/>
      <c r="O9" s="1673"/>
      <c r="P9" s="1673"/>
      <c r="Q9" s="1673"/>
      <c r="R9" s="1673"/>
      <c r="S9" s="1673"/>
      <c r="T9" s="1674"/>
      <c r="U9" s="807" t="b">
        <v>0</v>
      </c>
      <c r="V9" s="657"/>
      <c r="W9" s="2120"/>
      <c r="X9" s="1999"/>
      <c r="Y9" s="390">
        <f>'03 食事申込書'!BT110</f>
        <v>0</v>
      </c>
      <c r="Z9" s="391">
        <f>'03 食事申込書'!BV110</f>
        <v>0</v>
      </c>
      <c r="AA9" s="1722">
        <f>'03 食事申込書'!BW110</f>
        <v>0</v>
      </c>
      <c r="AB9" s="1723"/>
      <c r="AC9" s="1723"/>
      <c r="AD9" s="386">
        <f t="shared" si="2"/>
        <v>0</v>
      </c>
      <c r="AE9" s="387">
        <f>'03 食事申込書'!BY110</f>
        <v>0</v>
      </c>
      <c r="AF9" s="1724"/>
      <c r="AG9" s="1710"/>
      <c r="AH9" s="1721"/>
      <c r="AI9" s="1710"/>
      <c r="AJ9" s="1710"/>
      <c r="AK9" s="1721"/>
      <c r="AL9" s="1720"/>
      <c r="AM9" s="1710"/>
      <c r="AN9" s="1721"/>
      <c r="AO9" s="1720"/>
      <c r="AP9" s="1710"/>
      <c r="AQ9" s="1721"/>
      <c r="AR9" s="1720"/>
      <c r="AS9" s="1710"/>
      <c r="AT9" s="1721"/>
      <c r="AU9" s="1720"/>
      <c r="AV9" s="1710"/>
      <c r="AW9" s="1721"/>
      <c r="AX9" s="675"/>
      <c r="AY9" s="675"/>
      <c r="AZ9" s="394"/>
      <c r="BA9" s="499">
        <f>IF('03 食事申込書'!BY110=AF9+AI9+AR9+AL9+AO9+AU9+AZ9,AD9*AE9,"人数を再確認！")</f>
        <v>0</v>
      </c>
      <c r="BB9" s="649" t="str">
        <f t="shared" si="0"/>
        <v/>
      </c>
      <c r="BC9" s="1673"/>
      <c r="BD9" s="1673"/>
      <c r="BE9" s="1673"/>
      <c r="BF9" s="1673"/>
      <c r="BG9" s="1673"/>
      <c r="BH9" s="1673"/>
      <c r="BI9" s="1673"/>
      <c r="BJ9" s="1673"/>
      <c r="BK9" s="1673"/>
      <c r="BL9" s="1673"/>
      <c r="BM9" s="1673"/>
      <c r="BN9" s="1673"/>
      <c r="BO9" s="1673"/>
      <c r="BP9" s="1673"/>
      <c r="BQ9" s="1673"/>
      <c r="BR9" s="1673"/>
      <c r="BS9" s="1673"/>
      <c r="BT9" s="1673"/>
      <c r="BU9" s="1673"/>
      <c r="BV9" s="1674"/>
      <c r="BW9" s="807" t="b">
        <v>0</v>
      </c>
      <c r="BX9" s="555"/>
      <c r="BY9" s="2111"/>
      <c r="BZ9" s="1999"/>
      <c r="CA9" s="390">
        <f>'[2]03 食事申込書'!DQ110</f>
        <v>0</v>
      </c>
      <c r="CB9" s="391">
        <f>'[2]03 食事申込書'!DS110</f>
        <v>0</v>
      </c>
      <c r="CC9" s="1722" t="s">
        <v>592</v>
      </c>
      <c r="CD9" s="1723"/>
      <c r="CE9" s="1723"/>
      <c r="CF9" s="395">
        <v>620</v>
      </c>
      <c r="CG9" s="387">
        <v>10</v>
      </c>
      <c r="CH9" s="1724"/>
      <c r="CI9" s="1710"/>
      <c r="CJ9" s="1721"/>
      <c r="CK9" s="1710">
        <v>6</v>
      </c>
      <c r="CL9" s="1710"/>
      <c r="CM9" s="1721"/>
      <c r="CN9" s="1720">
        <v>5</v>
      </c>
      <c r="CO9" s="1710"/>
      <c r="CP9" s="1721"/>
      <c r="CQ9" s="1720"/>
      <c r="CR9" s="1710"/>
      <c r="CS9" s="1721"/>
      <c r="CT9" s="1720"/>
      <c r="CU9" s="1710"/>
      <c r="CV9" s="1721"/>
      <c r="CW9" s="393"/>
      <c r="CX9" s="394"/>
      <c r="CY9" s="499">
        <f t="shared" si="1"/>
        <v>6200</v>
      </c>
      <c r="CZ9" s="9"/>
      <c r="DA9" s="9"/>
      <c r="DB9" s="9"/>
      <c r="DC9" s="17" t="s">
        <v>144</v>
      </c>
      <c r="DD9" s="83">
        <v>990</v>
      </c>
      <c r="DE9" s="666" t="s">
        <v>827</v>
      </c>
      <c r="DF9" s="666"/>
      <c r="DG9" s="14"/>
      <c r="DH9" s="12"/>
    </row>
    <row r="10" spans="1:113" ht="27" customHeight="1" thickBot="1">
      <c r="A10" s="1673"/>
      <c r="B10" s="1673"/>
      <c r="C10" s="1673"/>
      <c r="D10" s="1673"/>
      <c r="E10" s="1673"/>
      <c r="F10" s="1673"/>
      <c r="G10" s="1673"/>
      <c r="H10" s="1673"/>
      <c r="I10" s="1673"/>
      <c r="J10" s="1673"/>
      <c r="K10" s="1673"/>
      <c r="L10" s="1673"/>
      <c r="M10" s="1673"/>
      <c r="N10" s="1673"/>
      <c r="O10" s="1673"/>
      <c r="P10" s="1673"/>
      <c r="Q10" s="1673"/>
      <c r="R10" s="1673"/>
      <c r="S10" s="1673"/>
      <c r="T10" s="1674"/>
      <c r="U10" s="514"/>
      <c r="V10" s="657" t="b">
        <v>0</v>
      </c>
      <c r="W10" s="2120"/>
      <c r="X10" s="1999"/>
      <c r="Y10" s="390">
        <f>'03 食事申込書'!BT111</f>
        <v>0</v>
      </c>
      <c r="Z10" s="391">
        <f>'03 食事申込書'!BV111</f>
        <v>0</v>
      </c>
      <c r="AA10" s="1722">
        <f>'03 食事申込書'!BW111</f>
        <v>0</v>
      </c>
      <c r="AB10" s="1723"/>
      <c r="AC10" s="1723"/>
      <c r="AD10" s="392">
        <f t="shared" ref="AD10:AD12" si="3">IF(ISERROR(VLOOKUP(AA10,$DC$3:$DD$71,2,FALSE)),0,VLOOKUP(AA10,$DC$3:$DD$71,2,FALSE))</f>
        <v>0</v>
      </c>
      <c r="AE10" s="387">
        <f>'03 食事申込書'!BY111</f>
        <v>0</v>
      </c>
      <c r="AF10" s="1724"/>
      <c r="AG10" s="1710"/>
      <c r="AH10" s="1721"/>
      <c r="AI10" s="1710"/>
      <c r="AJ10" s="1710"/>
      <c r="AK10" s="1721"/>
      <c r="AL10" s="1720"/>
      <c r="AM10" s="1710"/>
      <c r="AN10" s="1721"/>
      <c r="AO10" s="1720"/>
      <c r="AP10" s="1710"/>
      <c r="AQ10" s="1721"/>
      <c r="AR10" s="1720"/>
      <c r="AS10" s="1710"/>
      <c r="AT10" s="1721"/>
      <c r="AU10" s="1720"/>
      <c r="AV10" s="1710"/>
      <c r="AW10" s="1721"/>
      <c r="AX10" s="675"/>
      <c r="AY10" s="675"/>
      <c r="AZ10" s="394"/>
      <c r="BA10" s="499">
        <f>IF('03 食事申込書'!BY111=AF10+AI10+AR10+AL10+AO10+AU10+AZ10,AD10*AE10,"人数を再確認！")</f>
        <v>0</v>
      </c>
      <c r="BB10" s="649" t="str">
        <f t="shared" si="0"/>
        <v/>
      </c>
      <c r="BC10" s="1673"/>
      <c r="BD10" s="1673"/>
      <c r="BE10" s="1673"/>
      <c r="BF10" s="1673"/>
      <c r="BG10" s="1673"/>
      <c r="BH10" s="1673"/>
      <c r="BI10" s="1673"/>
      <c r="BJ10" s="1673"/>
      <c r="BK10" s="1673"/>
      <c r="BL10" s="1673"/>
      <c r="BM10" s="1673"/>
      <c r="BN10" s="1673"/>
      <c r="BO10" s="1673"/>
      <c r="BP10" s="1673"/>
      <c r="BQ10" s="1673"/>
      <c r="BR10" s="1673"/>
      <c r="BS10" s="1673"/>
      <c r="BT10" s="1673"/>
      <c r="BU10" s="1673"/>
      <c r="BV10" s="1674"/>
      <c r="BW10" s="514"/>
      <c r="BX10" s="556" t="b">
        <v>0</v>
      </c>
      <c r="BY10" s="2111"/>
      <c r="BZ10" s="1999"/>
      <c r="CA10" s="390">
        <f>'[2]03 食事申込書'!DQ111</f>
        <v>0</v>
      </c>
      <c r="CB10" s="391">
        <f>'[2]03 食事申込書'!DS111</f>
        <v>0</v>
      </c>
      <c r="CC10" s="1722" t="s">
        <v>593</v>
      </c>
      <c r="CD10" s="1723"/>
      <c r="CE10" s="1723"/>
      <c r="CF10" s="392">
        <v>440</v>
      </c>
      <c r="CG10" s="387">
        <v>109</v>
      </c>
      <c r="CH10" s="1724">
        <v>100</v>
      </c>
      <c r="CI10" s="1710"/>
      <c r="CJ10" s="1721"/>
      <c r="CK10" s="1710">
        <v>6</v>
      </c>
      <c r="CL10" s="1710"/>
      <c r="CM10" s="1721"/>
      <c r="CN10" s="1720">
        <v>5</v>
      </c>
      <c r="CO10" s="1710"/>
      <c r="CP10" s="1721"/>
      <c r="CQ10" s="1720"/>
      <c r="CR10" s="1710"/>
      <c r="CS10" s="1721"/>
      <c r="CT10" s="1720"/>
      <c r="CU10" s="1710"/>
      <c r="CV10" s="1721"/>
      <c r="CW10" s="393"/>
      <c r="CX10" s="394"/>
      <c r="CY10" s="499">
        <f t="shared" si="1"/>
        <v>47960</v>
      </c>
      <c r="CZ10" s="2071" t="s">
        <v>145</v>
      </c>
      <c r="DA10" s="2071"/>
      <c r="DB10" s="9"/>
      <c r="DC10" s="17" t="s">
        <v>146</v>
      </c>
      <c r="DD10" s="83">
        <v>1030</v>
      </c>
      <c r="DE10" s="666" t="s">
        <v>828</v>
      </c>
      <c r="DF10" s="666"/>
      <c r="DG10" s="14"/>
      <c r="DH10" s="12"/>
    </row>
    <row r="11" spans="1:113" ht="27" customHeight="1" thickBot="1">
      <c r="A11" s="1675" t="s">
        <v>808</v>
      </c>
      <c r="B11" s="1676"/>
      <c r="C11" s="1676"/>
      <c r="D11" s="1676"/>
      <c r="E11" s="1676"/>
      <c r="F11" s="1676"/>
      <c r="G11" s="1676"/>
      <c r="H11" s="1676"/>
      <c r="I11" s="1676"/>
      <c r="J11" s="1676"/>
      <c r="K11" s="1676"/>
      <c r="L11" s="1676"/>
      <c r="M11" s="1676"/>
      <c r="N11" s="1676"/>
      <c r="O11" s="1676"/>
      <c r="P11" s="1677"/>
      <c r="Q11" s="1678" t="s">
        <v>805</v>
      </c>
      <c r="R11" s="1679"/>
      <c r="S11" s="1680"/>
      <c r="T11" s="803" t="s">
        <v>803</v>
      </c>
      <c r="U11" s="514"/>
      <c r="V11" s="777"/>
      <c r="W11" s="2120"/>
      <c r="X11" s="1999"/>
      <c r="Y11" s="390">
        <f>'03 食事申込書'!BT112</f>
        <v>0</v>
      </c>
      <c r="Z11" s="391">
        <f>'03 食事申込書'!BV112</f>
        <v>0</v>
      </c>
      <c r="AA11" s="1722">
        <f>'03 食事申込書'!BW112</f>
        <v>0</v>
      </c>
      <c r="AB11" s="1723"/>
      <c r="AC11" s="1723"/>
      <c r="AD11" s="392">
        <f t="shared" si="3"/>
        <v>0</v>
      </c>
      <c r="AE11" s="387">
        <f>'03 食事申込書'!BY112</f>
        <v>0</v>
      </c>
      <c r="AF11" s="1724"/>
      <c r="AG11" s="1710"/>
      <c r="AH11" s="1721"/>
      <c r="AI11" s="1720"/>
      <c r="AJ11" s="1710"/>
      <c r="AK11" s="1721"/>
      <c r="AL11" s="1720"/>
      <c r="AM11" s="1710"/>
      <c r="AN11" s="1721"/>
      <c r="AO11" s="1720"/>
      <c r="AP11" s="1710"/>
      <c r="AQ11" s="1721"/>
      <c r="AR11" s="1720"/>
      <c r="AS11" s="1710"/>
      <c r="AT11" s="1721"/>
      <c r="AU11" s="1720"/>
      <c r="AV11" s="1710"/>
      <c r="AW11" s="1721"/>
      <c r="AX11" s="675"/>
      <c r="AY11" s="675"/>
      <c r="AZ11" s="394"/>
      <c r="BA11" s="499">
        <f>IF('03 食事申込書'!BY112=AF11+AL11+AI11+AO11+AR11+AU11+AZ11,AD11*AE11,"人数を再確認！")</f>
        <v>0</v>
      </c>
      <c r="BB11" s="649" t="str">
        <f t="shared" si="0"/>
        <v/>
      </c>
      <c r="BC11" s="1675" t="s">
        <v>808</v>
      </c>
      <c r="BD11" s="1676"/>
      <c r="BE11" s="1676"/>
      <c r="BF11" s="1676"/>
      <c r="BG11" s="1676"/>
      <c r="BH11" s="1676"/>
      <c r="BI11" s="1676"/>
      <c r="BJ11" s="1676"/>
      <c r="BK11" s="1676"/>
      <c r="BL11" s="1676"/>
      <c r="BM11" s="1676"/>
      <c r="BN11" s="1676"/>
      <c r="BO11" s="1676"/>
      <c r="BP11" s="1676"/>
      <c r="BQ11" s="1676"/>
      <c r="BR11" s="1677"/>
      <c r="BS11" s="1678" t="s">
        <v>805</v>
      </c>
      <c r="BT11" s="1679"/>
      <c r="BU11" s="1680"/>
      <c r="BV11" s="803" t="s">
        <v>803</v>
      </c>
      <c r="BW11" s="514"/>
      <c r="BX11" s="557" t="b">
        <v>0</v>
      </c>
      <c r="BY11" s="2111"/>
      <c r="BZ11" s="1999"/>
      <c r="CA11" s="390">
        <f>'[2]03 食事申込書'!DQ112</f>
        <v>0</v>
      </c>
      <c r="CB11" s="391">
        <f>'[2]03 食事申込書'!DS112</f>
        <v>0</v>
      </c>
      <c r="CC11" s="1722" t="s">
        <v>594</v>
      </c>
      <c r="CD11" s="1723"/>
      <c r="CE11" s="1723"/>
      <c r="CF11" s="392">
        <v>440</v>
      </c>
      <c r="CG11" s="387">
        <v>1</v>
      </c>
      <c r="CH11" s="1724">
        <v>1</v>
      </c>
      <c r="CI11" s="1710"/>
      <c r="CJ11" s="1721"/>
      <c r="CK11" s="1720"/>
      <c r="CL11" s="1710"/>
      <c r="CM11" s="1721"/>
      <c r="CN11" s="1720"/>
      <c r="CO11" s="1710"/>
      <c r="CP11" s="1721"/>
      <c r="CQ11" s="1720"/>
      <c r="CR11" s="1710"/>
      <c r="CS11" s="1721"/>
      <c r="CT11" s="1720"/>
      <c r="CU11" s="1710"/>
      <c r="CV11" s="1721"/>
      <c r="CW11" s="393"/>
      <c r="CX11" s="394"/>
      <c r="CY11" s="499">
        <f t="shared" si="1"/>
        <v>440</v>
      </c>
      <c r="CZ11" s="12"/>
      <c r="DA11" s="12"/>
      <c r="DB11" s="9"/>
      <c r="DC11" s="17" t="s">
        <v>148</v>
      </c>
      <c r="DD11" s="83">
        <v>710</v>
      </c>
      <c r="DE11" s="666" t="s">
        <v>829</v>
      </c>
      <c r="DF11" s="666"/>
      <c r="DG11" s="14"/>
      <c r="DH11" s="12"/>
    </row>
    <row r="12" spans="1:113" ht="27" customHeight="1">
      <c r="A12" s="1681" t="s">
        <v>149</v>
      </c>
      <c r="B12" s="1684" t="s">
        <v>150</v>
      </c>
      <c r="C12" s="1685"/>
      <c r="D12" s="1685"/>
      <c r="E12" s="1685"/>
      <c r="F12" s="1686"/>
      <c r="G12" s="1687"/>
      <c r="H12" s="1688"/>
      <c r="I12" s="1688"/>
      <c r="J12" s="1688"/>
      <c r="K12" s="1688"/>
      <c r="L12" s="1688"/>
      <c r="M12" s="1688"/>
      <c r="N12" s="1688"/>
      <c r="O12" s="1688"/>
      <c r="P12" s="1689"/>
      <c r="Q12" s="1782" t="s">
        <v>804</v>
      </c>
      <c r="R12" s="1783"/>
      <c r="S12" s="1784"/>
      <c r="T12" s="797"/>
      <c r="U12" s="804" t="b">
        <v>0</v>
      </c>
      <c r="V12" s="798"/>
      <c r="W12" s="2120"/>
      <c r="X12" s="1999"/>
      <c r="Y12" s="390">
        <f>'03 食事申込書'!BT113</f>
        <v>0</v>
      </c>
      <c r="Z12" s="391">
        <f>'03 食事申込書'!BV113</f>
        <v>0</v>
      </c>
      <c r="AA12" s="1722">
        <f>'03 食事申込書'!BW113</f>
        <v>0</v>
      </c>
      <c r="AB12" s="1723"/>
      <c r="AC12" s="1723"/>
      <c r="AD12" s="392">
        <f t="shared" si="3"/>
        <v>0</v>
      </c>
      <c r="AE12" s="387">
        <f>'03 食事申込書'!BY113</f>
        <v>0</v>
      </c>
      <c r="AF12" s="1724"/>
      <c r="AG12" s="1710"/>
      <c r="AH12" s="1721"/>
      <c r="AI12" s="1720"/>
      <c r="AJ12" s="1710"/>
      <c r="AK12" s="1721"/>
      <c r="AL12" s="1720"/>
      <c r="AM12" s="1710"/>
      <c r="AN12" s="1721"/>
      <c r="AO12" s="1720"/>
      <c r="AP12" s="1710"/>
      <c r="AQ12" s="1721"/>
      <c r="AR12" s="1720"/>
      <c r="AS12" s="1710"/>
      <c r="AT12" s="1721"/>
      <c r="AU12" s="1720"/>
      <c r="AV12" s="1710"/>
      <c r="AW12" s="1721"/>
      <c r="AX12" s="675"/>
      <c r="AY12" s="675"/>
      <c r="AZ12" s="394"/>
      <c r="BA12" s="499">
        <f>IF('03 食事申込書'!BY113=AF12+AL12+AI12+AO12+AR12+AU12+AZ12,AD12*AE12,"人数を再確認！")</f>
        <v>0</v>
      </c>
      <c r="BB12" s="649" t="str">
        <f t="shared" si="0"/>
        <v/>
      </c>
      <c r="BC12" s="1681" t="s">
        <v>149</v>
      </c>
      <c r="BD12" s="1684" t="s">
        <v>150</v>
      </c>
      <c r="BE12" s="1685"/>
      <c r="BF12" s="1685"/>
      <c r="BG12" s="1685"/>
      <c r="BH12" s="1686"/>
      <c r="BI12" s="1687" t="s">
        <v>936</v>
      </c>
      <c r="BJ12" s="1688"/>
      <c r="BK12" s="1688"/>
      <c r="BL12" s="1688"/>
      <c r="BM12" s="1688"/>
      <c r="BN12" s="1688"/>
      <c r="BO12" s="1688"/>
      <c r="BP12" s="1688"/>
      <c r="BQ12" s="1688"/>
      <c r="BR12" s="1689"/>
      <c r="BS12" s="1690" t="s">
        <v>804</v>
      </c>
      <c r="BT12" s="1691"/>
      <c r="BU12" s="1692"/>
      <c r="BV12" s="797"/>
      <c r="BW12" s="804" t="b">
        <v>0</v>
      </c>
      <c r="BX12" s="557" t="b">
        <v>0</v>
      </c>
      <c r="BY12" s="2111"/>
      <c r="BZ12" s="1999"/>
      <c r="CA12" s="390">
        <f>'[2]03 食事申込書'!DQ113</f>
        <v>0</v>
      </c>
      <c r="CB12" s="391">
        <f>'[2]03 食事申込書'!DS113</f>
        <v>0</v>
      </c>
      <c r="CC12" s="1722" t="s">
        <v>939</v>
      </c>
      <c r="CD12" s="1723"/>
      <c r="CE12" s="1723"/>
      <c r="CF12" s="395">
        <v>180</v>
      </c>
      <c r="CG12" s="387">
        <v>111</v>
      </c>
      <c r="CH12" s="1724">
        <v>100</v>
      </c>
      <c r="CI12" s="1710"/>
      <c r="CJ12" s="1721"/>
      <c r="CK12" s="1720">
        <v>6</v>
      </c>
      <c r="CL12" s="1710"/>
      <c r="CM12" s="1721"/>
      <c r="CN12" s="1720">
        <v>5</v>
      </c>
      <c r="CO12" s="1710"/>
      <c r="CP12" s="1721"/>
      <c r="CQ12" s="1720"/>
      <c r="CR12" s="1710"/>
      <c r="CS12" s="1721"/>
      <c r="CT12" s="1720"/>
      <c r="CU12" s="1710"/>
      <c r="CV12" s="1721"/>
      <c r="CW12" s="393"/>
      <c r="CX12" s="394"/>
      <c r="CY12" s="499">
        <f t="shared" si="1"/>
        <v>19980</v>
      </c>
      <c r="CZ12" s="12" t="s">
        <v>42</v>
      </c>
      <c r="DA12" s="20">
        <v>2700</v>
      </c>
      <c r="DB12" s="9"/>
      <c r="DC12" s="17" t="s">
        <v>151</v>
      </c>
      <c r="DD12" s="83">
        <v>820</v>
      </c>
      <c r="DE12" s="666" t="s">
        <v>830</v>
      </c>
      <c r="DF12" s="666"/>
      <c r="DG12" s="14"/>
      <c r="DH12" s="12"/>
    </row>
    <row r="13" spans="1:113" ht="27" customHeight="1">
      <c r="A13" s="1682"/>
      <c r="B13" s="1693" t="s">
        <v>153</v>
      </c>
      <c r="C13" s="1694"/>
      <c r="D13" s="1694"/>
      <c r="E13" s="1694"/>
      <c r="F13" s="1695"/>
      <c r="G13" s="1696"/>
      <c r="H13" s="1697"/>
      <c r="I13" s="1697"/>
      <c r="J13" s="1697"/>
      <c r="K13" s="1697"/>
      <c r="L13" s="1697"/>
      <c r="M13" s="1697"/>
      <c r="N13" s="1697"/>
      <c r="O13" s="1697"/>
      <c r="P13" s="1698"/>
      <c r="Q13" s="1715" t="s">
        <v>804</v>
      </c>
      <c r="R13" s="1716"/>
      <c r="S13" s="1717"/>
      <c r="T13" s="801"/>
      <c r="U13" s="805" t="b">
        <v>0</v>
      </c>
      <c r="V13" s="798"/>
      <c r="W13" s="2120"/>
      <c r="X13" s="1999"/>
      <c r="Y13" s="390">
        <f>'03 食事申込書'!BT114</f>
        <v>0</v>
      </c>
      <c r="Z13" s="391">
        <f>'03 食事申込書'!BV114</f>
        <v>0</v>
      </c>
      <c r="AA13" s="1722">
        <f>'03 食事申込書'!BW114</f>
        <v>0</v>
      </c>
      <c r="AB13" s="1723"/>
      <c r="AC13" s="1723"/>
      <c r="AD13" s="392">
        <f>IF(ISERROR(VLOOKUP(AA13,$DC$3:$DD$67,2,FALSE)),0,VLOOKUP(AA13,$DC$3:$DD$67,2,FALSE))</f>
        <v>0</v>
      </c>
      <c r="AE13" s="387">
        <f>'03 食事申込書'!BY114</f>
        <v>0</v>
      </c>
      <c r="AF13" s="1724"/>
      <c r="AG13" s="1710"/>
      <c r="AH13" s="1721"/>
      <c r="AI13" s="1720"/>
      <c r="AJ13" s="1710"/>
      <c r="AK13" s="1721"/>
      <c r="AL13" s="1720"/>
      <c r="AM13" s="1710"/>
      <c r="AN13" s="1721"/>
      <c r="AO13" s="1720"/>
      <c r="AP13" s="1710"/>
      <c r="AQ13" s="1721"/>
      <c r="AR13" s="1720"/>
      <c r="AS13" s="1710"/>
      <c r="AT13" s="1721"/>
      <c r="AU13" s="1720"/>
      <c r="AV13" s="1710"/>
      <c r="AW13" s="1721"/>
      <c r="AX13" s="675"/>
      <c r="AY13" s="675"/>
      <c r="AZ13" s="394"/>
      <c r="BA13" s="499">
        <f>IF('03 食事申込書'!BY114=AF13+AL13+AI13+AO13+AR13+AU13+AZ13,AD13*AE13,"人数を再確認！")</f>
        <v>0</v>
      </c>
      <c r="BB13" s="649" t="str">
        <f t="shared" si="0"/>
        <v/>
      </c>
      <c r="BC13" s="1682"/>
      <c r="BD13" s="1693" t="s">
        <v>153</v>
      </c>
      <c r="BE13" s="1694"/>
      <c r="BF13" s="1694"/>
      <c r="BG13" s="1694"/>
      <c r="BH13" s="1695"/>
      <c r="BI13" s="1696" t="s">
        <v>937</v>
      </c>
      <c r="BJ13" s="1697"/>
      <c r="BK13" s="1697"/>
      <c r="BL13" s="1697"/>
      <c r="BM13" s="1697"/>
      <c r="BN13" s="1697"/>
      <c r="BO13" s="1697"/>
      <c r="BP13" s="1697"/>
      <c r="BQ13" s="1697"/>
      <c r="BR13" s="1698"/>
      <c r="BS13" s="1699" t="s">
        <v>804</v>
      </c>
      <c r="BT13" s="1700"/>
      <c r="BU13" s="1701"/>
      <c r="BV13" s="801"/>
      <c r="BW13" s="805" t="b">
        <v>0</v>
      </c>
      <c r="BX13" s="557" t="b">
        <v>0</v>
      </c>
      <c r="BY13" s="2111"/>
      <c r="BZ13" s="1999"/>
      <c r="CA13" s="390">
        <f>'[2]03 食事申込書'!DQ114</f>
        <v>0</v>
      </c>
      <c r="CB13" s="391">
        <f>'[2]03 食事申込書'!DS114</f>
        <v>0</v>
      </c>
      <c r="CC13" s="1722" t="s">
        <v>940</v>
      </c>
      <c r="CD13" s="1723"/>
      <c r="CE13" s="1723"/>
      <c r="CF13" s="396">
        <v>180</v>
      </c>
      <c r="CG13" s="387">
        <v>111</v>
      </c>
      <c r="CH13" s="1724">
        <v>100</v>
      </c>
      <c r="CI13" s="1710"/>
      <c r="CJ13" s="1721"/>
      <c r="CK13" s="1720">
        <v>6</v>
      </c>
      <c r="CL13" s="1710"/>
      <c r="CM13" s="1721"/>
      <c r="CN13" s="1720">
        <v>5</v>
      </c>
      <c r="CO13" s="1710"/>
      <c r="CP13" s="1721"/>
      <c r="CQ13" s="1720"/>
      <c r="CR13" s="1710"/>
      <c r="CS13" s="1721"/>
      <c r="CT13" s="1720"/>
      <c r="CU13" s="1710"/>
      <c r="CV13" s="1721"/>
      <c r="CW13" s="393"/>
      <c r="CX13" s="394"/>
      <c r="CY13" s="499">
        <f t="shared" si="1"/>
        <v>19980</v>
      </c>
      <c r="CZ13" s="12" t="s">
        <v>43</v>
      </c>
      <c r="DA13" s="20">
        <v>4400</v>
      </c>
      <c r="DB13" s="9"/>
      <c r="DC13" s="17" t="s">
        <v>154</v>
      </c>
      <c r="DD13" s="83">
        <v>870</v>
      </c>
      <c r="DE13" s="666" t="s">
        <v>831</v>
      </c>
      <c r="DF13" s="819" t="s">
        <v>882</v>
      </c>
      <c r="DG13" s="14"/>
      <c r="DH13" s="12"/>
    </row>
    <row r="14" spans="1:113" ht="27" customHeight="1">
      <c r="A14" s="1682"/>
      <c r="B14" s="1693" t="s">
        <v>155</v>
      </c>
      <c r="C14" s="1694"/>
      <c r="D14" s="1694"/>
      <c r="E14" s="1694"/>
      <c r="F14" s="1695"/>
      <c r="G14" s="1696"/>
      <c r="H14" s="1697"/>
      <c r="I14" s="1697"/>
      <c r="J14" s="1697"/>
      <c r="K14" s="1697"/>
      <c r="L14" s="1697"/>
      <c r="M14" s="1697"/>
      <c r="N14" s="1697"/>
      <c r="O14" s="1697"/>
      <c r="P14" s="1698"/>
      <c r="Q14" s="1715" t="s">
        <v>804</v>
      </c>
      <c r="R14" s="1716"/>
      <c r="S14" s="1717"/>
      <c r="T14" s="800"/>
      <c r="U14" s="806" t="b">
        <v>0</v>
      </c>
      <c r="V14" s="798"/>
      <c r="W14" s="2120"/>
      <c r="X14" s="1999"/>
      <c r="Y14" s="390">
        <f>'03 食事申込書'!BT115</f>
        <v>0</v>
      </c>
      <c r="Z14" s="391">
        <f>'03 食事申込書'!BV115</f>
        <v>0</v>
      </c>
      <c r="AA14" s="1722">
        <f>'03 食事申込書'!BW115</f>
        <v>0</v>
      </c>
      <c r="AB14" s="1723"/>
      <c r="AC14" s="1723"/>
      <c r="AD14" s="392">
        <f t="shared" ref="AD14:AD20" si="4">IF(ISERROR(VLOOKUP(AA14,$DC$3:$DD$67,2,FALSE)),0,VLOOKUP(AA14,$DC$3:$DD$67,2,FALSE))</f>
        <v>0</v>
      </c>
      <c r="AE14" s="387">
        <f>'03 食事申込書'!BY115</f>
        <v>0</v>
      </c>
      <c r="AF14" s="1724"/>
      <c r="AG14" s="1710"/>
      <c r="AH14" s="1721"/>
      <c r="AI14" s="1720"/>
      <c r="AJ14" s="1710"/>
      <c r="AK14" s="1721"/>
      <c r="AL14" s="1720"/>
      <c r="AM14" s="1710"/>
      <c r="AN14" s="1721"/>
      <c r="AO14" s="1720"/>
      <c r="AP14" s="1710"/>
      <c r="AQ14" s="1721"/>
      <c r="AR14" s="1720"/>
      <c r="AS14" s="1710"/>
      <c r="AT14" s="1721"/>
      <c r="AU14" s="1720"/>
      <c r="AV14" s="1710"/>
      <c r="AW14" s="1721"/>
      <c r="AX14" s="675"/>
      <c r="AY14" s="675"/>
      <c r="AZ14" s="394"/>
      <c r="BA14" s="499">
        <f>IF('03 食事申込書'!BY115=AF14+AL14+AI14+AO14+AR14+AU14+AZ14,AD14*AE14,"人数を再確認！")</f>
        <v>0</v>
      </c>
      <c r="BB14" s="649" t="str">
        <f t="shared" si="0"/>
        <v/>
      </c>
      <c r="BC14" s="1682"/>
      <c r="BD14" s="1693" t="s">
        <v>155</v>
      </c>
      <c r="BE14" s="1694"/>
      <c r="BF14" s="1694"/>
      <c r="BG14" s="1694"/>
      <c r="BH14" s="1695"/>
      <c r="BI14" s="1696" t="s">
        <v>938</v>
      </c>
      <c r="BJ14" s="1697"/>
      <c r="BK14" s="1697"/>
      <c r="BL14" s="1697"/>
      <c r="BM14" s="1697"/>
      <c r="BN14" s="1697"/>
      <c r="BO14" s="1697"/>
      <c r="BP14" s="1697"/>
      <c r="BQ14" s="1697"/>
      <c r="BR14" s="1698"/>
      <c r="BS14" s="1699" t="s">
        <v>804</v>
      </c>
      <c r="BT14" s="1700"/>
      <c r="BU14" s="1701"/>
      <c r="BV14" s="800"/>
      <c r="BW14" s="806" t="b">
        <v>0</v>
      </c>
      <c r="BX14" s="557" t="b">
        <v>0</v>
      </c>
      <c r="BY14" s="2111"/>
      <c r="BZ14" s="1999"/>
      <c r="CA14" s="390">
        <f>'[2]03 食事申込書'!DQ115</f>
        <v>0</v>
      </c>
      <c r="CB14" s="391">
        <f>'[2]03 食事申込書'!DS115</f>
        <v>0</v>
      </c>
      <c r="CC14" s="1722">
        <f>'[2]03 食事申込書'!DT115</f>
        <v>0</v>
      </c>
      <c r="CD14" s="1723"/>
      <c r="CE14" s="1723"/>
      <c r="CF14" s="396">
        <f>IF(ISERROR(VLOOKUP(CC14,FA3:FB49,2,FALSE)),0,VLOOKUP(CC14,FA3:FB49,2,FALSE))</f>
        <v>0</v>
      </c>
      <c r="CG14" s="387">
        <f>'[2]03 食事申込書'!DV115</f>
        <v>0</v>
      </c>
      <c r="CH14" s="1724"/>
      <c r="CI14" s="1710"/>
      <c r="CJ14" s="1721"/>
      <c r="CK14" s="1720"/>
      <c r="CL14" s="1710"/>
      <c r="CM14" s="1721"/>
      <c r="CN14" s="1720"/>
      <c r="CO14" s="1710"/>
      <c r="CP14" s="1721"/>
      <c r="CQ14" s="1720"/>
      <c r="CR14" s="1710"/>
      <c r="CS14" s="1721"/>
      <c r="CT14" s="1720"/>
      <c r="CU14" s="1710"/>
      <c r="CV14" s="1721"/>
      <c r="CW14" s="393"/>
      <c r="CX14" s="394"/>
      <c r="CY14" s="499">
        <f>IF('[2]03 食事申込書'!DV115=CH14+CN14+CK14+CQ14+CT14+CW14+CX14,CF14*CG14,"人数を再確認！")</f>
        <v>0</v>
      </c>
      <c r="CZ14" s="15"/>
      <c r="DA14" s="15"/>
      <c r="DB14" s="9"/>
      <c r="DC14" s="728" t="s">
        <v>886</v>
      </c>
      <c r="DD14" s="83">
        <v>220</v>
      </c>
      <c r="DE14" s="826" t="s">
        <v>898</v>
      </c>
      <c r="DF14" s="819" t="s">
        <v>832</v>
      </c>
      <c r="DG14" s="14"/>
      <c r="DH14" s="12"/>
    </row>
    <row r="15" spans="1:113" ht="27" customHeight="1">
      <c r="A15" s="1682"/>
      <c r="B15" s="1693" t="s">
        <v>157</v>
      </c>
      <c r="C15" s="1694"/>
      <c r="D15" s="1694"/>
      <c r="E15" s="1694"/>
      <c r="F15" s="1695"/>
      <c r="G15" s="1696"/>
      <c r="H15" s="1697"/>
      <c r="I15" s="1697"/>
      <c r="J15" s="1697"/>
      <c r="K15" s="1697"/>
      <c r="L15" s="1697"/>
      <c r="M15" s="1697"/>
      <c r="N15" s="1697"/>
      <c r="O15" s="1697"/>
      <c r="P15" s="1698"/>
      <c r="Q15" s="1715" t="s">
        <v>804</v>
      </c>
      <c r="R15" s="1716"/>
      <c r="S15" s="1717"/>
      <c r="T15" s="800"/>
      <c r="U15" s="805" t="b">
        <v>0</v>
      </c>
      <c r="V15" s="799"/>
      <c r="W15" s="2120"/>
      <c r="X15" s="1999"/>
      <c r="Y15" s="390">
        <f>'03 食事申込書'!BT116</f>
        <v>0</v>
      </c>
      <c r="Z15" s="391">
        <f>'03 食事申込書'!BV116</f>
        <v>0</v>
      </c>
      <c r="AA15" s="1722">
        <f>'03 食事申込書'!BW116</f>
        <v>0</v>
      </c>
      <c r="AB15" s="1723"/>
      <c r="AC15" s="1723"/>
      <c r="AD15" s="392">
        <f t="shared" si="4"/>
        <v>0</v>
      </c>
      <c r="AE15" s="387">
        <f>'03 食事申込書'!BY116</f>
        <v>0</v>
      </c>
      <c r="AF15" s="1724"/>
      <c r="AG15" s="1710"/>
      <c r="AH15" s="1721"/>
      <c r="AI15" s="1720"/>
      <c r="AJ15" s="1710"/>
      <c r="AK15" s="1721"/>
      <c r="AL15" s="1720"/>
      <c r="AM15" s="1710"/>
      <c r="AN15" s="1721"/>
      <c r="AO15" s="1720"/>
      <c r="AP15" s="1710"/>
      <c r="AQ15" s="1721"/>
      <c r="AR15" s="1720"/>
      <c r="AS15" s="1710"/>
      <c r="AT15" s="1721"/>
      <c r="AU15" s="1720"/>
      <c r="AV15" s="1710"/>
      <c r="AW15" s="1721"/>
      <c r="AX15" s="675"/>
      <c r="AY15" s="675"/>
      <c r="AZ15" s="394"/>
      <c r="BA15" s="499">
        <f>IF('03 食事申込書'!BY116=AF15+AL15+AI15+AO15+AR15+AU15+AZ15,AD15*AE15,"人数を再確認！")</f>
        <v>0</v>
      </c>
      <c r="BB15" s="649" t="str">
        <f t="shared" si="0"/>
        <v/>
      </c>
      <c r="BC15" s="1682"/>
      <c r="BD15" s="1693" t="s">
        <v>157</v>
      </c>
      <c r="BE15" s="1694"/>
      <c r="BF15" s="1694"/>
      <c r="BG15" s="1694"/>
      <c r="BH15" s="1695"/>
      <c r="BI15" s="1696"/>
      <c r="BJ15" s="1697"/>
      <c r="BK15" s="1697"/>
      <c r="BL15" s="1697"/>
      <c r="BM15" s="1697"/>
      <c r="BN15" s="1697"/>
      <c r="BO15" s="1697"/>
      <c r="BP15" s="1697"/>
      <c r="BQ15" s="1697"/>
      <c r="BR15" s="1698"/>
      <c r="BS15" s="1699" t="s">
        <v>804</v>
      </c>
      <c r="BT15" s="1700"/>
      <c r="BU15" s="1701"/>
      <c r="BV15" s="800"/>
      <c r="BW15" s="805" t="b">
        <v>0</v>
      </c>
      <c r="BX15" s="557" t="b">
        <v>0</v>
      </c>
      <c r="BY15" s="2111"/>
      <c r="BZ15" s="1999"/>
      <c r="CA15" s="390">
        <f>'[2]03 食事申込書'!DQ116</f>
        <v>0</v>
      </c>
      <c r="CB15" s="391">
        <f>'[2]03 食事申込書'!DS116</f>
        <v>0</v>
      </c>
      <c r="CC15" s="1722">
        <f>'[2]03 食事申込書'!DT116</f>
        <v>0</v>
      </c>
      <c r="CD15" s="1723"/>
      <c r="CE15" s="1723"/>
      <c r="CF15" s="392">
        <f>IF(ISERROR(VLOOKUP(CC15,FA3:FB49,2,FALSE)),0,VLOOKUP(CC15,FA3:FB49,2,FALSE))</f>
        <v>0</v>
      </c>
      <c r="CG15" s="387">
        <f>'[2]03 食事申込書'!DV116</f>
        <v>0</v>
      </c>
      <c r="CH15" s="1724"/>
      <c r="CI15" s="1710"/>
      <c r="CJ15" s="1721"/>
      <c r="CK15" s="1720"/>
      <c r="CL15" s="1710"/>
      <c r="CM15" s="1721"/>
      <c r="CN15" s="1720"/>
      <c r="CO15" s="1710"/>
      <c r="CP15" s="1721"/>
      <c r="CQ15" s="1720"/>
      <c r="CR15" s="1710"/>
      <c r="CS15" s="1721"/>
      <c r="CT15" s="1720"/>
      <c r="CU15" s="1710"/>
      <c r="CV15" s="1721"/>
      <c r="CW15" s="393"/>
      <c r="CX15" s="394"/>
      <c r="CY15" s="499">
        <f>IF('[2]03 食事申込書'!DV116=CH15+CN15+CK15+CQ15+CT15+CW15+CX15,CF15*CG15,"人数を再確認！")</f>
        <v>0</v>
      </c>
      <c r="CZ15" s="21" t="s">
        <v>158</v>
      </c>
      <c r="DA15" s="22"/>
      <c r="DB15" s="9"/>
      <c r="DC15" s="728" t="s">
        <v>895</v>
      </c>
      <c r="DD15" s="83">
        <v>220</v>
      </c>
      <c r="DE15" s="826" t="s">
        <v>898</v>
      </c>
      <c r="DF15" s="819" t="s">
        <v>833</v>
      </c>
      <c r="DG15" s="14"/>
      <c r="DH15" s="12"/>
    </row>
    <row r="16" spans="1:113" ht="27" customHeight="1" thickBot="1">
      <c r="A16" s="1682"/>
      <c r="B16" s="1693" t="s">
        <v>159</v>
      </c>
      <c r="C16" s="1694"/>
      <c r="D16" s="1694"/>
      <c r="E16" s="1694"/>
      <c r="F16" s="1695"/>
      <c r="G16" s="1696"/>
      <c r="H16" s="1697"/>
      <c r="I16" s="1697"/>
      <c r="J16" s="1697"/>
      <c r="K16" s="1697"/>
      <c r="L16" s="1697"/>
      <c r="M16" s="1697"/>
      <c r="N16" s="1697"/>
      <c r="O16" s="1697"/>
      <c r="P16" s="1698"/>
      <c r="Q16" s="1715" t="s">
        <v>804</v>
      </c>
      <c r="R16" s="1716"/>
      <c r="S16" s="1717"/>
      <c r="T16" s="800"/>
      <c r="U16" s="805" t="b">
        <v>0</v>
      </c>
      <c r="V16" s="799"/>
      <c r="W16" s="2120"/>
      <c r="X16" s="1999"/>
      <c r="Y16" s="390">
        <f>'03 食事申込書'!BT117</f>
        <v>0</v>
      </c>
      <c r="Z16" s="391">
        <f>'03 食事申込書'!BV117</f>
        <v>0</v>
      </c>
      <c r="AA16" s="1722">
        <f>'03 食事申込書'!BW117</f>
        <v>0</v>
      </c>
      <c r="AB16" s="1723"/>
      <c r="AC16" s="1723"/>
      <c r="AD16" s="392">
        <f t="shared" si="4"/>
        <v>0</v>
      </c>
      <c r="AE16" s="387">
        <f>'03 食事申込書'!BY117</f>
        <v>0</v>
      </c>
      <c r="AF16" s="1724"/>
      <c r="AG16" s="1710"/>
      <c r="AH16" s="1721"/>
      <c r="AI16" s="1720"/>
      <c r="AJ16" s="1710"/>
      <c r="AK16" s="1721"/>
      <c r="AL16" s="1720"/>
      <c r="AM16" s="1710"/>
      <c r="AN16" s="1721"/>
      <c r="AO16" s="1720"/>
      <c r="AP16" s="1710"/>
      <c r="AQ16" s="1721"/>
      <c r="AR16" s="1720"/>
      <c r="AS16" s="1710"/>
      <c r="AT16" s="1721"/>
      <c r="AU16" s="1720"/>
      <c r="AV16" s="1710"/>
      <c r="AW16" s="1721"/>
      <c r="AX16" s="675"/>
      <c r="AY16" s="675"/>
      <c r="AZ16" s="394"/>
      <c r="BA16" s="499">
        <f>IF('03 食事申込書'!BY117=AF16+AL16+AI16+AO16+AR16+AU16+AZ16,AD16*AE16,"人数を再確認！")</f>
        <v>0</v>
      </c>
      <c r="BB16" s="649" t="str">
        <f t="shared" si="0"/>
        <v/>
      </c>
      <c r="BC16" s="1683"/>
      <c r="BD16" s="1702" t="s">
        <v>159</v>
      </c>
      <c r="BE16" s="1703"/>
      <c r="BF16" s="1703"/>
      <c r="BG16" s="1703"/>
      <c r="BH16" s="1704"/>
      <c r="BI16" s="1705"/>
      <c r="BJ16" s="1706"/>
      <c r="BK16" s="1706"/>
      <c r="BL16" s="1706"/>
      <c r="BM16" s="1706"/>
      <c r="BN16" s="1706"/>
      <c r="BO16" s="1706"/>
      <c r="BP16" s="1706"/>
      <c r="BQ16" s="1706"/>
      <c r="BR16" s="1707"/>
      <c r="BS16" s="1712" t="s">
        <v>804</v>
      </c>
      <c r="BT16" s="1713"/>
      <c r="BU16" s="1714"/>
      <c r="BV16" s="802"/>
      <c r="BW16" s="805" t="b">
        <v>0</v>
      </c>
      <c r="BX16" s="557" t="b">
        <v>0</v>
      </c>
      <c r="BY16" s="2111"/>
      <c r="BZ16" s="1999"/>
      <c r="CA16" s="390">
        <f>'[2]03 食事申込書'!DQ117</f>
        <v>0</v>
      </c>
      <c r="CB16" s="391">
        <f>'[2]03 食事申込書'!DS117</f>
        <v>0</v>
      </c>
      <c r="CC16" s="1722">
        <f>'[2]03 食事申込書'!DT117</f>
        <v>0</v>
      </c>
      <c r="CD16" s="1723"/>
      <c r="CE16" s="1723"/>
      <c r="CF16" s="395">
        <f>IF(ISERROR(VLOOKUP(CC16,FA3:FB49,2,FALSE)),0,VLOOKUP(CC16,FA3:FB49,2,FALSE))</f>
        <v>0</v>
      </c>
      <c r="CG16" s="387">
        <f>'[2]03 食事申込書'!DV117</f>
        <v>0</v>
      </c>
      <c r="CH16" s="1724"/>
      <c r="CI16" s="1710"/>
      <c r="CJ16" s="1721"/>
      <c r="CK16" s="1720"/>
      <c r="CL16" s="1710"/>
      <c r="CM16" s="1721"/>
      <c r="CN16" s="1720"/>
      <c r="CO16" s="1710"/>
      <c r="CP16" s="1721"/>
      <c r="CQ16" s="1720"/>
      <c r="CR16" s="1710"/>
      <c r="CS16" s="1721"/>
      <c r="CT16" s="1720"/>
      <c r="CU16" s="1710"/>
      <c r="CV16" s="1721"/>
      <c r="CW16" s="393"/>
      <c r="CX16" s="394"/>
      <c r="CY16" s="499">
        <f>IF('[2]03 食事申込書'!DV117=CH16+CN16+CK16+CQ16+CT16+CW16+CX16,CF16*CG16,"人数を再確認！")</f>
        <v>0</v>
      </c>
      <c r="CZ16" s="15"/>
      <c r="DA16" s="23" t="s">
        <v>91</v>
      </c>
      <c r="DB16" s="9"/>
      <c r="DC16" s="728" t="s">
        <v>896</v>
      </c>
      <c r="DD16" s="83">
        <v>220</v>
      </c>
      <c r="DE16" s="826" t="s">
        <v>898</v>
      </c>
      <c r="DF16" s="819" t="s">
        <v>834</v>
      </c>
    </row>
    <row r="17" spans="1:112" ht="27" customHeight="1" thickBot="1">
      <c r="A17" s="1683"/>
      <c r="B17" s="1787" t="s">
        <v>872</v>
      </c>
      <c r="C17" s="1788"/>
      <c r="D17" s="1788"/>
      <c r="E17" s="1788"/>
      <c r="F17" s="1789"/>
      <c r="G17" s="1790"/>
      <c r="H17" s="1791"/>
      <c r="I17" s="1791"/>
      <c r="J17" s="1791"/>
      <c r="K17" s="1791"/>
      <c r="L17" s="1791"/>
      <c r="M17" s="1791"/>
      <c r="N17" s="1791"/>
      <c r="O17" s="1791"/>
      <c r="P17" s="1792"/>
      <c r="Q17" s="1793" t="s">
        <v>804</v>
      </c>
      <c r="R17" s="1794"/>
      <c r="S17" s="1795"/>
      <c r="T17" s="815"/>
      <c r="U17" s="814"/>
      <c r="V17" s="658" t="b">
        <v>0</v>
      </c>
      <c r="W17" s="2120"/>
      <c r="X17" s="1999"/>
      <c r="Y17" s="390">
        <f>'03 食事申込書'!BT118</f>
        <v>0</v>
      </c>
      <c r="Z17" s="391">
        <f>'03 食事申込書'!BV118</f>
        <v>0</v>
      </c>
      <c r="AA17" s="1722">
        <f>'03 食事申込書'!BW118</f>
        <v>0</v>
      </c>
      <c r="AB17" s="1723"/>
      <c r="AC17" s="1723"/>
      <c r="AD17" s="392">
        <f t="shared" si="4"/>
        <v>0</v>
      </c>
      <c r="AE17" s="387">
        <f>'03 食事申込書'!BY118</f>
        <v>0</v>
      </c>
      <c r="AF17" s="1724"/>
      <c r="AG17" s="1710"/>
      <c r="AH17" s="1721"/>
      <c r="AI17" s="1720"/>
      <c r="AJ17" s="1710"/>
      <c r="AK17" s="1721"/>
      <c r="AL17" s="1720"/>
      <c r="AM17" s="1710"/>
      <c r="AN17" s="1721"/>
      <c r="AO17" s="1720"/>
      <c r="AP17" s="1710"/>
      <c r="AQ17" s="1721"/>
      <c r="AR17" s="1720"/>
      <c r="AS17" s="1710"/>
      <c r="AT17" s="1721"/>
      <c r="AU17" s="1720"/>
      <c r="AV17" s="1710"/>
      <c r="AW17" s="1721"/>
      <c r="AX17" s="675"/>
      <c r="AY17" s="675"/>
      <c r="AZ17" s="394"/>
      <c r="BA17" s="499">
        <f>IF('03 食事申込書'!BY118=AF17+AL17+AI17+AO17+AR17+AU17+AZ17,AD17*AE17,"人数を再確認！")</f>
        <v>0</v>
      </c>
      <c r="BB17" s="649" t="str">
        <f t="shared" si="0"/>
        <v/>
      </c>
      <c r="BC17" s="1785" t="s">
        <v>806</v>
      </c>
      <c r="BD17" s="1785"/>
      <c r="BE17" s="1785"/>
      <c r="BF17" s="1785"/>
      <c r="BG17" s="1785"/>
      <c r="BH17" s="1785"/>
      <c r="BI17" s="1785"/>
      <c r="BJ17" s="1785"/>
      <c r="BK17" s="1785"/>
      <c r="BL17" s="1785"/>
      <c r="BM17" s="1785"/>
      <c r="BN17" s="1785"/>
      <c r="BO17" s="1785"/>
      <c r="BP17" s="1785"/>
      <c r="BQ17" s="1785"/>
      <c r="BR17" s="1785"/>
      <c r="BS17" s="1785"/>
      <c r="BT17" s="1785"/>
      <c r="BU17" s="1785"/>
      <c r="BV17" s="1785"/>
      <c r="BW17" s="1785"/>
      <c r="BX17" s="25"/>
      <c r="BY17" s="2111"/>
      <c r="BZ17" s="1999"/>
      <c r="CA17" s="390">
        <f>'[2]03 食事申込書'!DQ118</f>
        <v>0</v>
      </c>
      <c r="CB17" s="391">
        <f>'[2]03 食事申込書'!DS118</f>
        <v>0</v>
      </c>
      <c r="CC17" s="1722">
        <f>'[2]03 食事申込書'!DT118</f>
        <v>0</v>
      </c>
      <c r="CD17" s="1723"/>
      <c r="CE17" s="1723"/>
      <c r="CF17" s="396">
        <f>IF(ISERROR(VLOOKUP(CC17,FA3:FB49,2,FALSE)),0,VLOOKUP(CC17,FA3:FB49,2,FALSE))</f>
        <v>0</v>
      </c>
      <c r="CG17" s="387">
        <f>'[2]03 食事申込書'!DV118</f>
        <v>0</v>
      </c>
      <c r="CH17" s="1724"/>
      <c r="CI17" s="1710"/>
      <c r="CJ17" s="1721"/>
      <c r="CK17" s="1720"/>
      <c r="CL17" s="1710"/>
      <c r="CM17" s="1721"/>
      <c r="CN17" s="1720"/>
      <c r="CO17" s="1710"/>
      <c r="CP17" s="1721"/>
      <c r="CQ17" s="1720"/>
      <c r="CR17" s="1710"/>
      <c r="CS17" s="1721"/>
      <c r="CT17" s="1720"/>
      <c r="CU17" s="1710"/>
      <c r="CV17" s="1721"/>
      <c r="CW17" s="393"/>
      <c r="CX17" s="394"/>
      <c r="CY17" s="499">
        <f>IF('[2]03 食事申込書'!DV118=CH17+CN17+CK17+CQ17+CT17+CW17+CX17,CF17*CG17,"人数を再確認！")</f>
        <v>0</v>
      </c>
      <c r="CZ17" s="9"/>
      <c r="DA17" s="23" t="s">
        <v>92</v>
      </c>
      <c r="DB17" s="9"/>
      <c r="DC17" s="728" t="s">
        <v>790</v>
      </c>
      <c r="DD17" s="83">
        <v>110</v>
      </c>
      <c r="DE17" s="819" t="s">
        <v>835</v>
      </c>
      <c r="DF17" s="819"/>
    </row>
    <row r="18" spans="1:112" ht="27" customHeight="1">
      <c r="A18" s="1785" t="s">
        <v>881</v>
      </c>
      <c r="B18" s="1785"/>
      <c r="C18" s="1785"/>
      <c r="D18" s="1785"/>
      <c r="E18" s="1785"/>
      <c r="F18" s="1785"/>
      <c r="G18" s="1785"/>
      <c r="H18" s="1785"/>
      <c r="I18" s="1785"/>
      <c r="J18" s="1785"/>
      <c r="K18" s="1785"/>
      <c r="L18" s="1785"/>
      <c r="M18" s="1785"/>
      <c r="N18" s="1785"/>
      <c r="O18" s="1785"/>
      <c r="P18" s="1785"/>
      <c r="Q18" s="1785"/>
      <c r="R18" s="1785"/>
      <c r="S18" s="1785"/>
      <c r="T18" s="1785"/>
      <c r="U18" s="1785"/>
      <c r="V18" s="658" t="b">
        <v>0</v>
      </c>
      <c r="W18" s="2120"/>
      <c r="X18" s="1999"/>
      <c r="Y18" s="390">
        <f>'03 食事申込書'!BT119</f>
        <v>0</v>
      </c>
      <c r="Z18" s="391">
        <f>'03 食事申込書'!BV119</f>
        <v>0</v>
      </c>
      <c r="AA18" s="1722">
        <f>'03 食事申込書'!BW119</f>
        <v>0</v>
      </c>
      <c r="AB18" s="1723"/>
      <c r="AC18" s="1723"/>
      <c r="AD18" s="392">
        <f t="shared" si="4"/>
        <v>0</v>
      </c>
      <c r="AE18" s="387">
        <f>'03 食事申込書'!BY119</f>
        <v>0</v>
      </c>
      <c r="AF18" s="1724"/>
      <c r="AG18" s="1710"/>
      <c r="AH18" s="1721"/>
      <c r="AI18" s="1720"/>
      <c r="AJ18" s="1710"/>
      <c r="AK18" s="1721"/>
      <c r="AL18" s="1720"/>
      <c r="AM18" s="1710"/>
      <c r="AN18" s="1721"/>
      <c r="AO18" s="1720"/>
      <c r="AP18" s="1710"/>
      <c r="AQ18" s="1721"/>
      <c r="AR18" s="1720"/>
      <c r="AS18" s="1710"/>
      <c r="AT18" s="1721"/>
      <c r="AU18" s="1720"/>
      <c r="AV18" s="1710"/>
      <c r="AW18" s="1721"/>
      <c r="AX18" s="675"/>
      <c r="AY18" s="675"/>
      <c r="AZ18" s="394"/>
      <c r="BA18" s="499">
        <f>IF('03 食事申込書'!BY119=AF18+AL18+AI18+AO18+AR18+AU18+AZ18,AD18*AE18,"人数を再確認！")</f>
        <v>0</v>
      </c>
      <c r="BB18" s="649" t="str">
        <f t="shared" si="0"/>
        <v/>
      </c>
      <c r="BC18" s="1785"/>
      <c r="BD18" s="1785"/>
      <c r="BE18" s="1785"/>
      <c r="BF18" s="1785"/>
      <c r="BG18" s="1785"/>
      <c r="BH18" s="1785"/>
      <c r="BI18" s="1785"/>
      <c r="BJ18" s="1785"/>
      <c r="BK18" s="1785"/>
      <c r="BL18" s="1785"/>
      <c r="BM18" s="1785"/>
      <c r="BN18" s="1785"/>
      <c r="BO18" s="1785"/>
      <c r="BP18" s="1785"/>
      <c r="BQ18" s="1785"/>
      <c r="BR18" s="1785"/>
      <c r="BS18" s="1785"/>
      <c r="BT18" s="1785"/>
      <c r="BU18" s="1785"/>
      <c r="BV18" s="1785"/>
      <c r="BW18" s="1785"/>
      <c r="BX18" s="25"/>
      <c r="BY18" s="2111"/>
      <c r="BZ18" s="1999"/>
      <c r="CA18" s="390">
        <f>'[2]03 食事申込書'!DQ119</f>
        <v>0</v>
      </c>
      <c r="CB18" s="391">
        <f>'[2]03 食事申込書'!DS119</f>
        <v>0</v>
      </c>
      <c r="CC18" s="1722">
        <f>'[2]03 食事申込書'!DT119</f>
        <v>0</v>
      </c>
      <c r="CD18" s="1723"/>
      <c r="CE18" s="1723"/>
      <c r="CF18" s="396">
        <f>IF(ISERROR(VLOOKUP(CC18,FA3:FB49,2,FALSE)),0,VLOOKUP(CC18,FA3:FB49,2,FALSE))</f>
        <v>0</v>
      </c>
      <c r="CG18" s="387">
        <f>'[2]03 食事申込書'!DV119</f>
        <v>0</v>
      </c>
      <c r="CH18" s="1724"/>
      <c r="CI18" s="1710"/>
      <c r="CJ18" s="1721"/>
      <c r="CK18" s="1720"/>
      <c r="CL18" s="1710"/>
      <c r="CM18" s="1721"/>
      <c r="CN18" s="1720"/>
      <c r="CO18" s="1710"/>
      <c r="CP18" s="1721"/>
      <c r="CQ18" s="1720"/>
      <c r="CR18" s="1710"/>
      <c r="CS18" s="1721"/>
      <c r="CT18" s="1720"/>
      <c r="CU18" s="1710"/>
      <c r="CV18" s="1721"/>
      <c r="CW18" s="393"/>
      <c r="CX18" s="394"/>
      <c r="CY18" s="499">
        <f>IF('[2]03 食事申込書'!DV119=CH18+CN18+CK18+CQ18+CT18+CW18+CX18,CF18*CG18,"人数を再確認！")</f>
        <v>0</v>
      </c>
      <c r="CZ18" s="9"/>
      <c r="DA18" s="23" t="s">
        <v>93</v>
      </c>
      <c r="DB18" s="9"/>
      <c r="DC18" s="728" t="s">
        <v>897</v>
      </c>
      <c r="DD18" s="83">
        <v>220</v>
      </c>
      <c r="DE18" s="826" t="s">
        <v>898</v>
      </c>
      <c r="DF18" s="820" t="s">
        <v>883</v>
      </c>
    </row>
    <row r="19" spans="1:112" ht="27" customHeight="1">
      <c r="A19" s="1785"/>
      <c r="B19" s="1785"/>
      <c r="C19" s="1785"/>
      <c r="D19" s="1785"/>
      <c r="E19" s="1785"/>
      <c r="F19" s="1785"/>
      <c r="G19" s="1785"/>
      <c r="H19" s="1785"/>
      <c r="I19" s="1785"/>
      <c r="J19" s="1785"/>
      <c r="K19" s="1785"/>
      <c r="L19" s="1785"/>
      <c r="M19" s="1785"/>
      <c r="N19" s="1785"/>
      <c r="O19" s="1785"/>
      <c r="P19" s="1785"/>
      <c r="Q19" s="1785"/>
      <c r="R19" s="1785"/>
      <c r="S19" s="1785"/>
      <c r="T19" s="1785"/>
      <c r="U19" s="1785"/>
      <c r="V19" s="659"/>
      <c r="W19" s="2120"/>
      <c r="X19" s="1999"/>
      <c r="Y19" s="390">
        <f>'03 食事申込書'!BT120</f>
        <v>0</v>
      </c>
      <c r="Z19" s="391">
        <f>'03 食事申込書'!BV120</f>
        <v>0</v>
      </c>
      <c r="AA19" s="1722">
        <f>'03 食事申込書'!BW120</f>
        <v>0</v>
      </c>
      <c r="AB19" s="1723"/>
      <c r="AC19" s="1723"/>
      <c r="AD19" s="392">
        <f t="shared" si="4"/>
        <v>0</v>
      </c>
      <c r="AE19" s="387">
        <f>'03 食事申込書'!BY120</f>
        <v>0</v>
      </c>
      <c r="AF19" s="1724"/>
      <c r="AG19" s="1710"/>
      <c r="AH19" s="1721"/>
      <c r="AI19" s="1720"/>
      <c r="AJ19" s="1710"/>
      <c r="AK19" s="1721"/>
      <c r="AL19" s="1720"/>
      <c r="AM19" s="1710"/>
      <c r="AN19" s="1721"/>
      <c r="AO19" s="1720"/>
      <c r="AP19" s="1710"/>
      <c r="AQ19" s="1721"/>
      <c r="AR19" s="1720"/>
      <c r="AS19" s="1710"/>
      <c r="AT19" s="1721"/>
      <c r="AU19" s="1720"/>
      <c r="AV19" s="1710"/>
      <c r="AW19" s="1721"/>
      <c r="AX19" s="675"/>
      <c r="AY19" s="675"/>
      <c r="AZ19" s="394"/>
      <c r="BA19" s="499">
        <f>IF('03 食事申込書'!BY120=AF19+AL19+AI19+AO19+AR19+AU19+AZ19,AD19*AE19,"人数を再確認！")</f>
        <v>0</v>
      </c>
      <c r="BB19" s="649" t="str">
        <f t="shared" si="0"/>
        <v/>
      </c>
      <c r="BC19" s="1785"/>
      <c r="BD19" s="1785"/>
      <c r="BE19" s="1785"/>
      <c r="BF19" s="1785"/>
      <c r="BG19" s="1785"/>
      <c r="BH19" s="1785"/>
      <c r="BI19" s="1785"/>
      <c r="BJ19" s="1785"/>
      <c r="BK19" s="1785"/>
      <c r="BL19" s="1785"/>
      <c r="BM19" s="1785"/>
      <c r="BN19" s="1785"/>
      <c r="BO19" s="1785"/>
      <c r="BP19" s="1785"/>
      <c r="BQ19" s="1785"/>
      <c r="BR19" s="1785"/>
      <c r="BS19" s="1785"/>
      <c r="BT19" s="1785"/>
      <c r="BU19" s="1785"/>
      <c r="BV19" s="1785"/>
      <c r="BW19" s="1785"/>
      <c r="BX19" s="25"/>
      <c r="BY19" s="2111"/>
      <c r="BZ19" s="1999"/>
      <c r="CA19" s="390">
        <f>'[2]03 食事申込書'!DQ120</f>
        <v>0</v>
      </c>
      <c r="CB19" s="391">
        <f>'[2]03 食事申込書'!DS120</f>
        <v>0</v>
      </c>
      <c r="CC19" s="1722">
        <f>'[2]03 食事申込書'!DT120</f>
        <v>0</v>
      </c>
      <c r="CD19" s="1723"/>
      <c r="CE19" s="1723"/>
      <c r="CF19" s="392">
        <f>IF(ISERROR(VLOOKUP(CC19,FA3:FB49,2,FALSE)),0,VLOOKUP(CC19,FA3:FB49,2,FALSE))</f>
        <v>0</v>
      </c>
      <c r="CG19" s="387">
        <f>'[2]03 食事申込書'!DV120</f>
        <v>0</v>
      </c>
      <c r="CH19" s="1724"/>
      <c r="CI19" s="1710"/>
      <c r="CJ19" s="1721"/>
      <c r="CK19" s="1720"/>
      <c r="CL19" s="1710"/>
      <c r="CM19" s="1721"/>
      <c r="CN19" s="1720"/>
      <c r="CO19" s="1710"/>
      <c r="CP19" s="1721"/>
      <c r="CQ19" s="1720"/>
      <c r="CR19" s="1710"/>
      <c r="CS19" s="1721"/>
      <c r="CT19" s="1720"/>
      <c r="CU19" s="1710"/>
      <c r="CV19" s="1721"/>
      <c r="CW19" s="393"/>
      <c r="CX19" s="394"/>
      <c r="CY19" s="499">
        <f>IF('[2]03 食事申込書'!DV120=CH19+CN19+CK19+CQ19+CT19+CW19+CX19,CF19*CG19,"人数を再確認！")</f>
        <v>0</v>
      </c>
      <c r="CZ19" s="10" t="s">
        <v>574</v>
      </c>
      <c r="DA19" s="9">
        <v>0</v>
      </c>
      <c r="DB19" s="9"/>
      <c r="DC19" s="774" t="s">
        <v>156</v>
      </c>
      <c r="DD19" s="775"/>
      <c r="DE19" s="667"/>
      <c r="DF19" s="821" t="s">
        <v>884</v>
      </c>
    </row>
    <row r="20" spans="1:112" ht="27" customHeight="1" thickBot="1">
      <c r="A20" s="1786"/>
      <c r="B20" s="1786"/>
      <c r="C20" s="1786"/>
      <c r="D20" s="1786"/>
      <c r="E20" s="1786"/>
      <c r="F20" s="1786"/>
      <c r="G20" s="1786"/>
      <c r="H20" s="1786"/>
      <c r="I20" s="1786"/>
      <c r="J20" s="1786"/>
      <c r="K20" s="1786"/>
      <c r="L20" s="1786"/>
      <c r="M20" s="1786"/>
      <c r="N20" s="1786"/>
      <c r="O20" s="1786"/>
      <c r="P20" s="1786"/>
      <c r="Q20" s="1786"/>
      <c r="R20" s="1786"/>
      <c r="S20" s="1786"/>
      <c r="T20" s="1786"/>
      <c r="U20" s="1786"/>
      <c r="V20" s="656"/>
      <c r="W20" s="2120"/>
      <c r="X20" s="1999"/>
      <c r="Y20" s="397">
        <f>'03 食事申込書'!BT121</f>
        <v>0</v>
      </c>
      <c r="Z20" s="398">
        <f>'03 食事申込書'!BV121</f>
        <v>0</v>
      </c>
      <c r="AA20" s="1963">
        <f>'03 食事申込書'!BW121</f>
        <v>0</v>
      </c>
      <c r="AB20" s="1964"/>
      <c r="AC20" s="1964"/>
      <c r="AD20" s="399">
        <f t="shared" si="4"/>
        <v>0</v>
      </c>
      <c r="AE20" s="400">
        <f>'03 食事申込書'!BY121</f>
        <v>0</v>
      </c>
      <c r="AF20" s="2060"/>
      <c r="AG20" s="1726"/>
      <c r="AH20" s="1727"/>
      <c r="AI20" s="1725"/>
      <c r="AJ20" s="1726"/>
      <c r="AK20" s="1727"/>
      <c r="AL20" s="1725"/>
      <c r="AM20" s="1726"/>
      <c r="AN20" s="1727"/>
      <c r="AO20" s="1725"/>
      <c r="AP20" s="1726"/>
      <c r="AQ20" s="1727"/>
      <c r="AR20" s="1725"/>
      <c r="AS20" s="1726"/>
      <c r="AT20" s="1727"/>
      <c r="AU20" s="1725"/>
      <c r="AV20" s="1726"/>
      <c r="AW20" s="1727"/>
      <c r="AX20" s="676"/>
      <c r="AY20" s="676"/>
      <c r="AZ20" s="686"/>
      <c r="BA20" s="531">
        <f>IF('03 食事申込書'!BY121=AF20+AL20+AI20+AO20+AR20+AU20+AZ20,AD20*AE20,"人数を再確認！")</f>
        <v>0</v>
      </c>
      <c r="BB20" s="649" t="str">
        <f t="shared" si="0"/>
        <v/>
      </c>
      <c r="BC20" s="1785"/>
      <c r="BD20" s="1785"/>
      <c r="BE20" s="1785"/>
      <c r="BF20" s="1785"/>
      <c r="BG20" s="1785"/>
      <c r="BH20" s="1785"/>
      <c r="BI20" s="1785"/>
      <c r="BJ20" s="1785"/>
      <c r="BK20" s="1785"/>
      <c r="BL20" s="1785"/>
      <c r="BM20" s="1785"/>
      <c r="BN20" s="1785"/>
      <c r="BO20" s="1785"/>
      <c r="BP20" s="1785"/>
      <c r="BQ20" s="1785"/>
      <c r="BR20" s="1785"/>
      <c r="BS20" s="1785"/>
      <c r="BT20" s="1785"/>
      <c r="BU20" s="1785"/>
      <c r="BV20" s="1785"/>
      <c r="BW20" s="1785"/>
      <c r="BX20" s="25"/>
      <c r="BY20" s="2111"/>
      <c r="BZ20" s="1999"/>
      <c r="CA20" s="397">
        <f>'[2]03 食事申込書'!DQ121</f>
        <v>0</v>
      </c>
      <c r="CB20" s="398">
        <f>'[2]03 食事申込書'!DS121</f>
        <v>0</v>
      </c>
      <c r="CC20" s="1963">
        <f>'[2]03 食事申込書'!DT121</f>
        <v>0</v>
      </c>
      <c r="CD20" s="1964"/>
      <c r="CE20" s="1964"/>
      <c r="CF20" s="399">
        <f>IF(ISERROR(VLOOKUP(CC20,FA3:FB49,2,FALSE)),0,VLOOKUP(CC20,FA3:FB49,2,FALSE))</f>
        <v>0</v>
      </c>
      <c r="CG20" s="400">
        <f>'[2]03 食事申込書'!DV121</f>
        <v>0</v>
      </c>
      <c r="CH20" s="1724"/>
      <c r="CI20" s="1710"/>
      <c r="CJ20" s="1721"/>
      <c r="CK20" s="1720"/>
      <c r="CL20" s="1710"/>
      <c r="CM20" s="1721"/>
      <c r="CN20" s="1720"/>
      <c r="CO20" s="1710"/>
      <c r="CP20" s="1721"/>
      <c r="CQ20" s="1720"/>
      <c r="CR20" s="1710"/>
      <c r="CS20" s="1721"/>
      <c r="CT20" s="1720"/>
      <c r="CU20" s="1710"/>
      <c r="CV20" s="1721"/>
      <c r="CW20" s="393"/>
      <c r="CX20" s="394"/>
      <c r="CY20" s="531">
        <f>IF('[2]03 食事申込書'!DV121=CH20+CN20+CK20+CQ20+CT20+CW20+CX20,CF20*CG20,"人数を再確認！")</f>
        <v>0</v>
      </c>
      <c r="CZ20" s="297" t="s">
        <v>570</v>
      </c>
      <c r="DA20" s="514">
        <v>290</v>
      </c>
      <c r="DB20" s="9"/>
      <c r="DC20" s="724" t="s">
        <v>887</v>
      </c>
      <c r="DD20" s="763">
        <v>670</v>
      </c>
      <c r="DE20" s="666"/>
      <c r="DF20" s="820" t="s">
        <v>885</v>
      </c>
    </row>
    <row r="21" spans="1:112" ht="27" customHeight="1" thickTop="1" thickBot="1">
      <c r="A21" s="2107" t="s">
        <v>815</v>
      </c>
      <c r="B21" s="2006" t="s">
        <v>160</v>
      </c>
      <c r="C21" s="2007"/>
      <c r="D21" s="2007"/>
      <c r="E21" s="2007"/>
      <c r="F21" s="2007"/>
      <c r="G21" s="1813"/>
      <c r="H21" s="362" t="s">
        <v>121</v>
      </c>
      <c r="I21" s="2001" t="s">
        <v>122</v>
      </c>
      <c r="J21" s="1718" t="s">
        <v>392</v>
      </c>
      <c r="K21" s="1719"/>
      <c r="L21" s="363" t="s">
        <v>391</v>
      </c>
      <c r="M21" s="364" t="s">
        <v>390</v>
      </c>
      <c r="N21" s="365" t="s">
        <v>161</v>
      </c>
      <c r="O21" s="365" t="s">
        <v>393</v>
      </c>
      <c r="P21" s="1994"/>
      <c r="Q21" s="1995"/>
      <c r="R21" s="1994"/>
      <c r="S21" s="1995"/>
      <c r="T21" s="1996" t="s">
        <v>123</v>
      </c>
      <c r="U21" s="1997"/>
      <c r="V21" s="656"/>
      <c r="W21" s="2121"/>
      <c r="X21" s="2000"/>
      <c r="Y21" s="1968" t="s">
        <v>403</v>
      </c>
      <c r="Z21" s="1969"/>
      <c r="AA21" s="1969"/>
      <c r="AB21" s="1969"/>
      <c r="AC21" s="1969"/>
      <c r="AD21" s="1969"/>
      <c r="AE21" s="1970"/>
      <c r="AF21" s="1728">
        <f>AF5*AD5+AF6*AD6+AF7*AD7+AF8*AD8+AF9*AD9+AF10*AD10+AF11*AD11+AF12*AD12+AF13*AD13+AF14*AD14+AF15*AD15+AF16*AD16+AF17*AD17+AF18*AD18+AF19*AD19+AF20*AD20</f>
        <v>0</v>
      </c>
      <c r="AG21" s="1729"/>
      <c r="AH21" s="1730"/>
      <c r="AI21" s="1728">
        <f>AI5*AD5+AI6*AD6+AI7*AD7+AI8*AD8+AI9*AD9+AI10*AD10+AI11*AD11+AI12*AD12+AI13*AD13+AI14*AD14+AI15*AD15+AI16*AD16+AI17*AD17+AI18*AD18+AI19*AD19+AI20*AD20</f>
        <v>0</v>
      </c>
      <c r="AJ21" s="1729"/>
      <c r="AK21" s="1730"/>
      <c r="AL21" s="1728">
        <f>AL5*$AD$5+AL6*$AD$6+AL7*$AD$7+AL8*$AD$8+AL9*$AD$9+AL10*$AD$10+AL11*$AD$11+AL12*$AD$12+AL13*$AD$13+AL14*$AD$14+AL15*$AD$15+AL16*$AD$16+AL17*$AD$17+AL18*$AD$18+AL19*$AD$19+AL20*$AD$20</f>
        <v>0</v>
      </c>
      <c r="AM21" s="1729"/>
      <c r="AN21" s="1730"/>
      <c r="AO21" s="1728">
        <f t="shared" ref="AO21" si="5">AO5*$AD$5+AO6*$AD$6+AO7*$AD$7+AO8*$AD$8+AO9*$AD$9+AO10*$AD$10+AO11*$AD$11+AO12*$AD$12+AO13*$AD$13+AO14*$AD$14+AO15*$AD$15+AO16*$AD$16+AO17*$AD$17+AO18*$AD$18+AO19*$AD$19+AO20*$AD$20</f>
        <v>0</v>
      </c>
      <c r="AP21" s="1729"/>
      <c r="AQ21" s="1730"/>
      <c r="AR21" s="1728">
        <f t="shared" ref="AR21" si="6">AR5*$AD$5+AR6*$AD$6+AR7*$AD$7+AR8*$AD$8+AR9*$AD$9+AR10*$AD$10+AR11*$AD$11+AR12*$AD$12+AR13*$AD$13+AR14*$AD$14+AR15*$AD$15+AR16*$AD$16+AR17*$AD$17+AR18*$AD$18+AR19*$AD$19+AR20*$AD$20</f>
        <v>0</v>
      </c>
      <c r="AS21" s="1729"/>
      <c r="AT21" s="1730"/>
      <c r="AU21" s="1802"/>
      <c r="AV21" s="1803"/>
      <c r="AW21" s="1804"/>
      <c r="AX21" s="1802"/>
      <c r="AY21" s="1803"/>
      <c r="AZ21" s="1804"/>
      <c r="BA21" s="460">
        <f>IF(COUNTIF(BA5:BA20,"人数を再確認！"),"人数を再確認！",SUM(BA5:BA20))</f>
        <v>0</v>
      </c>
      <c r="BB21" s="650"/>
      <c r="BC21" s="2116" t="s">
        <v>815</v>
      </c>
      <c r="BD21" s="2006" t="s">
        <v>160</v>
      </c>
      <c r="BE21" s="2007"/>
      <c r="BF21" s="2007"/>
      <c r="BG21" s="2007"/>
      <c r="BH21" s="2007"/>
      <c r="BI21" s="1813"/>
      <c r="BJ21" s="362" t="s">
        <v>121</v>
      </c>
      <c r="BK21" s="2001" t="s">
        <v>122</v>
      </c>
      <c r="BL21" s="1718" t="s">
        <v>392</v>
      </c>
      <c r="BM21" s="1719"/>
      <c r="BN21" s="363" t="s">
        <v>391</v>
      </c>
      <c r="BO21" s="364" t="s">
        <v>390</v>
      </c>
      <c r="BP21" s="365" t="s">
        <v>161</v>
      </c>
      <c r="BQ21" s="365" t="s">
        <v>393</v>
      </c>
      <c r="BR21" s="1994" t="s">
        <v>394</v>
      </c>
      <c r="BS21" s="1995"/>
      <c r="BT21" s="1994" t="s">
        <v>395</v>
      </c>
      <c r="BU21" s="1995"/>
      <c r="BV21" s="1996" t="s">
        <v>123</v>
      </c>
      <c r="BW21" s="1997"/>
      <c r="BX21" s="25"/>
      <c r="BY21" s="2112"/>
      <c r="BZ21" s="2000"/>
      <c r="CA21" s="1968" t="s">
        <v>403</v>
      </c>
      <c r="CB21" s="1969"/>
      <c r="CC21" s="1969"/>
      <c r="CD21" s="1969"/>
      <c r="CE21" s="1969"/>
      <c r="CF21" s="1969"/>
      <c r="CG21" s="1970"/>
      <c r="CH21" s="1728">
        <f>CH5*CF5+CH6*CF6+CH7*CF7+CH8*CF8+CH9*CF9+CH10*CF10+CH11*CF11+CH12*CF12+CH13*CF13+CH14*CF14+CH15*CF15+CH16*CF16+CH17*CF17+CH18*CF18+CH19*CF19+CH20*CF20</f>
        <v>257440</v>
      </c>
      <c r="CI21" s="1729"/>
      <c r="CJ21" s="1730"/>
      <c r="CK21" s="1728">
        <f>CK5*CF5+CK6*CF6+CK7*CF7+CK8*CF8+CK9*CF9+CK10*CF10+CK11*CF11+CK12*CF12+CK13*CF13+CK14*CF14+CK15*CF15+CK16*CF16+CK17*CF17+CK18*CF18+CK19*CF19+CK20*CF20</f>
        <v>16020</v>
      </c>
      <c r="CL21" s="1729"/>
      <c r="CM21" s="1730"/>
      <c r="CN21" s="1728">
        <f>CN5*$AD$5+CN6*$AD$6+CN7*$AD$7+CN8*$AD$8+CN9*$AD$9+CN10*$AD$10+CN11*$AD$11+CN12*$AD$12+CN13*$AD$13+CN14*$AD$14+CN15*$AD$15+CN16*$AD$16+CN17*$AD$17+CN18*$AD$18+CN19*$AD$19+CN20*$AD$20</f>
        <v>0</v>
      </c>
      <c r="CO21" s="1729"/>
      <c r="CP21" s="1730"/>
      <c r="CQ21" s="1728">
        <f t="shared" ref="CQ21" si="7">CQ5*$AD$5+CQ6*$AD$6+CQ7*$AD$7+CQ8*$AD$8+CQ9*$AD$9+CQ10*$AD$10+CQ11*$AD$11+CQ12*$AD$12+CQ13*$AD$13+CQ14*$AD$14+CQ15*$AD$15+CQ16*$AD$16+CQ17*$AD$17+CQ18*$AD$18+CQ19*$AD$19+CQ20*$AD$20</f>
        <v>0</v>
      </c>
      <c r="CR21" s="1729"/>
      <c r="CS21" s="1730"/>
      <c r="CT21" s="1728">
        <f t="shared" ref="CT21" si="8">CT5*$AD$5+CT6*$AD$6+CT7*$AD$7+CT8*$AD$8+CT9*$AD$9+CT10*$AD$10+CT11*$AD$11+CT12*$AD$12+CT13*$AD$13+CT14*$AD$14+CT15*$AD$15+CT16*$AD$16+CT17*$AD$17+CT18*$AD$18+CT19*$AD$19+CT20*$AD$20</f>
        <v>0</v>
      </c>
      <c r="CU21" s="1729"/>
      <c r="CV21" s="1730"/>
      <c r="CW21" s="401">
        <f>CW5*$AD$5+CW6*$AD$6+CW7*$AD$7+CW8*$AD$8+CW9*$AD$9+CW10*$AD$10+CW11*$AD$11+CW12*$AD$12+CW13*$AD$13+CW14*$AD$14+CW15*$AD$15+CW16*$AD$16+CW17*$AD$17+CW18*$AD$18+CW19*$AD$19+CW20*$AD$20</f>
        <v>0</v>
      </c>
      <c r="CX21" s="401">
        <f>CX5*$AD$5+CX6*$AD$6+CX7*$AD$7+CX8*$AD$8+CX9*$AD$9+CX10*$AD$10+CX11*$AD$11+CX12*$AD$12+CX13*$AD$13+CX14*$AD$14+CX15*$AD$15+CX16*$AD$16+CX17*$AD$17+CX18*$AD$18+CX19*$AD$19+CX20*$AD$20</f>
        <v>0</v>
      </c>
      <c r="CY21" s="460">
        <f>IF(COUNTIF(CY5:CY20,"人数を再確認！"),"人数を再確認！",SUM(CY5:CY20))</f>
        <v>284560</v>
      </c>
      <c r="CZ21" s="515" t="s">
        <v>571</v>
      </c>
      <c r="DA21" s="514">
        <v>450</v>
      </c>
      <c r="DB21" s="9"/>
      <c r="DC21" s="816" t="s">
        <v>932</v>
      </c>
      <c r="DD21" s="763">
        <v>670</v>
      </c>
      <c r="DE21" s="666"/>
      <c r="DF21" s="19"/>
    </row>
    <row r="22" spans="1:112" ht="27" customHeight="1" thickTop="1" thickBot="1">
      <c r="A22" s="2108"/>
      <c r="B22" s="2008"/>
      <c r="C22" s="2009"/>
      <c r="D22" s="2009"/>
      <c r="E22" s="2009"/>
      <c r="F22" s="2009"/>
      <c r="G22" s="2010"/>
      <c r="H22" s="366" t="s">
        <v>131</v>
      </c>
      <c r="I22" s="2002"/>
      <c r="J22" s="1813" t="s">
        <v>162</v>
      </c>
      <c r="K22" s="1814"/>
      <c r="L22" s="362" t="s">
        <v>132</v>
      </c>
      <c r="M22" s="362" t="s">
        <v>396</v>
      </c>
      <c r="N22" s="362" t="s">
        <v>163</v>
      </c>
      <c r="O22" s="362" t="s">
        <v>132</v>
      </c>
      <c r="P22" s="1814"/>
      <c r="Q22" s="1814"/>
      <c r="R22" s="1814"/>
      <c r="S22" s="1814"/>
      <c r="T22" s="1954" t="s">
        <v>134</v>
      </c>
      <c r="U22" s="1955"/>
      <c r="V22" s="656"/>
      <c r="W22" s="2051" t="s">
        <v>814</v>
      </c>
      <c r="X22" s="1938" t="s">
        <v>165</v>
      </c>
      <c r="Y22" s="1965" t="s">
        <v>166</v>
      </c>
      <c r="Z22" s="1966"/>
      <c r="AA22" s="1966"/>
      <c r="AB22" s="1966"/>
      <c r="AC22" s="1967"/>
      <c r="AD22" s="406">
        <v>380</v>
      </c>
      <c r="AE22" s="558">
        <f>SUM(AF22:AZ22)</f>
        <v>0</v>
      </c>
      <c r="AF22" s="1962"/>
      <c r="AG22" s="1708"/>
      <c r="AH22" s="1812"/>
      <c r="AI22" s="1811"/>
      <c r="AJ22" s="1708"/>
      <c r="AK22" s="1812"/>
      <c r="AL22" s="1811"/>
      <c r="AM22" s="1708"/>
      <c r="AN22" s="1812"/>
      <c r="AO22" s="1735"/>
      <c r="AP22" s="1736"/>
      <c r="AQ22" s="1737"/>
      <c r="AR22" s="1811"/>
      <c r="AS22" s="1708"/>
      <c r="AT22" s="1812"/>
      <c r="AU22" s="1811"/>
      <c r="AV22" s="1708"/>
      <c r="AW22" s="1812"/>
      <c r="AX22" s="1708"/>
      <c r="AY22" s="1708"/>
      <c r="AZ22" s="1709"/>
      <c r="BA22" s="596">
        <f t="shared" ref="BA22:BA32" si="9">IF(AE22=AF22+AI22+AR22+AL22+AO22+AU22+AZ22,AE22*AD22,"数量を再確認！")</f>
        <v>0</v>
      </c>
      <c r="BB22" s="719" t="s">
        <v>857</v>
      </c>
      <c r="BC22" s="2117"/>
      <c r="BD22" s="2008"/>
      <c r="BE22" s="2009"/>
      <c r="BF22" s="2009"/>
      <c r="BG22" s="2009"/>
      <c r="BH22" s="2009"/>
      <c r="BI22" s="2010"/>
      <c r="BJ22" s="366" t="s">
        <v>131</v>
      </c>
      <c r="BK22" s="2002"/>
      <c r="BL22" s="1813" t="s">
        <v>132</v>
      </c>
      <c r="BM22" s="1814"/>
      <c r="BN22" s="362" t="s">
        <v>132</v>
      </c>
      <c r="BO22" s="362" t="s">
        <v>396</v>
      </c>
      <c r="BP22" s="362" t="s">
        <v>132</v>
      </c>
      <c r="BQ22" s="362" t="s">
        <v>132</v>
      </c>
      <c r="BR22" s="1814" t="s">
        <v>132</v>
      </c>
      <c r="BS22" s="1814"/>
      <c r="BT22" s="1814" t="s">
        <v>132</v>
      </c>
      <c r="BU22" s="1814"/>
      <c r="BV22" s="1954" t="s">
        <v>134</v>
      </c>
      <c r="BW22" s="1955"/>
      <c r="BX22" s="25"/>
      <c r="BY22" s="2113" t="s">
        <v>814</v>
      </c>
      <c r="BZ22" s="1938" t="s">
        <v>165</v>
      </c>
      <c r="CA22" s="1965" t="s">
        <v>166</v>
      </c>
      <c r="CB22" s="1966"/>
      <c r="CC22" s="1966"/>
      <c r="CD22" s="1966"/>
      <c r="CE22" s="1967"/>
      <c r="CF22" s="406">
        <v>380</v>
      </c>
      <c r="CG22" s="558">
        <v>111</v>
      </c>
      <c r="CH22" s="1962">
        <v>100</v>
      </c>
      <c r="CI22" s="1708"/>
      <c r="CJ22" s="1812"/>
      <c r="CK22" s="1811">
        <v>6</v>
      </c>
      <c r="CL22" s="1708"/>
      <c r="CM22" s="1812"/>
      <c r="CN22" s="1811">
        <v>5</v>
      </c>
      <c r="CO22" s="1708"/>
      <c r="CP22" s="1812"/>
      <c r="CQ22" s="1735"/>
      <c r="CR22" s="1736"/>
      <c r="CS22" s="1737"/>
      <c r="CT22" s="1811"/>
      <c r="CU22" s="1708"/>
      <c r="CV22" s="1812"/>
      <c r="CW22" s="591"/>
      <c r="CX22" s="389"/>
      <c r="CY22" s="596">
        <f>IF(CG22=CH22+CK22+CT22+CN22+CQ22+CW22+CX22,CG22*CF22,"数量を再確認！")</f>
        <v>42180</v>
      </c>
      <c r="CZ22" s="515" t="s">
        <v>575</v>
      </c>
      <c r="DA22" s="514">
        <v>350</v>
      </c>
      <c r="DB22" s="9"/>
      <c r="DC22" s="816" t="s">
        <v>778</v>
      </c>
      <c r="DD22" s="763">
        <v>780</v>
      </c>
      <c r="DE22" s="666"/>
      <c r="DF22" s="19"/>
      <c r="DG22" s="10"/>
      <c r="DH22" s="9"/>
    </row>
    <row r="23" spans="1:112" ht="27" customHeight="1" thickTop="1" thickBot="1">
      <c r="A23" s="2108"/>
      <c r="B23" s="2003" t="s">
        <v>164</v>
      </c>
      <c r="C23" s="1940" t="s">
        <v>173</v>
      </c>
      <c r="D23" s="1941"/>
      <c r="E23" s="1941"/>
      <c r="F23" s="1941"/>
      <c r="G23" s="1942"/>
      <c r="H23" s="541" t="s">
        <v>583</v>
      </c>
      <c r="I23" s="482">
        <f t="shared" ref="I23:I28" si="10">SUM(J23:S23)</f>
        <v>0</v>
      </c>
      <c r="J23" s="2024"/>
      <c r="K23" s="2025"/>
      <c r="L23" s="506"/>
      <c r="M23" s="506"/>
      <c r="N23" s="506"/>
      <c r="O23" s="506"/>
      <c r="P23" s="1956"/>
      <c r="Q23" s="1956"/>
      <c r="R23" s="1956"/>
      <c r="S23" s="1957"/>
      <c r="T23" s="1958" t="str">
        <f>IF(I23=J23+L23+M23+N23+O23+P23+R23,"無料","人数を再確認！")</f>
        <v>無料</v>
      </c>
      <c r="U23" s="1959"/>
      <c r="V23" s="656"/>
      <c r="W23" s="2052"/>
      <c r="X23" s="1938"/>
      <c r="Y23" s="1950" t="s">
        <v>323</v>
      </c>
      <c r="Z23" s="1951"/>
      <c r="AA23" s="1951"/>
      <c r="AB23" s="1951"/>
      <c r="AC23" s="1952"/>
      <c r="AD23" s="407">
        <f>IF(ISERROR(VLOOKUP(Y23,DG3:DH15,2,FALSE)),0,VLOOKUP(Y23,DG3:DH15,2,FALSE))</f>
        <v>0</v>
      </c>
      <c r="AE23" s="559">
        <f>SUM(AF23:AZ23)</f>
        <v>0</v>
      </c>
      <c r="AF23" s="1724"/>
      <c r="AG23" s="1710"/>
      <c r="AH23" s="1721"/>
      <c r="AI23" s="1720"/>
      <c r="AJ23" s="1710"/>
      <c r="AK23" s="1721"/>
      <c r="AL23" s="1720"/>
      <c r="AM23" s="1710"/>
      <c r="AN23" s="1721"/>
      <c r="AO23" s="1720"/>
      <c r="AP23" s="1710"/>
      <c r="AQ23" s="1721"/>
      <c r="AR23" s="1720"/>
      <c r="AS23" s="1710"/>
      <c r="AT23" s="1721"/>
      <c r="AU23" s="1720"/>
      <c r="AV23" s="1710"/>
      <c r="AW23" s="1721"/>
      <c r="AX23" s="1710"/>
      <c r="AY23" s="1710"/>
      <c r="AZ23" s="1711"/>
      <c r="BA23" s="596">
        <f t="shared" si="9"/>
        <v>0</v>
      </c>
      <c r="BB23" s="720" t="str">
        <f>IFERROR(VLOOKUP(Y23,DG4:DI7,3,FALSE),"")</f>
        <v/>
      </c>
      <c r="BC23" s="2117"/>
      <c r="BD23" s="2003" t="s">
        <v>164</v>
      </c>
      <c r="BE23" s="1940" t="s">
        <v>173</v>
      </c>
      <c r="BF23" s="1941"/>
      <c r="BG23" s="1941"/>
      <c r="BH23" s="1941"/>
      <c r="BI23" s="1942"/>
      <c r="BJ23" s="541" t="s">
        <v>583</v>
      </c>
      <c r="BK23" s="482">
        <f t="shared" ref="BK23:BK28" si="11">SUM(BL23:BU23)</f>
        <v>99</v>
      </c>
      <c r="BL23" s="2024">
        <v>99</v>
      </c>
      <c r="BM23" s="2025"/>
      <c r="BN23" s="506"/>
      <c r="BO23" s="506"/>
      <c r="BP23" s="506"/>
      <c r="BQ23" s="506"/>
      <c r="BR23" s="1956"/>
      <c r="BS23" s="1956"/>
      <c r="BT23" s="1956"/>
      <c r="BU23" s="1957"/>
      <c r="BV23" s="1958" t="str">
        <f>IF(BK23=BL23+BN23+BO23+BP23+BQ23+BR23+BT23,"無料","人数を再確認！")</f>
        <v>無料</v>
      </c>
      <c r="BW23" s="1959"/>
      <c r="BX23" s="25"/>
      <c r="BY23" s="2114"/>
      <c r="BZ23" s="1938"/>
      <c r="CA23" s="1950" t="s">
        <v>323</v>
      </c>
      <c r="CB23" s="1951"/>
      <c r="CC23" s="1951"/>
      <c r="CD23" s="1951"/>
      <c r="CE23" s="1952"/>
      <c r="CF23" s="407">
        <f>IF(ISERROR(VLOOKUP(CA23,FI3:FJ15,2,FALSE)),0,VLOOKUP(CA23,FI3:FJ15,2,FALSE))</f>
        <v>0</v>
      </c>
      <c r="CG23" s="559">
        <f>SUM(CH23:CX23)</f>
        <v>0</v>
      </c>
      <c r="CH23" s="1724"/>
      <c r="CI23" s="1710"/>
      <c r="CJ23" s="1721"/>
      <c r="CK23" s="1720"/>
      <c r="CL23" s="1710"/>
      <c r="CM23" s="1721"/>
      <c r="CN23" s="1720"/>
      <c r="CO23" s="1710"/>
      <c r="CP23" s="1721"/>
      <c r="CQ23" s="1720"/>
      <c r="CR23" s="1710"/>
      <c r="CS23" s="1721"/>
      <c r="CT23" s="1720"/>
      <c r="CU23" s="1710"/>
      <c r="CV23" s="1721"/>
      <c r="CW23" s="588"/>
      <c r="CX23" s="394"/>
      <c r="CY23" s="596">
        <f>IF(CG23=CH23+CK23+CT23+CN23+CQ23+CW23+CX23,CG23*CF23,"数量を再確認！")</f>
        <v>0</v>
      </c>
      <c r="CZ23" s="515" t="s">
        <v>576</v>
      </c>
      <c r="DA23" s="514">
        <v>500</v>
      </c>
      <c r="DB23" s="9"/>
      <c r="DC23" s="816" t="s">
        <v>888</v>
      </c>
      <c r="DD23" s="763">
        <v>930</v>
      </c>
      <c r="DE23" s="666"/>
      <c r="DF23" s="19"/>
      <c r="DG23" s="10"/>
      <c r="DH23" s="9"/>
    </row>
    <row r="24" spans="1:112" ht="27" customHeight="1" thickBot="1">
      <c r="A24" s="2108"/>
      <c r="B24" s="2004"/>
      <c r="C24" s="1943" t="s">
        <v>570</v>
      </c>
      <c r="D24" s="1944"/>
      <c r="E24" s="1944"/>
      <c r="F24" s="1944"/>
      <c r="G24" s="1945"/>
      <c r="H24" s="545">
        <f>IF(C24="","",VLOOKUP(C24,$CZ$19:$DA$23,2,FALSE))</f>
        <v>290</v>
      </c>
      <c r="I24" s="367">
        <f t="shared" si="10"/>
        <v>0</v>
      </c>
      <c r="J24" s="2054"/>
      <c r="K24" s="1953"/>
      <c r="L24" s="507"/>
      <c r="M24" s="507"/>
      <c r="N24" s="507"/>
      <c r="O24" s="507"/>
      <c r="P24" s="1953"/>
      <c r="Q24" s="1953"/>
      <c r="R24" s="1953"/>
      <c r="S24" s="1986"/>
      <c r="T24" s="1930">
        <f>IF(I24=J24+L24+M24+N24+O24+P24+R24,I24*H24,"人数を再確認！")</f>
        <v>0</v>
      </c>
      <c r="U24" s="1931"/>
      <c r="V24" s="656"/>
      <c r="W24" s="2052"/>
      <c r="X24" s="1938"/>
      <c r="Y24" s="1950" t="s">
        <v>323</v>
      </c>
      <c r="Z24" s="1951"/>
      <c r="AA24" s="1951"/>
      <c r="AB24" s="1951"/>
      <c r="AC24" s="1952"/>
      <c r="AD24" s="407">
        <f>IF(ISERROR(VLOOKUP(Y24,DG3:DH15,2,FALSE)),0,VLOOKUP(Y24,DG3:DH15,2,FALSE))</f>
        <v>0</v>
      </c>
      <c r="AE24" s="561">
        <f>SUM(AF24:AZ24)</f>
        <v>0</v>
      </c>
      <c r="AF24" s="1724"/>
      <c r="AG24" s="1710"/>
      <c r="AH24" s="1721"/>
      <c r="AI24" s="1720"/>
      <c r="AJ24" s="1710"/>
      <c r="AK24" s="1721"/>
      <c r="AL24" s="1720"/>
      <c r="AM24" s="1710"/>
      <c r="AN24" s="1721"/>
      <c r="AO24" s="1916"/>
      <c r="AP24" s="1917"/>
      <c r="AQ24" s="1918"/>
      <c r="AR24" s="1720"/>
      <c r="AS24" s="1710"/>
      <c r="AT24" s="1721"/>
      <c r="AU24" s="1720"/>
      <c r="AV24" s="1710"/>
      <c r="AW24" s="1721"/>
      <c r="AX24" s="1710"/>
      <c r="AY24" s="1710"/>
      <c r="AZ24" s="1711"/>
      <c r="BA24" s="596">
        <f>IF(AE24=AF24+AI24+AR24+AL24+AO24+AU24+AZ24,AE24*AD24,"数量を再確認！")</f>
        <v>0</v>
      </c>
      <c r="BB24" s="720" t="str">
        <f>IFERROR(VLOOKUP(Y24,DG5:DI8,3,FALSE),"")</f>
        <v/>
      </c>
      <c r="BC24" s="2117"/>
      <c r="BD24" s="2004"/>
      <c r="BE24" s="1943" t="s">
        <v>570</v>
      </c>
      <c r="BF24" s="1944"/>
      <c r="BG24" s="1944"/>
      <c r="BH24" s="1944"/>
      <c r="BI24" s="1945"/>
      <c r="BJ24" s="560">
        <f>IF(BE24="","",VLOOKUP(BE24,$CZ$19:$DA$23,2,FALSE))</f>
        <v>290</v>
      </c>
      <c r="BK24" s="367">
        <f t="shared" si="11"/>
        <v>10</v>
      </c>
      <c r="BL24" s="1960"/>
      <c r="BM24" s="1961"/>
      <c r="BN24" s="507">
        <v>5</v>
      </c>
      <c r="BO24" s="507">
        <v>5</v>
      </c>
      <c r="BP24" s="507"/>
      <c r="BQ24" s="507"/>
      <c r="BR24" s="1953"/>
      <c r="BS24" s="1953"/>
      <c r="BT24" s="1953"/>
      <c r="BU24" s="1986"/>
      <c r="BV24" s="1930">
        <f>IF(BK24=BL24+BN24+BO24+BP24+BQ24+BR24+BT24,BK24*BJ24,"人数を再確認！")</f>
        <v>2900</v>
      </c>
      <c r="BW24" s="1931"/>
      <c r="BX24" s="25"/>
      <c r="BY24" s="2114"/>
      <c r="BZ24" s="1938"/>
      <c r="CA24" s="1950" t="s">
        <v>323</v>
      </c>
      <c r="CB24" s="1951"/>
      <c r="CC24" s="1951"/>
      <c r="CD24" s="1951"/>
      <c r="CE24" s="1952"/>
      <c r="CF24" s="407">
        <f>IF(ISERROR(VLOOKUP(CA24,FI3:FJ15,2,FALSE)),0,VLOOKUP(CA24,FI3:FJ15,2,FALSE))</f>
        <v>0</v>
      </c>
      <c r="CG24" s="561">
        <f>SUM(CH24:CX24)</f>
        <v>0</v>
      </c>
      <c r="CH24" s="1724"/>
      <c r="CI24" s="1710"/>
      <c r="CJ24" s="1721"/>
      <c r="CK24" s="1720"/>
      <c r="CL24" s="1710"/>
      <c r="CM24" s="1721"/>
      <c r="CN24" s="1720"/>
      <c r="CO24" s="1710"/>
      <c r="CP24" s="1721"/>
      <c r="CQ24" s="1916"/>
      <c r="CR24" s="1917"/>
      <c r="CS24" s="1918"/>
      <c r="CT24" s="1720"/>
      <c r="CU24" s="1710"/>
      <c r="CV24" s="1721"/>
      <c r="CW24" s="588"/>
      <c r="CX24" s="394"/>
      <c r="CY24" s="596">
        <f>IF(CG24=CH24+CK24+CT24+CN24+CQ24+CW24+CX24,CG24*CF24,"数量を再確認！")</f>
        <v>0</v>
      </c>
      <c r="CZ24" s="10" t="s">
        <v>577</v>
      </c>
      <c r="DA24" s="9">
        <v>0</v>
      </c>
      <c r="DB24" s="9"/>
      <c r="DC24" s="817" t="s">
        <v>779</v>
      </c>
      <c r="DD24" s="763">
        <v>670</v>
      </c>
      <c r="DE24" s="666"/>
      <c r="DF24" s="19"/>
      <c r="DG24" s="10"/>
      <c r="DH24" s="9"/>
    </row>
    <row r="25" spans="1:112" ht="27" customHeight="1" thickBot="1">
      <c r="A25" s="2108"/>
      <c r="B25" s="2004"/>
      <c r="C25" s="1943" t="s">
        <v>571</v>
      </c>
      <c r="D25" s="1944"/>
      <c r="E25" s="1944"/>
      <c r="F25" s="1944"/>
      <c r="G25" s="1945"/>
      <c r="H25" s="545">
        <f>IF(C25="","",VLOOKUP(C25,$CZ$19:$DA$23,2,FALSE))</f>
        <v>450</v>
      </c>
      <c r="I25" s="367">
        <f t="shared" si="10"/>
        <v>0</v>
      </c>
      <c r="J25" s="2054"/>
      <c r="K25" s="1953"/>
      <c r="L25" s="507"/>
      <c r="M25" s="507"/>
      <c r="N25" s="507"/>
      <c r="O25" s="507"/>
      <c r="P25" s="1953"/>
      <c r="Q25" s="1953"/>
      <c r="R25" s="1953"/>
      <c r="S25" s="1986"/>
      <c r="T25" s="1930">
        <f>IF(I25=J25+L25+M25+N25+O25+P25+R25,I25*H25,"人数を再確認！")</f>
        <v>0</v>
      </c>
      <c r="U25" s="1931"/>
      <c r="V25" s="656"/>
      <c r="W25" s="2052"/>
      <c r="X25" s="1938"/>
      <c r="Y25" s="2057" t="s">
        <v>942</v>
      </c>
      <c r="Z25" s="2058"/>
      <c r="AA25" s="2058"/>
      <c r="AB25" s="2058"/>
      <c r="AC25" s="2059"/>
      <c r="AD25" s="587">
        <v>160</v>
      </c>
      <c r="AE25" s="590">
        <f>SUM(AF25:AZ25)</f>
        <v>0</v>
      </c>
      <c r="AF25" s="1848"/>
      <c r="AG25" s="1849"/>
      <c r="AH25" s="1849"/>
      <c r="AI25" s="1833"/>
      <c r="AJ25" s="1833"/>
      <c r="AK25" s="1833"/>
      <c r="AL25" s="1833"/>
      <c r="AM25" s="1833"/>
      <c r="AN25" s="1833"/>
      <c r="AO25" s="1833"/>
      <c r="AP25" s="1833"/>
      <c r="AQ25" s="1833"/>
      <c r="AR25" s="1833"/>
      <c r="AS25" s="1833"/>
      <c r="AT25" s="1833"/>
      <c r="AU25" s="1720"/>
      <c r="AV25" s="1710"/>
      <c r="AW25" s="1721"/>
      <c r="AX25" s="1710"/>
      <c r="AY25" s="1710"/>
      <c r="AZ25" s="1711"/>
      <c r="BA25" s="597">
        <f t="shared" si="9"/>
        <v>0</v>
      </c>
      <c r="BB25" s="719" t="s">
        <v>858</v>
      </c>
      <c r="BC25" s="2117"/>
      <c r="BD25" s="2004"/>
      <c r="BE25" s="1943" t="s">
        <v>574</v>
      </c>
      <c r="BF25" s="1944"/>
      <c r="BG25" s="1944"/>
      <c r="BH25" s="1944"/>
      <c r="BI25" s="1945"/>
      <c r="BJ25" s="560">
        <f>IF(BE25="","",VLOOKUP(BE25,$CZ$19:$DA$23,2,FALSE))</f>
        <v>0</v>
      </c>
      <c r="BK25" s="367">
        <f t="shared" si="11"/>
        <v>0</v>
      </c>
      <c r="BL25" s="1960"/>
      <c r="BM25" s="1961"/>
      <c r="BN25" s="507"/>
      <c r="BO25" s="507"/>
      <c r="BP25" s="507"/>
      <c r="BQ25" s="507"/>
      <c r="BR25" s="1953"/>
      <c r="BS25" s="1953"/>
      <c r="BT25" s="1953"/>
      <c r="BU25" s="1986"/>
      <c r="BV25" s="1930">
        <f>IF(BK25=BL25+BN25+BO25+BP25+BQ25+BR25+BT25,BK25*BJ25,"人数を再確認！")</f>
        <v>0</v>
      </c>
      <c r="BW25" s="1931"/>
      <c r="BX25" s="25"/>
      <c r="BY25" s="2114"/>
      <c r="BZ25" s="1938"/>
      <c r="CA25" s="1949" t="s">
        <v>615</v>
      </c>
      <c r="CB25" s="1829"/>
      <c r="CC25" s="1829"/>
      <c r="CD25" s="1829"/>
      <c r="CE25" s="1830"/>
      <c r="CF25" s="587">
        <v>160</v>
      </c>
      <c r="CG25" s="590">
        <f>SUM(CH25:CX25)</f>
        <v>0</v>
      </c>
      <c r="CH25" s="1848"/>
      <c r="CI25" s="1849"/>
      <c r="CJ25" s="1849"/>
      <c r="CK25" s="1833"/>
      <c r="CL25" s="1833"/>
      <c r="CM25" s="1833"/>
      <c r="CN25" s="1833"/>
      <c r="CO25" s="1833"/>
      <c r="CP25" s="1833"/>
      <c r="CQ25" s="1833"/>
      <c r="CR25" s="1833"/>
      <c r="CS25" s="1833"/>
      <c r="CT25" s="1833"/>
      <c r="CU25" s="1833"/>
      <c r="CV25" s="1833"/>
      <c r="CW25" s="594"/>
      <c r="CX25" s="595"/>
      <c r="CY25" s="597">
        <f>IF(CG25=CH25+CK25+CT25+CN25+CQ25+CW25+CX25,CG25*CF25,"数量を再確認！")</f>
        <v>0</v>
      </c>
      <c r="CZ25" s="10" t="s">
        <v>572</v>
      </c>
      <c r="DA25" s="9">
        <v>210</v>
      </c>
      <c r="DB25" s="9"/>
      <c r="DC25" s="817" t="s">
        <v>889</v>
      </c>
      <c r="DD25" s="763">
        <v>820</v>
      </c>
      <c r="DE25" s="666"/>
      <c r="DF25" s="19"/>
      <c r="DG25" s="10"/>
      <c r="DH25" s="9"/>
    </row>
    <row r="26" spans="1:112" ht="27" customHeight="1" thickBot="1">
      <c r="A26" s="2108"/>
      <c r="B26" s="2004"/>
      <c r="C26" s="2017" t="s">
        <v>572</v>
      </c>
      <c r="D26" s="2018"/>
      <c r="E26" s="2018"/>
      <c r="F26" s="2018"/>
      <c r="G26" s="2019"/>
      <c r="H26" s="545">
        <f>IF(C26="","",VLOOKUP(C26,$CZ$24:$DA$26,2,FALSE))</f>
        <v>210</v>
      </c>
      <c r="I26" s="367">
        <f t="shared" si="10"/>
        <v>0</v>
      </c>
      <c r="J26" s="2050"/>
      <c r="K26" s="1831"/>
      <c r="L26" s="516"/>
      <c r="M26" s="516"/>
      <c r="N26" s="516"/>
      <c r="O26" s="516"/>
      <c r="P26" s="1831"/>
      <c r="Q26" s="1831"/>
      <c r="R26" s="1831"/>
      <c r="S26" s="1832"/>
      <c r="T26" s="1930">
        <f t="shared" ref="T26:T27" si="12">IF(I26=J26+L26+M26+N26+O26+P26+R26,I26*H26,"人数を再確認！")</f>
        <v>0</v>
      </c>
      <c r="U26" s="1931"/>
      <c r="V26" s="656"/>
      <c r="W26" s="2052"/>
      <c r="X26" s="1938"/>
      <c r="Y26" s="2064" t="s">
        <v>943</v>
      </c>
      <c r="Z26" s="2065"/>
      <c r="AA26" s="2065"/>
      <c r="AB26" s="2065"/>
      <c r="AC26" s="2066"/>
      <c r="AD26" s="598">
        <v>110</v>
      </c>
      <c r="AE26" s="590">
        <f t="shared" ref="AE26:AE32" si="13">SUM(AF26:AZ26)</f>
        <v>0</v>
      </c>
      <c r="AF26" s="1848"/>
      <c r="AG26" s="1849"/>
      <c r="AH26" s="1849"/>
      <c r="AI26" s="1731"/>
      <c r="AJ26" s="1731"/>
      <c r="AK26" s="1731"/>
      <c r="AL26" s="1731"/>
      <c r="AM26" s="1731"/>
      <c r="AN26" s="1731"/>
      <c r="AO26" s="1731"/>
      <c r="AP26" s="1731"/>
      <c r="AQ26" s="1731"/>
      <c r="AR26" s="1731"/>
      <c r="AS26" s="1731"/>
      <c r="AT26" s="1731"/>
      <c r="AU26" s="1720"/>
      <c r="AV26" s="1710"/>
      <c r="AW26" s="1721"/>
      <c r="AX26" s="1710"/>
      <c r="AY26" s="1710"/>
      <c r="AZ26" s="1711"/>
      <c r="BA26" s="597">
        <f t="shared" si="9"/>
        <v>0</v>
      </c>
      <c r="BB26" s="719" t="s">
        <v>859</v>
      </c>
      <c r="BC26" s="2117"/>
      <c r="BD26" s="2004"/>
      <c r="BE26" s="2017" t="s">
        <v>577</v>
      </c>
      <c r="BF26" s="2018"/>
      <c r="BG26" s="2018"/>
      <c r="BH26" s="2018"/>
      <c r="BI26" s="2019"/>
      <c r="BJ26" s="560">
        <f>IF(BE26="","",VLOOKUP(BE26,$CZ$24:$DA$26,2,FALSE))</f>
        <v>0</v>
      </c>
      <c r="BK26" s="367">
        <f t="shared" si="11"/>
        <v>0</v>
      </c>
      <c r="BL26" s="1960"/>
      <c r="BM26" s="1961"/>
      <c r="BN26" s="516"/>
      <c r="BO26" s="516"/>
      <c r="BP26" s="516"/>
      <c r="BQ26" s="516"/>
      <c r="BR26" s="1831"/>
      <c r="BS26" s="1831"/>
      <c r="BT26" s="1831"/>
      <c r="BU26" s="1832"/>
      <c r="BV26" s="1930">
        <f t="shared" ref="BV26:BV27" si="14">IF(BK26=BL26+BN26+BO26+BP26+BQ26+BR26+BT26,BK26*BJ26,"人数を再確認！")</f>
        <v>0</v>
      </c>
      <c r="BW26" s="1931"/>
      <c r="BX26" s="25"/>
      <c r="BY26" s="2114"/>
      <c r="BZ26" s="1938"/>
      <c r="CA26" s="1946" t="s">
        <v>763</v>
      </c>
      <c r="CB26" s="1947"/>
      <c r="CC26" s="1947"/>
      <c r="CD26" s="1947"/>
      <c r="CE26" s="1948"/>
      <c r="CF26" s="598">
        <v>110</v>
      </c>
      <c r="CG26" s="590">
        <f t="shared" ref="CG26:CG30" si="15">SUM(CH26:CX26)</f>
        <v>111</v>
      </c>
      <c r="CH26" s="1848">
        <v>100</v>
      </c>
      <c r="CI26" s="1849"/>
      <c r="CJ26" s="1849"/>
      <c r="CK26" s="1731">
        <v>6</v>
      </c>
      <c r="CL26" s="1731"/>
      <c r="CM26" s="1731"/>
      <c r="CN26" s="1731">
        <v>5</v>
      </c>
      <c r="CO26" s="1731"/>
      <c r="CP26" s="1731"/>
      <c r="CQ26" s="1731"/>
      <c r="CR26" s="1731"/>
      <c r="CS26" s="1731"/>
      <c r="CT26" s="1731"/>
      <c r="CU26" s="1731"/>
      <c r="CV26" s="1731"/>
      <c r="CW26" s="594"/>
      <c r="CX26" s="595"/>
      <c r="CY26" s="597">
        <f t="shared" ref="CY26:CY30" si="16">IF(CG26=CH26+CK26+CT26+CN26+CQ26+CW26+CX26,CG26*CF26,"数量を再確認！")</f>
        <v>12210</v>
      </c>
      <c r="CZ26" s="10" t="s">
        <v>578</v>
      </c>
      <c r="DA26" s="9">
        <v>250</v>
      </c>
      <c r="DB26" s="9"/>
      <c r="DC26" s="817" t="s">
        <v>780</v>
      </c>
      <c r="DD26" s="763">
        <v>710</v>
      </c>
      <c r="DE26" s="666"/>
      <c r="DF26" s="19"/>
      <c r="DG26" s="10"/>
      <c r="DH26" s="9"/>
    </row>
    <row r="27" spans="1:112" ht="27" customHeight="1" thickBot="1">
      <c r="A27" s="2108"/>
      <c r="B27" s="2004"/>
      <c r="C27" s="2017" t="s">
        <v>578</v>
      </c>
      <c r="D27" s="2018"/>
      <c r="E27" s="2018"/>
      <c r="F27" s="2018"/>
      <c r="G27" s="2019"/>
      <c r="H27" s="546">
        <f>IF(C27="","",VLOOKUP(C27,$CZ$24:$DA$26,2,FALSE))</f>
        <v>250</v>
      </c>
      <c r="I27" s="517">
        <f t="shared" si="10"/>
        <v>0</v>
      </c>
      <c r="J27" s="2054"/>
      <c r="K27" s="2055"/>
      <c r="L27" s="507"/>
      <c r="M27" s="507"/>
      <c r="N27" s="507"/>
      <c r="O27" s="553"/>
      <c r="P27" s="1953"/>
      <c r="Q27" s="1953"/>
      <c r="R27" s="1953"/>
      <c r="S27" s="1986"/>
      <c r="T27" s="1930">
        <f t="shared" si="12"/>
        <v>0</v>
      </c>
      <c r="U27" s="1931"/>
      <c r="V27" s="656"/>
      <c r="W27" s="2052"/>
      <c r="X27" s="1938"/>
      <c r="Y27" s="1929" t="s">
        <v>944</v>
      </c>
      <c r="Z27" s="1925"/>
      <c r="AA27" s="1925"/>
      <c r="AB27" s="1925"/>
      <c r="AC27" s="1926"/>
      <c r="AD27" s="587">
        <v>120</v>
      </c>
      <c r="AE27" s="590">
        <f t="shared" si="13"/>
        <v>0</v>
      </c>
      <c r="AF27" s="2056"/>
      <c r="AG27" s="1733"/>
      <c r="AH27" s="1734"/>
      <c r="AI27" s="1732"/>
      <c r="AJ27" s="1733"/>
      <c r="AK27" s="1734"/>
      <c r="AL27" s="1732"/>
      <c r="AM27" s="1733"/>
      <c r="AN27" s="1734"/>
      <c r="AO27" s="1732"/>
      <c r="AP27" s="1733"/>
      <c r="AQ27" s="1734"/>
      <c r="AR27" s="1732"/>
      <c r="AS27" s="1733"/>
      <c r="AT27" s="1734"/>
      <c r="AU27" s="1720"/>
      <c r="AV27" s="1710"/>
      <c r="AW27" s="1721"/>
      <c r="AX27" s="1710"/>
      <c r="AY27" s="1710"/>
      <c r="AZ27" s="1711"/>
      <c r="BA27" s="597">
        <f t="shared" si="9"/>
        <v>0</v>
      </c>
      <c r="BB27" s="719" t="s">
        <v>860</v>
      </c>
      <c r="BC27" s="2117"/>
      <c r="BD27" s="2004"/>
      <c r="BE27" s="2017" t="s">
        <v>577</v>
      </c>
      <c r="BF27" s="2018"/>
      <c r="BG27" s="2018"/>
      <c r="BH27" s="2018"/>
      <c r="BI27" s="2019"/>
      <c r="BJ27" s="560">
        <f>IF(BE27="","",VLOOKUP(BE27,$CZ$24:$DA$26,2,FALSE))</f>
        <v>0</v>
      </c>
      <c r="BK27" s="517">
        <f t="shared" si="11"/>
        <v>0</v>
      </c>
      <c r="BL27" s="1960"/>
      <c r="BM27" s="1961"/>
      <c r="BN27" s="507"/>
      <c r="BO27" s="507"/>
      <c r="BP27" s="507"/>
      <c r="BQ27" s="553"/>
      <c r="BR27" s="1953"/>
      <c r="BS27" s="1953"/>
      <c r="BT27" s="1953"/>
      <c r="BU27" s="1986"/>
      <c r="BV27" s="1930">
        <f t="shared" si="14"/>
        <v>0</v>
      </c>
      <c r="BW27" s="1931"/>
      <c r="BX27" s="25"/>
      <c r="BY27" s="2114"/>
      <c r="BZ27" s="1938"/>
      <c r="CA27" s="1949" t="s">
        <v>616</v>
      </c>
      <c r="CB27" s="1829"/>
      <c r="CC27" s="1829"/>
      <c r="CD27" s="1829"/>
      <c r="CE27" s="1830"/>
      <c r="CF27" s="587">
        <v>120</v>
      </c>
      <c r="CG27" s="590">
        <f t="shared" si="15"/>
        <v>0</v>
      </c>
      <c r="CH27" s="2056"/>
      <c r="CI27" s="1733"/>
      <c r="CJ27" s="1734"/>
      <c r="CK27" s="1732"/>
      <c r="CL27" s="1733"/>
      <c r="CM27" s="1734"/>
      <c r="CN27" s="1732"/>
      <c r="CO27" s="1733"/>
      <c r="CP27" s="1734"/>
      <c r="CQ27" s="1732"/>
      <c r="CR27" s="1733"/>
      <c r="CS27" s="1734"/>
      <c r="CT27" s="1732"/>
      <c r="CU27" s="1733"/>
      <c r="CV27" s="1734"/>
      <c r="CW27" s="592"/>
      <c r="CX27" s="593"/>
      <c r="CY27" s="597">
        <f t="shared" si="16"/>
        <v>0</v>
      </c>
      <c r="CZ27" s="9"/>
      <c r="DA27" s="9"/>
      <c r="DB27" s="9"/>
      <c r="DC27" s="817" t="s">
        <v>890</v>
      </c>
      <c r="DD27" s="763">
        <v>730</v>
      </c>
      <c r="DE27" s="666"/>
      <c r="DF27" s="19"/>
      <c r="DG27" s="10"/>
      <c r="DH27" s="9"/>
    </row>
    <row r="28" spans="1:112" ht="27" customHeight="1" thickBot="1">
      <c r="A28" s="2108"/>
      <c r="B28" s="2004"/>
      <c r="C28" s="2011" t="s">
        <v>573</v>
      </c>
      <c r="D28" s="2012"/>
      <c r="E28" s="2012"/>
      <c r="F28" s="2012"/>
      <c r="G28" s="2012"/>
      <c r="H28" s="544" t="s">
        <v>583</v>
      </c>
      <c r="I28" s="518">
        <f t="shared" si="10"/>
        <v>0</v>
      </c>
      <c r="J28" s="2013"/>
      <c r="K28" s="1983"/>
      <c r="L28" s="505"/>
      <c r="M28" s="554"/>
      <c r="N28" s="505"/>
      <c r="O28" s="554"/>
      <c r="P28" s="1979"/>
      <c r="Q28" s="1983"/>
      <c r="R28" s="1979"/>
      <c r="S28" s="1980"/>
      <c r="T28" s="1981" t="s">
        <v>584</v>
      </c>
      <c r="U28" s="1982"/>
      <c r="V28" s="656"/>
      <c r="W28" s="2052"/>
      <c r="X28" s="1938"/>
      <c r="Y28" s="1924" t="s">
        <v>945</v>
      </c>
      <c r="Z28" s="1925"/>
      <c r="AA28" s="1925"/>
      <c r="AB28" s="1925"/>
      <c r="AC28" s="1926"/>
      <c r="AD28" s="599">
        <v>350</v>
      </c>
      <c r="AE28" s="590">
        <f t="shared" si="13"/>
        <v>0</v>
      </c>
      <c r="AF28" s="1818"/>
      <c r="AG28" s="1743"/>
      <c r="AH28" s="1744"/>
      <c r="AI28" s="1742"/>
      <c r="AJ28" s="1743"/>
      <c r="AK28" s="1744"/>
      <c r="AL28" s="1742"/>
      <c r="AM28" s="1743"/>
      <c r="AN28" s="1744"/>
      <c r="AO28" s="1742"/>
      <c r="AP28" s="1743"/>
      <c r="AQ28" s="1744"/>
      <c r="AR28" s="1742"/>
      <c r="AS28" s="1743"/>
      <c r="AT28" s="1744"/>
      <c r="AU28" s="1720"/>
      <c r="AV28" s="1710"/>
      <c r="AW28" s="1721"/>
      <c r="AX28" s="1710"/>
      <c r="AY28" s="1710"/>
      <c r="AZ28" s="1711"/>
      <c r="BA28" s="597">
        <f t="shared" si="9"/>
        <v>0</v>
      </c>
      <c r="BB28" s="719" t="s">
        <v>861</v>
      </c>
      <c r="BC28" s="2117"/>
      <c r="BD28" s="2004"/>
      <c r="BE28" s="2011" t="s">
        <v>573</v>
      </c>
      <c r="BF28" s="2012"/>
      <c r="BG28" s="2012"/>
      <c r="BH28" s="2012"/>
      <c r="BI28" s="2012"/>
      <c r="BJ28" s="562" t="s">
        <v>583</v>
      </c>
      <c r="BK28" s="518">
        <f t="shared" si="11"/>
        <v>2</v>
      </c>
      <c r="BL28" s="2013">
        <v>1</v>
      </c>
      <c r="BM28" s="1983"/>
      <c r="BN28" s="505">
        <v>1</v>
      </c>
      <c r="BO28" s="554"/>
      <c r="BP28" s="505"/>
      <c r="BQ28" s="554"/>
      <c r="BR28" s="1979"/>
      <c r="BS28" s="1983"/>
      <c r="BT28" s="1979"/>
      <c r="BU28" s="1980"/>
      <c r="BV28" s="1981" t="s">
        <v>584</v>
      </c>
      <c r="BW28" s="1982"/>
      <c r="BX28" s="25"/>
      <c r="BY28" s="2114"/>
      <c r="BZ28" s="1938"/>
      <c r="CA28" s="1924" t="s">
        <v>617</v>
      </c>
      <c r="CB28" s="1925"/>
      <c r="CC28" s="1925"/>
      <c r="CD28" s="1925"/>
      <c r="CE28" s="1926"/>
      <c r="CF28" s="599">
        <v>350</v>
      </c>
      <c r="CG28" s="590">
        <f t="shared" si="15"/>
        <v>0</v>
      </c>
      <c r="CH28" s="1818"/>
      <c r="CI28" s="1743"/>
      <c r="CJ28" s="1744"/>
      <c r="CK28" s="1742"/>
      <c r="CL28" s="1743"/>
      <c r="CM28" s="1744"/>
      <c r="CN28" s="1742"/>
      <c r="CO28" s="1743"/>
      <c r="CP28" s="1744"/>
      <c r="CQ28" s="1742"/>
      <c r="CR28" s="1743"/>
      <c r="CS28" s="1744"/>
      <c r="CT28" s="1742"/>
      <c r="CU28" s="1743"/>
      <c r="CV28" s="1744"/>
      <c r="CW28" s="600"/>
      <c r="CX28" s="601"/>
      <c r="CY28" s="597">
        <f t="shared" si="16"/>
        <v>0</v>
      </c>
      <c r="CZ28" s="9"/>
      <c r="DA28" s="9"/>
      <c r="DB28" s="9"/>
      <c r="DC28" s="817" t="s">
        <v>878</v>
      </c>
      <c r="DD28" s="763">
        <v>440</v>
      </c>
      <c r="DE28" s="666"/>
      <c r="DF28" s="19"/>
      <c r="DG28" s="10"/>
      <c r="DH28" s="9"/>
    </row>
    <row r="29" spans="1:112" ht="27" customHeight="1" thickTop="1" thickBot="1">
      <c r="A29" s="2109"/>
      <c r="B29" s="2005"/>
      <c r="C29" s="2014" t="s">
        <v>374</v>
      </c>
      <c r="D29" s="2015"/>
      <c r="E29" s="2015"/>
      <c r="F29" s="2015"/>
      <c r="G29" s="2015"/>
      <c r="H29" s="2016"/>
      <c r="I29" s="529">
        <f>SUM(I23:I28)</f>
        <v>0</v>
      </c>
      <c r="J29" s="1987">
        <f>J24*$H$24+J25*$H$25+J26*$H$26+J27*$H$27</f>
        <v>0</v>
      </c>
      <c r="K29" s="1988"/>
      <c r="L29" s="368">
        <f>L24*$H$24+L25*$H$25+L26*$H$26+L27*$H$27</f>
        <v>0</v>
      </c>
      <c r="M29" s="368">
        <f t="shared" ref="M29:R29" si="17">M24*$H$24+M25*$H$25+M26*$H$26+M27*$H$27</f>
        <v>0</v>
      </c>
      <c r="N29" s="368">
        <f t="shared" si="17"/>
        <v>0</v>
      </c>
      <c r="O29" s="368">
        <f t="shared" si="17"/>
        <v>0</v>
      </c>
      <c r="P29" s="1728">
        <f t="shared" si="17"/>
        <v>0</v>
      </c>
      <c r="Q29" s="1730"/>
      <c r="R29" s="1728">
        <f t="shared" si="17"/>
        <v>0</v>
      </c>
      <c r="S29" s="1730"/>
      <c r="T29" s="1992">
        <f>IF(COUNTIF(T23:U28,"人数を再確認！"),"人数を再確認！",SUM(T23:U28))</f>
        <v>0</v>
      </c>
      <c r="U29" s="1993"/>
      <c r="V29" s="660"/>
      <c r="W29" s="2052"/>
      <c r="X29" s="1938"/>
      <c r="Y29" s="1949" t="s">
        <v>862</v>
      </c>
      <c r="Z29" s="1829"/>
      <c r="AA29" s="1829"/>
      <c r="AB29" s="1829"/>
      <c r="AC29" s="1830"/>
      <c r="AD29" s="587">
        <v>4500</v>
      </c>
      <c r="AE29" s="590">
        <f t="shared" si="13"/>
        <v>0</v>
      </c>
      <c r="AF29" s="1818"/>
      <c r="AG29" s="1743"/>
      <c r="AH29" s="1744"/>
      <c r="AI29" s="1742"/>
      <c r="AJ29" s="1743"/>
      <c r="AK29" s="1744"/>
      <c r="AL29" s="1742"/>
      <c r="AM29" s="1743"/>
      <c r="AN29" s="1744"/>
      <c r="AO29" s="1742"/>
      <c r="AP29" s="1743"/>
      <c r="AQ29" s="1744"/>
      <c r="AR29" s="1742"/>
      <c r="AS29" s="1743"/>
      <c r="AT29" s="1744"/>
      <c r="AU29" s="1720"/>
      <c r="AV29" s="1710"/>
      <c r="AW29" s="1721"/>
      <c r="AX29" s="1710"/>
      <c r="AY29" s="1710"/>
      <c r="AZ29" s="1711"/>
      <c r="BA29" s="597">
        <f t="shared" si="9"/>
        <v>0</v>
      </c>
      <c r="BB29" s="719" t="s">
        <v>863</v>
      </c>
      <c r="BC29" s="2118"/>
      <c r="BD29" s="2005"/>
      <c r="BE29" s="2014" t="s">
        <v>374</v>
      </c>
      <c r="BF29" s="2015"/>
      <c r="BG29" s="2015"/>
      <c r="BH29" s="2015"/>
      <c r="BI29" s="2015"/>
      <c r="BJ29" s="2016"/>
      <c r="BK29" s="529">
        <f>SUM(BK23:BK28)</f>
        <v>111</v>
      </c>
      <c r="BL29" s="1987">
        <f>BJ25*BL25+BJ24*BL24+BJ26*BL26+BJ27*BL27</f>
        <v>0</v>
      </c>
      <c r="BM29" s="1988"/>
      <c r="BN29" s="368">
        <f>BJ24*BN24+BJ25*BN25+BJ26*BN26+BJ27*BN27</f>
        <v>1450</v>
      </c>
      <c r="BO29" s="368">
        <f>BO24*BJ24+BO25*BJ25+BO26*BJ26+BO27*BJ27</f>
        <v>1450</v>
      </c>
      <c r="BP29" s="563">
        <f>BP24*BJ24+BP25*BJ25+BP26*BJ26+BP27*BJ27</f>
        <v>0</v>
      </c>
      <c r="BQ29" s="563">
        <f>BQ24*BJ24+BQ25*BJ25+BQ26*BJ26+BQ27*BJ27</f>
        <v>0</v>
      </c>
      <c r="BR29" s="1990">
        <f>BR24*BJ24+BR25*BJ25+BR26*BJ26+BR27*BJ27</f>
        <v>0</v>
      </c>
      <c r="BS29" s="1991"/>
      <c r="BT29" s="1990">
        <f>BT24*BJ24+BT25*BJ25+BT26*BJ26+BT27*BJ27</f>
        <v>0</v>
      </c>
      <c r="BU29" s="1991"/>
      <c r="BV29" s="1992">
        <f>IF(COUNTIF(BV23:BW26,"人数を再確認！"),"人数を再確認！",SUM(BV23:BW26))</f>
        <v>2900</v>
      </c>
      <c r="BW29" s="1993"/>
      <c r="BX29" s="457"/>
      <c r="BY29" s="2114"/>
      <c r="BZ29" s="1938"/>
      <c r="CA29" s="1828" t="s">
        <v>646</v>
      </c>
      <c r="CB29" s="1829"/>
      <c r="CC29" s="1829"/>
      <c r="CD29" s="1829"/>
      <c r="CE29" s="1830"/>
      <c r="CF29" s="587">
        <v>4500</v>
      </c>
      <c r="CG29" s="590">
        <f t="shared" si="15"/>
        <v>0</v>
      </c>
      <c r="CH29" s="1818"/>
      <c r="CI29" s="1743"/>
      <c r="CJ29" s="1744"/>
      <c r="CK29" s="1742"/>
      <c r="CL29" s="1743"/>
      <c r="CM29" s="1744"/>
      <c r="CN29" s="1742"/>
      <c r="CO29" s="1743"/>
      <c r="CP29" s="1744"/>
      <c r="CQ29" s="1742"/>
      <c r="CR29" s="1743"/>
      <c r="CS29" s="1744"/>
      <c r="CT29" s="1742"/>
      <c r="CU29" s="1743"/>
      <c r="CV29" s="1744"/>
      <c r="CW29" s="600"/>
      <c r="CX29" s="601"/>
      <c r="CY29" s="597">
        <f t="shared" si="16"/>
        <v>0</v>
      </c>
      <c r="CZ29" s="9"/>
      <c r="DA29" s="9"/>
      <c r="DB29" s="9"/>
      <c r="DC29" s="774" t="s">
        <v>167</v>
      </c>
      <c r="DD29" s="772"/>
      <c r="DE29" s="667"/>
      <c r="DF29" s="18"/>
      <c r="DG29" s="10"/>
      <c r="DH29" s="9"/>
    </row>
    <row r="30" spans="1:112" ht="27" customHeight="1" thickTop="1">
      <c r="A30" s="1767" t="s">
        <v>809</v>
      </c>
      <c r="B30" s="1745" t="s">
        <v>169</v>
      </c>
      <c r="C30" s="1748" t="s">
        <v>170</v>
      </c>
      <c r="D30" s="1860" t="s">
        <v>579</v>
      </c>
      <c r="E30" s="1860"/>
      <c r="F30" s="1860"/>
      <c r="G30" s="1860"/>
      <c r="H30" s="519" t="s">
        <v>583</v>
      </c>
      <c r="I30" s="369">
        <f>SUM(J30:S30)</f>
        <v>0</v>
      </c>
      <c r="J30" s="1984"/>
      <c r="K30" s="1985"/>
      <c r="L30" s="504"/>
      <c r="M30" s="504"/>
      <c r="N30" s="504"/>
      <c r="O30" s="504"/>
      <c r="P30" s="1985"/>
      <c r="Q30" s="1985"/>
      <c r="R30" s="1985"/>
      <c r="S30" s="1989"/>
      <c r="T30" s="1914" t="s">
        <v>584</v>
      </c>
      <c r="U30" s="1915"/>
      <c r="V30" s="680" t="s">
        <v>672</v>
      </c>
      <c r="W30" s="2052"/>
      <c r="X30" s="1938"/>
      <c r="Y30" s="1929" t="s">
        <v>894</v>
      </c>
      <c r="Z30" s="1925"/>
      <c r="AA30" s="1925"/>
      <c r="AB30" s="1925"/>
      <c r="AC30" s="1926"/>
      <c r="AD30" s="602">
        <v>1250</v>
      </c>
      <c r="AE30" s="590">
        <f t="shared" si="13"/>
        <v>0</v>
      </c>
      <c r="AF30" s="1818"/>
      <c r="AG30" s="1743"/>
      <c r="AH30" s="1744"/>
      <c r="AI30" s="1742"/>
      <c r="AJ30" s="1743"/>
      <c r="AK30" s="1744"/>
      <c r="AL30" s="1742"/>
      <c r="AM30" s="1743"/>
      <c r="AN30" s="1744"/>
      <c r="AO30" s="1742"/>
      <c r="AP30" s="1743"/>
      <c r="AQ30" s="1744"/>
      <c r="AR30" s="1742"/>
      <c r="AS30" s="1743"/>
      <c r="AT30" s="1744"/>
      <c r="AU30" s="1720"/>
      <c r="AV30" s="1710"/>
      <c r="AW30" s="1721"/>
      <c r="AX30" s="1710"/>
      <c r="AY30" s="1710"/>
      <c r="AZ30" s="1711"/>
      <c r="BA30" s="597">
        <f t="shared" si="9"/>
        <v>0</v>
      </c>
      <c r="BB30" s="719" t="s">
        <v>698</v>
      </c>
      <c r="BC30" s="1851" t="s">
        <v>809</v>
      </c>
      <c r="BD30" s="1745" t="s">
        <v>169</v>
      </c>
      <c r="BE30" s="1748" t="s">
        <v>170</v>
      </c>
      <c r="BF30" s="1860" t="s">
        <v>579</v>
      </c>
      <c r="BG30" s="1860"/>
      <c r="BH30" s="1860"/>
      <c r="BI30" s="1860"/>
      <c r="BJ30" s="519" t="s">
        <v>583</v>
      </c>
      <c r="BK30" s="369">
        <f>SUM(BL30:BU30)</f>
        <v>0</v>
      </c>
      <c r="BL30" s="1984"/>
      <c r="BM30" s="1985"/>
      <c r="BN30" s="504"/>
      <c r="BO30" s="504"/>
      <c r="BP30" s="504"/>
      <c r="BQ30" s="504"/>
      <c r="BR30" s="1985"/>
      <c r="BS30" s="1985"/>
      <c r="BT30" s="1985"/>
      <c r="BU30" s="1989"/>
      <c r="BV30" s="1914" t="s">
        <v>584</v>
      </c>
      <c r="BW30" s="1915"/>
      <c r="BX30" s="25"/>
      <c r="BY30" s="2114"/>
      <c r="BZ30" s="1938"/>
      <c r="CA30" s="1929" t="s">
        <v>618</v>
      </c>
      <c r="CB30" s="1925"/>
      <c r="CC30" s="1925"/>
      <c r="CD30" s="1925"/>
      <c r="CE30" s="1926"/>
      <c r="CF30" s="602">
        <v>250</v>
      </c>
      <c r="CG30" s="590">
        <f t="shared" si="15"/>
        <v>0</v>
      </c>
      <c r="CH30" s="1818"/>
      <c r="CI30" s="1743"/>
      <c r="CJ30" s="1744"/>
      <c r="CK30" s="1742"/>
      <c r="CL30" s="1743"/>
      <c r="CM30" s="1744"/>
      <c r="CN30" s="1742"/>
      <c r="CO30" s="1743"/>
      <c r="CP30" s="1744"/>
      <c r="CQ30" s="1742"/>
      <c r="CR30" s="1743"/>
      <c r="CS30" s="1744"/>
      <c r="CT30" s="1742"/>
      <c r="CU30" s="1743"/>
      <c r="CV30" s="1744"/>
      <c r="CW30" s="600"/>
      <c r="CX30" s="601"/>
      <c r="CY30" s="597">
        <f t="shared" si="16"/>
        <v>0</v>
      </c>
      <c r="CZ30" s="9"/>
      <c r="DA30" s="9"/>
      <c r="DB30" s="9"/>
      <c r="DC30" s="730" t="s">
        <v>874</v>
      </c>
      <c r="DD30" s="772">
        <v>220</v>
      </c>
      <c r="DE30" s="667"/>
      <c r="DF30" s="19"/>
      <c r="DG30" s="10"/>
      <c r="DH30" s="9"/>
    </row>
    <row r="31" spans="1:112" ht="27" customHeight="1">
      <c r="A31" s="1768"/>
      <c r="B31" s="1746"/>
      <c r="C31" s="1749"/>
      <c r="D31" s="1844" t="s">
        <v>580</v>
      </c>
      <c r="E31" s="1844"/>
      <c r="F31" s="1844"/>
      <c r="G31" s="1844"/>
      <c r="H31" s="370">
        <v>330</v>
      </c>
      <c r="I31" s="371">
        <f>SUM(J31:S31)</f>
        <v>0</v>
      </c>
      <c r="J31" s="1845"/>
      <c r="K31" s="1774"/>
      <c r="L31" s="503"/>
      <c r="M31" s="503"/>
      <c r="N31" s="503"/>
      <c r="O31" s="503"/>
      <c r="P31" s="1774"/>
      <c r="Q31" s="1774"/>
      <c r="R31" s="1774"/>
      <c r="S31" s="1843"/>
      <c r="T31" s="1872">
        <f>IF(I31=J31+L31+M31+N31+O31+P31+R31,H31*I31,"人数を再確認！")</f>
        <v>0</v>
      </c>
      <c r="U31" s="1894"/>
      <c r="V31" s="680" t="s">
        <v>673</v>
      </c>
      <c r="W31" s="2052"/>
      <c r="X31" s="1938"/>
      <c r="Y31" s="1929" t="s">
        <v>946</v>
      </c>
      <c r="Z31" s="1925"/>
      <c r="AA31" s="1925"/>
      <c r="AB31" s="1925"/>
      <c r="AC31" s="1926"/>
      <c r="AD31" s="602">
        <v>1000</v>
      </c>
      <c r="AE31" s="590">
        <f t="shared" si="13"/>
        <v>0</v>
      </c>
      <c r="AF31" s="2056"/>
      <c r="AG31" s="1733"/>
      <c r="AH31" s="1734"/>
      <c r="AI31" s="1732"/>
      <c r="AJ31" s="1733"/>
      <c r="AK31" s="1734"/>
      <c r="AL31" s="1732"/>
      <c r="AM31" s="1733"/>
      <c r="AN31" s="1734"/>
      <c r="AO31" s="1732"/>
      <c r="AP31" s="1733"/>
      <c r="AQ31" s="1734"/>
      <c r="AR31" s="1732"/>
      <c r="AS31" s="1733"/>
      <c r="AT31" s="1734"/>
      <c r="AU31" s="1732"/>
      <c r="AV31" s="1733"/>
      <c r="AW31" s="1734"/>
      <c r="AX31" s="1732"/>
      <c r="AY31" s="1733"/>
      <c r="AZ31" s="1741"/>
      <c r="BA31" s="795">
        <f>IF(AE31=AF31+AI31+AL31+AO31+AR31+AU31+AZ31,AE31*AD31,"人数を再確認！")</f>
        <v>0</v>
      </c>
      <c r="BB31" s="719"/>
      <c r="BC31" s="1852"/>
      <c r="BD31" s="1746"/>
      <c r="BE31" s="1749"/>
      <c r="BF31" s="1844" t="s">
        <v>580</v>
      </c>
      <c r="BG31" s="1844"/>
      <c r="BH31" s="1844"/>
      <c r="BI31" s="1844"/>
      <c r="BJ31" s="370">
        <v>330</v>
      </c>
      <c r="BK31" s="371">
        <f>SUM(BL31:BU31)</f>
        <v>0</v>
      </c>
      <c r="BL31" s="1845"/>
      <c r="BM31" s="1774"/>
      <c r="BN31" s="503"/>
      <c r="BO31" s="503"/>
      <c r="BP31" s="503"/>
      <c r="BQ31" s="503"/>
      <c r="BR31" s="1774"/>
      <c r="BS31" s="1774"/>
      <c r="BT31" s="1774"/>
      <c r="BU31" s="1843"/>
      <c r="BV31" s="1872">
        <f>IF(BK31=BL31+BN31+BO31+BP31+BQ31+BR31+BT31,BJ31*BK31,"人数を再確認！")</f>
        <v>0</v>
      </c>
      <c r="BW31" s="1894"/>
      <c r="BX31" s="152">
        <f>IF(BK30*0.2&lt;BL31+BN31+BO31+BP31+BQ31+BR31+BT31,1,0)</f>
        <v>0</v>
      </c>
      <c r="BY31" s="2114"/>
      <c r="BZ31" s="1938"/>
      <c r="CA31" s="1828"/>
      <c r="CB31" s="1829"/>
      <c r="CC31" s="1829"/>
      <c r="CD31" s="1829"/>
      <c r="CE31" s="1830"/>
      <c r="CF31" s="1927"/>
      <c r="CG31" s="1922">
        <f>SUM(CH31:CX31)</f>
        <v>0</v>
      </c>
      <c r="CH31" s="2086"/>
      <c r="CI31" s="2084"/>
      <c r="CJ31" s="2085"/>
      <c r="CK31" s="2083"/>
      <c r="CL31" s="2084"/>
      <c r="CM31" s="2085"/>
      <c r="CN31" s="2083"/>
      <c r="CO31" s="2084"/>
      <c r="CP31" s="2085"/>
      <c r="CQ31" s="2083"/>
      <c r="CR31" s="2084"/>
      <c r="CS31" s="2085"/>
      <c r="CT31" s="2083"/>
      <c r="CU31" s="2084"/>
      <c r="CV31" s="2085"/>
      <c r="CW31" s="2089"/>
      <c r="CX31" s="2091"/>
      <c r="CY31" s="2087">
        <f>IF(CG31=CH31+CK31+CN31+CQ31+CT31+CW31+CX31,CG31*CF31,"人数を再確認！")</f>
        <v>0</v>
      </c>
      <c r="CZ31" s="9"/>
      <c r="DA31" s="9"/>
      <c r="DB31" s="9"/>
      <c r="DC31" s="730" t="s">
        <v>875</v>
      </c>
      <c r="DD31" s="772">
        <v>220</v>
      </c>
      <c r="DE31" s="667"/>
      <c r="DF31" s="19"/>
      <c r="DG31" s="10"/>
      <c r="DH31" s="9"/>
    </row>
    <row r="32" spans="1:112" ht="27" customHeight="1" thickBot="1">
      <c r="A32" s="1768"/>
      <c r="B32" s="1746"/>
      <c r="C32" s="1749"/>
      <c r="D32" s="1844" t="s">
        <v>173</v>
      </c>
      <c r="E32" s="1844"/>
      <c r="F32" s="1844"/>
      <c r="G32" s="1844"/>
      <c r="H32" s="370">
        <v>330</v>
      </c>
      <c r="I32" s="371">
        <f>SUM(J32:S32)</f>
        <v>0</v>
      </c>
      <c r="J32" s="1845"/>
      <c r="K32" s="1774"/>
      <c r="L32" s="503"/>
      <c r="M32" s="503"/>
      <c r="N32" s="503"/>
      <c r="O32" s="503"/>
      <c r="P32" s="1774"/>
      <c r="Q32" s="1774"/>
      <c r="R32" s="1774"/>
      <c r="S32" s="1843"/>
      <c r="T32" s="1872">
        <f t="shared" ref="T32:T37" si="18">IF(I32=J32+L32+M32+N32+O32+P32+R32,H32*I32,"人数を再確認！")</f>
        <v>0</v>
      </c>
      <c r="U32" s="1894"/>
      <c r="V32" s="681" t="s">
        <v>674</v>
      </c>
      <c r="W32" s="2052"/>
      <c r="X32" s="1938"/>
      <c r="Y32" s="1929" t="s">
        <v>618</v>
      </c>
      <c r="Z32" s="1925"/>
      <c r="AA32" s="1925"/>
      <c r="AB32" s="1925"/>
      <c r="AC32" s="1926"/>
      <c r="AD32" s="602">
        <v>250</v>
      </c>
      <c r="AE32" s="590">
        <f t="shared" si="13"/>
        <v>0</v>
      </c>
      <c r="AF32" s="2032"/>
      <c r="AG32" s="1739"/>
      <c r="AH32" s="1740"/>
      <c r="AI32" s="1738"/>
      <c r="AJ32" s="1739"/>
      <c r="AK32" s="1740"/>
      <c r="AL32" s="1738"/>
      <c r="AM32" s="1739"/>
      <c r="AN32" s="1740"/>
      <c r="AO32" s="1738"/>
      <c r="AP32" s="1739"/>
      <c r="AQ32" s="1740"/>
      <c r="AR32" s="1738"/>
      <c r="AS32" s="1739"/>
      <c r="AT32" s="1740"/>
      <c r="AU32" s="1738"/>
      <c r="AV32" s="1739"/>
      <c r="AW32" s="1740"/>
      <c r="AX32" s="1710"/>
      <c r="AY32" s="1710"/>
      <c r="AZ32" s="1711"/>
      <c r="BA32" s="597">
        <f t="shared" si="9"/>
        <v>0</v>
      </c>
      <c r="BB32" s="719"/>
      <c r="BC32" s="1852"/>
      <c r="BD32" s="1746"/>
      <c r="BE32" s="1749"/>
      <c r="BF32" s="1844" t="s">
        <v>173</v>
      </c>
      <c r="BG32" s="1844"/>
      <c r="BH32" s="1844"/>
      <c r="BI32" s="1844"/>
      <c r="BJ32" s="370">
        <v>330</v>
      </c>
      <c r="BK32" s="371">
        <f>SUM(BL32:BU32)</f>
        <v>99</v>
      </c>
      <c r="BL32" s="1845">
        <v>99</v>
      </c>
      <c r="BM32" s="1774"/>
      <c r="BN32" s="503"/>
      <c r="BO32" s="503"/>
      <c r="BP32" s="503"/>
      <c r="BQ32" s="503"/>
      <c r="BR32" s="1774"/>
      <c r="BS32" s="1774"/>
      <c r="BT32" s="1774"/>
      <c r="BU32" s="1843"/>
      <c r="BV32" s="1872">
        <f t="shared" ref="BV32:BV34" si="19">IF(BK32=BL32+BN32+BO32+BP32+BQ32+BR32+BT32,BJ32*BK32,"人数を再確認！")</f>
        <v>32670</v>
      </c>
      <c r="BW32" s="1894"/>
      <c r="BX32" s="27"/>
      <c r="BY32" s="2114"/>
      <c r="BZ32" s="1938"/>
      <c r="CA32" s="1935"/>
      <c r="CB32" s="1936"/>
      <c r="CC32" s="1936"/>
      <c r="CD32" s="1936"/>
      <c r="CE32" s="1937"/>
      <c r="CF32" s="1928"/>
      <c r="CG32" s="1923"/>
      <c r="CH32" s="2032"/>
      <c r="CI32" s="1739"/>
      <c r="CJ32" s="1740"/>
      <c r="CK32" s="1738"/>
      <c r="CL32" s="1739"/>
      <c r="CM32" s="1740"/>
      <c r="CN32" s="1738"/>
      <c r="CO32" s="1739"/>
      <c r="CP32" s="1740"/>
      <c r="CQ32" s="1738"/>
      <c r="CR32" s="1739"/>
      <c r="CS32" s="1740"/>
      <c r="CT32" s="1738"/>
      <c r="CU32" s="1739"/>
      <c r="CV32" s="1740"/>
      <c r="CW32" s="2090"/>
      <c r="CX32" s="2092"/>
      <c r="CY32" s="2088"/>
      <c r="CZ32" s="9"/>
      <c r="DA32" s="9"/>
      <c r="DB32" s="9"/>
      <c r="DC32" s="731" t="s">
        <v>876</v>
      </c>
      <c r="DD32" s="772">
        <v>220</v>
      </c>
      <c r="DE32" s="667"/>
      <c r="DF32" s="19"/>
      <c r="DG32" s="10"/>
      <c r="DH32" s="9"/>
    </row>
    <row r="33" spans="1:112" ht="27" customHeight="1" thickBot="1">
      <c r="A33" s="1768"/>
      <c r="B33" s="1746"/>
      <c r="C33" s="1749"/>
      <c r="D33" s="1860" t="s">
        <v>581</v>
      </c>
      <c r="E33" s="1860"/>
      <c r="F33" s="1860"/>
      <c r="G33" s="1860"/>
      <c r="H33" s="520">
        <v>710</v>
      </c>
      <c r="I33" s="371">
        <f>SUM(J33:S33)</f>
        <v>0</v>
      </c>
      <c r="J33" s="1861"/>
      <c r="K33" s="1862"/>
      <c r="L33" s="547"/>
      <c r="M33" s="503"/>
      <c r="N33" s="503"/>
      <c r="O33" s="372"/>
      <c r="P33" s="1774"/>
      <c r="Q33" s="1774"/>
      <c r="R33" s="1774"/>
      <c r="S33" s="1843"/>
      <c r="T33" s="1872">
        <f t="shared" si="18"/>
        <v>0</v>
      </c>
      <c r="U33" s="1894"/>
      <c r="V33" s="680" t="s">
        <v>765</v>
      </c>
      <c r="W33" s="2052"/>
      <c r="X33" s="1938"/>
      <c r="Y33" s="1929"/>
      <c r="Z33" s="1925"/>
      <c r="AA33" s="1925"/>
      <c r="AB33" s="1925"/>
      <c r="AC33" s="1926"/>
      <c r="AD33" s="602"/>
      <c r="AE33" s="564">
        <f>SUM(AF33:AZ33)</f>
        <v>0</v>
      </c>
      <c r="AF33" s="1815"/>
      <c r="AG33" s="1816"/>
      <c r="AH33" s="1817"/>
      <c r="AI33" s="1732"/>
      <c r="AJ33" s="1733"/>
      <c r="AK33" s="1734"/>
      <c r="AL33" s="1732"/>
      <c r="AM33" s="1733"/>
      <c r="AN33" s="1734"/>
      <c r="AO33" s="1805"/>
      <c r="AP33" s="1806"/>
      <c r="AQ33" s="1807"/>
      <c r="AR33" s="1805"/>
      <c r="AS33" s="1806"/>
      <c r="AT33" s="1807"/>
      <c r="AU33" s="1805"/>
      <c r="AV33" s="1806"/>
      <c r="AW33" s="1807"/>
      <c r="AX33" s="1732"/>
      <c r="AY33" s="1733"/>
      <c r="AZ33" s="1741"/>
      <c r="BA33" s="603">
        <f>IF(AE33=AF33+AI33+AL33+AO33+AR33+AU33+AZ33,AE33*AD33,"数量を再確認！")</f>
        <v>0</v>
      </c>
      <c r="BB33" s="719"/>
      <c r="BC33" s="1852"/>
      <c r="BD33" s="1746"/>
      <c r="BE33" s="1749"/>
      <c r="BF33" s="1860" t="s">
        <v>581</v>
      </c>
      <c r="BG33" s="1860"/>
      <c r="BH33" s="1860"/>
      <c r="BI33" s="1860"/>
      <c r="BJ33" s="520">
        <v>710</v>
      </c>
      <c r="BK33" s="371">
        <f>SUM(BL33:BU33)</f>
        <v>0</v>
      </c>
      <c r="BL33" s="1861"/>
      <c r="BM33" s="1862"/>
      <c r="BN33" s="547"/>
      <c r="BO33" s="503"/>
      <c r="BP33" s="503"/>
      <c r="BQ33" s="372"/>
      <c r="BR33" s="1774"/>
      <c r="BS33" s="1774"/>
      <c r="BT33" s="1774"/>
      <c r="BU33" s="1843"/>
      <c r="BV33" s="1872">
        <f t="shared" si="19"/>
        <v>0</v>
      </c>
      <c r="BW33" s="1894"/>
      <c r="BX33" s="25"/>
      <c r="BY33" s="2114"/>
      <c r="BZ33" s="1938"/>
      <c r="CA33" s="1929"/>
      <c r="CB33" s="1925"/>
      <c r="CC33" s="1925"/>
      <c r="CD33" s="1925"/>
      <c r="CE33" s="1926"/>
      <c r="CF33" s="408"/>
      <c r="CG33" s="564">
        <f>SUM(CH33:CX33)</f>
        <v>0</v>
      </c>
      <c r="CH33" s="1815"/>
      <c r="CI33" s="1816"/>
      <c r="CJ33" s="1817"/>
      <c r="CK33" s="1732"/>
      <c r="CL33" s="1733"/>
      <c r="CM33" s="1734"/>
      <c r="CN33" s="1732"/>
      <c r="CO33" s="1733"/>
      <c r="CP33" s="1734"/>
      <c r="CQ33" s="1805"/>
      <c r="CR33" s="1806"/>
      <c r="CS33" s="1807"/>
      <c r="CT33" s="1805"/>
      <c r="CU33" s="1806"/>
      <c r="CV33" s="1807"/>
      <c r="CW33" s="565"/>
      <c r="CX33" s="566"/>
      <c r="CY33" s="603">
        <f>IF(CG33=CH33+CK33+CN33+CQ33+CT33+CW33+CX33,CG33*CF33,"数量を再確認！")</f>
        <v>0</v>
      </c>
      <c r="CZ33" s="9"/>
      <c r="DA33" s="9"/>
      <c r="DB33" s="9"/>
      <c r="DC33" s="731" t="s">
        <v>877</v>
      </c>
      <c r="DD33" s="772">
        <v>220</v>
      </c>
      <c r="DE33" s="667"/>
      <c r="DF33" s="19"/>
      <c r="DG33" s="10"/>
      <c r="DH33" s="9"/>
    </row>
    <row r="34" spans="1:112" ht="27" customHeight="1" thickBot="1">
      <c r="A34" s="1768"/>
      <c r="B34" s="1746"/>
      <c r="C34" s="1749"/>
      <c r="D34" s="1776" t="s">
        <v>283</v>
      </c>
      <c r="E34" s="1777"/>
      <c r="F34" s="1780"/>
      <c r="G34" s="1781"/>
      <c r="H34" s="370">
        <v>330</v>
      </c>
      <c r="I34" s="524">
        <f t="shared" ref="I34:I37" si="20">SUM(J34:S34)</f>
        <v>0</v>
      </c>
      <c r="J34" s="1773"/>
      <c r="K34" s="1774"/>
      <c r="L34" s="503"/>
      <c r="M34" s="548"/>
      <c r="N34" s="548"/>
      <c r="O34" s="549"/>
      <c r="P34" s="1859"/>
      <c r="Q34" s="1859"/>
      <c r="R34" s="1774"/>
      <c r="S34" s="1843"/>
      <c r="T34" s="1872">
        <f t="shared" si="18"/>
        <v>0</v>
      </c>
      <c r="U34" s="1894"/>
      <c r="V34" s="680" t="s">
        <v>675</v>
      </c>
      <c r="W34" s="2052"/>
      <c r="X34" s="1938"/>
      <c r="Y34" s="2033"/>
      <c r="Z34" s="2034"/>
      <c r="AA34" s="2034"/>
      <c r="AB34" s="2034"/>
      <c r="AC34" s="2035"/>
      <c r="AD34" s="959"/>
      <c r="AE34" s="564">
        <f>SUM(AF34:AZ34)</f>
        <v>0</v>
      </c>
      <c r="AF34" s="1724"/>
      <c r="AG34" s="1710"/>
      <c r="AH34" s="1721"/>
      <c r="AI34" s="1725"/>
      <c r="AJ34" s="1726"/>
      <c r="AK34" s="1727"/>
      <c r="AL34" s="1725"/>
      <c r="AM34" s="1726"/>
      <c r="AN34" s="1727"/>
      <c r="AO34" s="1808"/>
      <c r="AP34" s="1809"/>
      <c r="AQ34" s="1810"/>
      <c r="AR34" s="1808"/>
      <c r="AS34" s="1809"/>
      <c r="AT34" s="1810"/>
      <c r="AU34" s="1808"/>
      <c r="AV34" s="1809"/>
      <c r="AW34" s="1810"/>
      <c r="AX34" s="1725"/>
      <c r="AY34" s="1726"/>
      <c r="AZ34" s="1850"/>
      <c r="BA34" s="605">
        <f>IF(AE34=AF34+AI34+AL34+AO34+AR34+AU34+AZ34,AE34*AD34,"数量を再確認！")</f>
        <v>0</v>
      </c>
      <c r="BB34" s="651"/>
      <c r="BC34" s="1852"/>
      <c r="BD34" s="1746"/>
      <c r="BE34" s="1749"/>
      <c r="BF34" s="1776" t="s">
        <v>283</v>
      </c>
      <c r="BG34" s="1777"/>
      <c r="BH34" s="1780"/>
      <c r="BI34" s="1781"/>
      <c r="BJ34" s="370">
        <v>330</v>
      </c>
      <c r="BK34" s="524">
        <f t="shared" ref="BK34:BK38" si="21">SUM(BL34:BU34)</f>
        <v>0</v>
      </c>
      <c r="BL34" s="1773"/>
      <c r="BM34" s="1774"/>
      <c r="BN34" s="503"/>
      <c r="BO34" s="548"/>
      <c r="BP34" s="548"/>
      <c r="BQ34" s="549"/>
      <c r="BR34" s="1859"/>
      <c r="BS34" s="1859"/>
      <c r="BT34" s="1774"/>
      <c r="BU34" s="1843"/>
      <c r="BV34" s="1872">
        <f t="shared" si="19"/>
        <v>0</v>
      </c>
      <c r="BW34" s="1894"/>
      <c r="BX34" s="25"/>
      <c r="BY34" s="2114"/>
      <c r="BZ34" s="1938"/>
      <c r="CA34" s="1932"/>
      <c r="CB34" s="1933"/>
      <c r="CC34" s="1933"/>
      <c r="CD34" s="1933"/>
      <c r="CE34" s="1934"/>
      <c r="CF34" s="604"/>
      <c r="CG34" s="564">
        <f>SUM(CH34:CX34)</f>
        <v>0</v>
      </c>
      <c r="CH34" s="1724"/>
      <c r="CI34" s="1710"/>
      <c r="CJ34" s="1721"/>
      <c r="CK34" s="1725"/>
      <c r="CL34" s="1726"/>
      <c r="CM34" s="1727"/>
      <c r="CN34" s="1725"/>
      <c r="CO34" s="1726"/>
      <c r="CP34" s="1727"/>
      <c r="CQ34" s="1808"/>
      <c r="CR34" s="1809"/>
      <c r="CS34" s="1810"/>
      <c r="CT34" s="1808"/>
      <c r="CU34" s="1809"/>
      <c r="CV34" s="1810"/>
      <c r="CW34" s="589"/>
      <c r="CX34" s="567"/>
      <c r="CY34" s="605">
        <f>IF(CG34=CH34+CK34+CN34+CQ34+CT34+CW34+CX34,CG34*CF34,"数量を再確認！")</f>
        <v>0</v>
      </c>
      <c r="CZ34" s="9"/>
      <c r="DA34" s="9"/>
      <c r="DB34" s="9"/>
      <c r="DC34" s="776" t="s">
        <v>168</v>
      </c>
      <c r="DD34" s="772">
        <f t="shared" ref="DD34:DD39" si="22">DD23-100</f>
        <v>830</v>
      </c>
      <c r="DE34" s="667"/>
      <c r="DF34" s="18"/>
      <c r="DG34" s="10"/>
      <c r="DH34" s="9"/>
    </row>
    <row r="35" spans="1:112" ht="27" customHeight="1" thickTop="1" thickBot="1">
      <c r="A35" s="1768"/>
      <c r="B35" s="1746"/>
      <c r="C35" s="1749"/>
      <c r="D35" s="1776" t="s">
        <v>582</v>
      </c>
      <c r="E35" s="1777"/>
      <c r="F35" s="1780"/>
      <c r="G35" s="1781"/>
      <c r="H35" s="370">
        <v>710</v>
      </c>
      <c r="I35" s="524">
        <f t="shared" si="20"/>
        <v>0</v>
      </c>
      <c r="J35" s="1773"/>
      <c r="K35" s="1774"/>
      <c r="L35" s="503"/>
      <c r="M35" s="503"/>
      <c r="N35" s="503"/>
      <c r="O35" s="372"/>
      <c r="P35" s="1774"/>
      <c r="Q35" s="1774"/>
      <c r="R35" s="1774"/>
      <c r="S35" s="1843"/>
      <c r="T35" s="1872">
        <f t="shared" si="18"/>
        <v>0</v>
      </c>
      <c r="U35" s="1894"/>
      <c r="V35" s="680" t="s">
        <v>676</v>
      </c>
      <c r="W35" s="2053"/>
      <c r="X35" s="1939"/>
      <c r="Y35" s="1919" t="s">
        <v>404</v>
      </c>
      <c r="Z35" s="1920"/>
      <c r="AA35" s="1920"/>
      <c r="AB35" s="1920"/>
      <c r="AC35" s="1920"/>
      <c r="AD35" s="1920"/>
      <c r="AE35" s="1921"/>
      <c r="AF35" s="1728">
        <f>$AD26*AF26+$AD28*AF28+$AD30*AF30+$AD31*AF31+$AD22*AF22+$AD23*AF23+$AD24*AF24+$AD25*AF25+$AD27*AF27+$AD29*AF29+$AD33*AF33+$AD34*AF34</f>
        <v>0</v>
      </c>
      <c r="AG35" s="1729"/>
      <c r="AH35" s="1730"/>
      <c r="AI35" s="1728">
        <f>$AD26*AI26+$AD28*AI28+$AD30*AI30+$AD31*AI31+$AD22*AI22+$AD23*AI23+$AD24*AI24+$AD25*AI25+$AD27*AI27+$AD29*AI29+$AD33*AI33+$AD34*AI34</f>
        <v>0</v>
      </c>
      <c r="AJ35" s="1729"/>
      <c r="AK35" s="1730"/>
      <c r="AL35" s="1728">
        <f>$AD26*AL26+$AD28*AL28+$AD30*AL30+$AD31*AL31+$AD22*AL22+$AD23*AL23+$AD24*AL24+$AD25*AL25+$AD27*AL27+$AD29*AL29+$AD33*AL33+$AD34*AL34</f>
        <v>0</v>
      </c>
      <c r="AM35" s="1729"/>
      <c r="AN35" s="1730"/>
      <c r="AO35" s="1728">
        <f>$AD26*AO26+$AD28*AO28+$AD30*AO30+$AD31*AO31+$AD22*AO22+$AD23*AO23+$AD24*AO24+$AD25*AO25+$AD27*AO27+$AD29*AO29+$AD33*AO33+$AD34*AO34</f>
        <v>0</v>
      </c>
      <c r="AP35" s="1729"/>
      <c r="AQ35" s="1730"/>
      <c r="AR35" s="1728">
        <f>$AD26*AR26+$AD28*AR28+$AD30*AR30+$AD31*AR31+$AD22*AR22+$AD23*AR23+$AD24*AR24+$AD25*AR25+$AD27*AR27+$AD29*AR29+$AD33*AR33+$AD34*AR34</f>
        <v>0</v>
      </c>
      <c r="AS35" s="1729"/>
      <c r="AT35" s="1730"/>
      <c r="AU35" s="1802"/>
      <c r="AV35" s="1803"/>
      <c r="AW35" s="1804"/>
      <c r="AX35" s="1802"/>
      <c r="AY35" s="1803"/>
      <c r="AZ35" s="1804"/>
      <c r="BA35" s="459">
        <f>IF(COUNTIF(BA22:BA34,"数量を再確認！"),"数量を再確認！",SUM(BA22:BA34))</f>
        <v>0</v>
      </c>
      <c r="BB35" s="650"/>
      <c r="BC35" s="1852"/>
      <c r="BD35" s="1746"/>
      <c r="BE35" s="1749"/>
      <c r="BF35" s="1776" t="s">
        <v>582</v>
      </c>
      <c r="BG35" s="1777"/>
      <c r="BH35" s="1780"/>
      <c r="BI35" s="1781"/>
      <c r="BJ35" s="370">
        <v>710</v>
      </c>
      <c r="BK35" s="524">
        <f t="shared" si="21"/>
        <v>5</v>
      </c>
      <c r="BL35" s="1773"/>
      <c r="BM35" s="1774"/>
      <c r="BN35" s="503">
        <v>5</v>
      </c>
      <c r="BO35" s="503"/>
      <c r="BP35" s="503"/>
      <c r="BQ35" s="372"/>
      <c r="BR35" s="1774"/>
      <c r="BS35" s="1774"/>
      <c r="BT35" s="1774"/>
      <c r="BU35" s="1843"/>
      <c r="BV35" s="1872">
        <f>IF(BK35=BL35+BN35+BO35+BP35+BQ35+BR35+BT35,BJ35*BK35,"人数を再確認！")</f>
        <v>3550</v>
      </c>
      <c r="BW35" s="1894"/>
      <c r="BX35" s="25"/>
      <c r="BY35" s="2115"/>
      <c r="BZ35" s="1939"/>
      <c r="CA35" s="1919" t="s">
        <v>404</v>
      </c>
      <c r="CB35" s="1920"/>
      <c r="CC35" s="1920"/>
      <c r="CD35" s="1920"/>
      <c r="CE35" s="1920"/>
      <c r="CF35" s="1920"/>
      <c r="CG35" s="1921"/>
      <c r="CH35" s="1728">
        <f>$AD31*CH31+$AD22*CH22+$AD23*CH23+$AD24*CH24+$AD25*CH25+$AD27*CH27+$AD29*CH29+CF33*CH33+CF34*CH34</f>
        <v>38000</v>
      </c>
      <c r="CI35" s="1729"/>
      <c r="CJ35" s="1730"/>
      <c r="CK35" s="1728">
        <f>$AD$22*CK22+$AD$23*CK23+$AD$24*CK24+$AD$25*CK25+$AD$27*CK27+$AD$29*CK29+$AD$31*CK31+$AD$33*CK33+$AD$34*CK34</f>
        <v>2280</v>
      </c>
      <c r="CL35" s="1729"/>
      <c r="CM35" s="1730"/>
      <c r="CN35" s="1728">
        <f>$AD22*CN22+$AD23*CN23+$AD24*CN24+$AD25*CN25+$AD27*CN27+$AD29*CN29+CN31*CF31+CN33*CF33+CN34*CF34</f>
        <v>1900</v>
      </c>
      <c r="CO35" s="1729"/>
      <c r="CP35" s="1730"/>
      <c r="CQ35" s="1802">
        <f>$AD31*CQ31+$AD22*CQ22+$AD23*CQ23+$AD24*CQ24+$AD25*CQ25+$AD27*CQ27+$AD29*CQ29+CF33*CQ33+CF34*CQ34</f>
        <v>0</v>
      </c>
      <c r="CR35" s="1803"/>
      <c r="CS35" s="1804"/>
      <c r="CT35" s="1802">
        <f>$AD31*CT31+$AD22*CT22+$AD23*CT23+$AD24*CT24+$AD25*CT25+$AD27*CT27+$AD29*CT29+CF33*CT33+CF34*CT34</f>
        <v>0</v>
      </c>
      <c r="CU35" s="1803"/>
      <c r="CV35" s="1804"/>
      <c r="CW35" s="401">
        <f>$AD31*CW31+$AD22*CW22+$AD23*CW23+$AD24*CW24+$AD25*CW25+$AD27*CW27+$AD29*CW29+CF33*CW33+CF34*CW34</f>
        <v>0</v>
      </c>
      <c r="CX35" s="401">
        <f>$AD31*CX31+$AD22*CX22+$AD23*CX23+$AD24*CX24+$AD25*CX25+$AD27*CX27+$AD29*CX29+CF33*CX33+CF34*CX34</f>
        <v>0</v>
      </c>
      <c r="CY35" s="459">
        <f>IF(COUNTIF(CY22:CY34,"数量を再確認！"),"数量を再確認！",SUM(CY22:CY34))</f>
        <v>54390</v>
      </c>
      <c r="CZ35" s="9"/>
      <c r="DA35" s="9"/>
      <c r="DB35" s="9"/>
      <c r="DC35" s="776" t="s">
        <v>171</v>
      </c>
      <c r="DD35" s="772">
        <f t="shared" si="22"/>
        <v>570</v>
      </c>
      <c r="DE35" s="667"/>
      <c r="DF35" s="19"/>
      <c r="DG35" s="10"/>
      <c r="DH35" s="9"/>
    </row>
    <row r="36" spans="1:112" ht="27" customHeight="1" thickTop="1">
      <c r="A36" s="1768"/>
      <c r="B36" s="1746"/>
      <c r="C36" s="1749"/>
      <c r="D36" s="1772" t="s">
        <v>177</v>
      </c>
      <c r="E36" s="1772"/>
      <c r="F36" s="1772"/>
      <c r="G36" s="1772"/>
      <c r="H36" s="521" t="s">
        <v>583</v>
      </c>
      <c r="I36" s="524">
        <f t="shared" si="20"/>
        <v>0</v>
      </c>
      <c r="J36" s="1773"/>
      <c r="K36" s="1774"/>
      <c r="L36" s="503"/>
      <c r="M36" s="372"/>
      <c r="N36" s="503"/>
      <c r="O36" s="372"/>
      <c r="P36" s="1774"/>
      <c r="Q36" s="1774"/>
      <c r="R36" s="1774"/>
      <c r="S36" s="1843"/>
      <c r="T36" s="1872" t="s">
        <v>584</v>
      </c>
      <c r="U36" s="1894"/>
      <c r="V36" s="682"/>
      <c r="W36" s="1903" t="s">
        <v>69</v>
      </c>
      <c r="X36" s="1906" t="s">
        <v>412</v>
      </c>
      <c r="Y36" s="1906"/>
      <c r="Z36" s="1906"/>
      <c r="AA36" s="1906"/>
      <c r="AB36" s="1906"/>
      <c r="AC36" s="1906"/>
      <c r="AD36" s="1906"/>
      <c r="AE36" s="1907"/>
      <c r="AF36" s="1868">
        <f>($AD26*AF26+$AD28*AF28+$AD30*AF30+AF22*$AD22+AF25*$AD25+AF27*$AD27+AF29*$AD29+AF31*$AD31+AF32*$AD32+AF33*$AD33+AF34*$AD34)+AF21+J29+J47</f>
        <v>0</v>
      </c>
      <c r="AG36" s="1869"/>
      <c r="AH36" s="1870"/>
      <c r="AI36" s="1868">
        <f>($AD26*AI26+$AD28*AI28+$AD30*AI30+AI22*$AD22+AI25*$AD25+AI27*$AD27+AI29*$AD29+AI31*$AD31+AI32*$AD32+AI33*$AD33+AI34*$AD34)+AI21+L29+L47</f>
        <v>0</v>
      </c>
      <c r="AJ36" s="1869"/>
      <c r="AK36" s="1870"/>
      <c r="AL36" s="1868">
        <f>($AD26*AL26+$AD28*AL28+$AD30*AL30+AL22*$AD22+AL25*$AD25+AL27*$AD27+AL29*$AD29+AL31*$AD31+AL32*$AD32+AL33*$AD33+AL34*$AD34)+AL21+M29+M47</f>
        <v>0</v>
      </c>
      <c r="AM36" s="1869"/>
      <c r="AN36" s="1870"/>
      <c r="AO36" s="1868">
        <f>($AD26*AO26+$AD28*AO28+$AD30*AO30+AO22*$AD22+AO25*$AD25+AO27*$AD27+AO29*$AD29+AO31*$AD31+AO32*$AD32+AO33*$AD33+AO34*$AD34)+AO21+N29+N47</f>
        <v>0</v>
      </c>
      <c r="AP36" s="1869"/>
      <c r="AQ36" s="1870"/>
      <c r="AR36" s="1868">
        <f>($AD26*AR26+$AD28*AR28+$AD30*AR30+AR22*$AD22+AR25*$AD25+AR27*$AD27+AR29*$AD29+AR31*$AD31+AR32*$AD32+AR33*$AD33+AR34*$AD34)+AR21+O29+O47</f>
        <v>0</v>
      </c>
      <c r="AS36" s="1869"/>
      <c r="AT36" s="1870"/>
      <c r="AU36" s="1868">
        <f>($AD26*AU26+$AD28*AU28+$AD30*AU30+AU22*$AD22+AU25*$AD25+AU27*$AD27+AU29*$AD29+AU31*$AD31+AU32*$AD32+AU33*$AD33+AU34*$AD34)+AU21+P29+P47</f>
        <v>0</v>
      </c>
      <c r="AV36" s="1869"/>
      <c r="AW36" s="1870"/>
      <c r="AX36" s="1868">
        <f>($AD26*AX26+$AD28*AX28+$AD30*AX30+AX22*$AD22+AX25*$AD25+AX27*$AD27+AX29*$AD29+AX31*$AD31+AX32*$AD32+AX33*$AD33+AX34*$AD34)+AX21+R29+R47</f>
        <v>0</v>
      </c>
      <c r="AY36" s="1869"/>
      <c r="AZ36" s="1870"/>
      <c r="BA36" s="791">
        <f>SUM(AF36:AZ36)</f>
        <v>0</v>
      </c>
      <c r="BB36" s="652"/>
      <c r="BC36" s="1852"/>
      <c r="BD36" s="1746"/>
      <c r="BE36" s="1749"/>
      <c r="BF36" s="1772" t="s">
        <v>177</v>
      </c>
      <c r="BG36" s="1772"/>
      <c r="BH36" s="1772"/>
      <c r="BI36" s="1772"/>
      <c r="BJ36" s="521" t="s">
        <v>583</v>
      </c>
      <c r="BK36" s="524">
        <f t="shared" si="21"/>
        <v>2</v>
      </c>
      <c r="BL36" s="1773">
        <v>1</v>
      </c>
      <c r="BM36" s="1774"/>
      <c r="BN36" s="503">
        <v>1</v>
      </c>
      <c r="BO36" s="372"/>
      <c r="BP36" s="503"/>
      <c r="BQ36" s="372"/>
      <c r="BR36" s="1774"/>
      <c r="BS36" s="1774"/>
      <c r="BT36" s="1774"/>
      <c r="BU36" s="1843"/>
      <c r="BV36" s="1872" t="s">
        <v>584</v>
      </c>
      <c r="BW36" s="1894"/>
      <c r="BX36" s="230"/>
      <c r="BY36" s="1903" t="s">
        <v>69</v>
      </c>
      <c r="BZ36" s="1906" t="s">
        <v>412</v>
      </c>
      <c r="CA36" s="1906"/>
      <c r="CB36" s="1906"/>
      <c r="CC36" s="1906"/>
      <c r="CD36" s="1906"/>
      <c r="CE36" s="1906"/>
      <c r="CF36" s="1906"/>
      <c r="CG36" s="1907"/>
      <c r="CH36" s="1868">
        <f>(CH22*CF22+CH25*CF25+CH26*CF26+CH27*CF27+CH28*CF28+CH29*CF29+CH30*CF30+CH31*CF31+CH33*CF33+CH34*CF34)+CH21+BL29+BL47</f>
        <v>306440</v>
      </c>
      <c r="CI36" s="1869"/>
      <c r="CJ36" s="1870"/>
      <c r="CK36" s="1868">
        <f>(CK22*CI22+CK25*CI25+CK26*CI26+CK27*CI27+CK28*CI28+CK29*CI29+CK30*CI30+CK31*CI31+CK33*CI33+CK34*CI34)+CK21+BN29+BN47</f>
        <v>17470</v>
      </c>
      <c r="CL36" s="1869"/>
      <c r="CM36" s="1870"/>
      <c r="CN36" s="1868">
        <f>(CN22*CL22+CN25*CL25+CN26*CL26+CN27*CL27+CN28*CL28+CN29*CL29+CN30*CL30+CN31*CL31+CN33*CL33+CN34*CL34)+CN21+BO29+BO47</f>
        <v>8450</v>
      </c>
      <c r="CO36" s="1869"/>
      <c r="CP36" s="1870"/>
      <c r="CQ36" s="1868">
        <f>(CQ22*CO22+CQ25*CO25+CQ26*CO26+CQ27*CO27+CQ28*CO28+CQ29*CO29+CQ30*CO30+CQ31*CO31+CQ33*CO33+CQ34*CO34)+CQ21+BU29+BU47</f>
        <v>0</v>
      </c>
      <c r="CR36" s="1869"/>
      <c r="CS36" s="1870"/>
      <c r="CT36" s="1868">
        <f>(CT22*CR22+CT25*CR25+CT26*CR26+CT27*CR27+CT28*CR28+CT29*CR29+CT30*CR30+CT31*CR31+CT33*CR33+CT34*CR34)+CT21+BX29+BX47</f>
        <v>0</v>
      </c>
      <c r="CU36" s="1869"/>
      <c r="CV36" s="1870"/>
      <c r="CW36" s="811"/>
      <c r="CX36" s="812"/>
      <c r="CY36" s="813">
        <f>SUM(CH36:CX36)</f>
        <v>332360</v>
      </c>
      <c r="CZ36" s="9"/>
      <c r="DA36" s="9"/>
      <c r="DB36" s="9"/>
      <c r="DC36" s="776" t="s">
        <v>172</v>
      </c>
      <c r="DD36" s="772">
        <f t="shared" si="22"/>
        <v>720</v>
      </c>
      <c r="DE36" s="667"/>
      <c r="DF36" s="19"/>
      <c r="DG36" s="10"/>
      <c r="DH36" s="9"/>
    </row>
    <row r="37" spans="1:112" ht="27" customHeight="1" thickBot="1">
      <c r="A37" s="1768"/>
      <c r="B37" s="1746"/>
      <c r="C37" s="1749"/>
      <c r="D37" s="1863" t="s">
        <v>178</v>
      </c>
      <c r="E37" s="1863"/>
      <c r="F37" s="1863"/>
      <c r="G37" s="1863"/>
      <c r="H37" s="522">
        <v>1100</v>
      </c>
      <c r="I37" s="525">
        <f t="shared" si="20"/>
        <v>0</v>
      </c>
      <c r="J37" s="2046"/>
      <c r="K37" s="2047"/>
      <c r="L37" s="550"/>
      <c r="M37" s="550"/>
      <c r="N37" s="550"/>
      <c r="O37" s="550"/>
      <c r="P37" s="1770"/>
      <c r="Q37" s="2041"/>
      <c r="R37" s="1770"/>
      <c r="S37" s="1771"/>
      <c r="T37" s="1872">
        <f t="shared" si="18"/>
        <v>0</v>
      </c>
      <c r="U37" s="1894"/>
      <c r="V37" s="682" t="s">
        <v>677</v>
      </c>
      <c r="W37" s="1904"/>
      <c r="X37" s="1908" t="s">
        <v>413</v>
      </c>
      <c r="Y37" s="1908"/>
      <c r="Z37" s="1908"/>
      <c r="AA37" s="1908"/>
      <c r="AB37" s="1908"/>
      <c r="AC37" s="1908"/>
      <c r="AD37" s="1908"/>
      <c r="AE37" s="1909"/>
      <c r="AF37" s="1799">
        <f>(J29-AF36)*-1</f>
        <v>0</v>
      </c>
      <c r="AG37" s="1800"/>
      <c r="AH37" s="1801"/>
      <c r="AI37" s="1877">
        <f>(L29-AI36)*-1</f>
        <v>0</v>
      </c>
      <c r="AJ37" s="1878"/>
      <c r="AK37" s="1879"/>
      <c r="AL37" s="1877">
        <f>(M29-AL36)*-1</f>
        <v>0</v>
      </c>
      <c r="AM37" s="1878"/>
      <c r="AN37" s="1879"/>
      <c r="AO37" s="1877">
        <f>(N29-AO36)*-1</f>
        <v>0</v>
      </c>
      <c r="AP37" s="1878"/>
      <c r="AQ37" s="1879"/>
      <c r="AR37" s="1877">
        <f>(O29-AR36)*-1</f>
        <v>0</v>
      </c>
      <c r="AS37" s="1878"/>
      <c r="AT37" s="1879"/>
      <c r="AU37" s="1877">
        <f>(P29-AU36)*-1</f>
        <v>0</v>
      </c>
      <c r="AV37" s="1878"/>
      <c r="AW37" s="1879"/>
      <c r="AX37" s="1877">
        <f>(R29-AX36)*-1</f>
        <v>0</v>
      </c>
      <c r="AY37" s="1878"/>
      <c r="AZ37" s="1879"/>
      <c r="BA37" s="792">
        <f>SUM(AF37:AY37)</f>
        <v>0</v>
      </c>
      <c r="BB37" s="653"/>
      <c r="BC37" s="1852"/>
      <c r="BD37" s="1746"/>
      <c r="BE37" s="1749"/>
      <c r="BF37" s="1863" t="s">
        <v>178</v>
      </c>
      <c r="BG37" s="1863"/>
      <c r="BH37" s="1863"/>
      <c r="BI37" s="1863"/>
      <c r="BJ37" s="522">
        <v>1100</v>
      </c>
      <c r="BK37" s="525">
        <f t="shared" si="21"/>
        <v>5</v>
      </c>
      <c r="BL37" s="1910"/>
      <c r="BM37" s="1911"/>
      <c r="BN37" s="568"/>
      <c r="BO37" s="568">
        <v>5</v>
      </c>
      <c r="BP37" s="568"/>
      <c r="BQ37" s="568"/>
      <c r="BR37" s="1875"/>
      <c r="BS37" s="1905"/>
      <c r="BT37" s="1875"/>
      <c r="BU37" s="1876"/>
      <c r="BV37" s="1872">
        <f>BJ37*BK37</f>
        <v>5500</v>
      </c>
      <c r="BW37" s="1894"/>
      <c r="BX37" s="456"/>
      <c r="BY37" s="1904"/>
      <c r="BZ37" s="1908" t="s">
        <v>413</v>
      </c>
      <c r="CA37" s="1908"/>
      <c r="CB37" s="1908"/>
      <c r="CC37" s="1908"/>
      <c r="CD37" s="1908"/>
      <c r="CE37" s="1908"/>
      <c r="CF37" s="1908"/>
      <c r="CG37" s="1909"/>
      <c r="CH37" s="1799">
        <f>(BL29-CH36)*-1</f>
        <v>306440</v>
      </c>
      <c r="CI37" s="1800"/>
      <c r="CJ37" s="1801"/>
      <c r="CK37" s="1898">
        <f>(BN29-CK36)*-1</f>
        <v>16020</v>
      </c>
      <c r="CL37" s="1899"/>
      <c r="CM37" s="1900"/>
      <c r="CN37" s="1898">
        <f>(BO29-CN36)*-1</f>
        <v>7000</v>
      </c>
      <c r="CO37" s="1899"/>
      <c r="CP37" s="1900"/>
      <c r="CQ37" s="1898">
        <f>(BP29-CQ36)*-1</f>
        <v>0</v>
      </c>
      <c r="CR37" s="1899"/>
      <c r="CS37" s="1900"/>
      <c r="CT37" s="1898">
        <f>(BQ29-CT36)*-1</f>
        <v>0</v>
      </c>
      <c r="CU37" s="1899"/>
      <c r="CV37" s="1900"/>
      <c r="CW37" s="402"/>
      <c r="CX37" s="403">
        <f>(BT29-CX36)*-1</f>
        <v>0</v>
      </c>
      <c r="CY37" s="479">
        <f>SUM(CH37:CX37)</f>
        <v>329460</v>
      </c>
      <c r="CZ37" s="9"/>
      <c r="DA37" s="9"/>
      <c r="DB37" s="9"/>
      <c r="DC37" s="776" t="s">
        <v>174</v>
      </c>
      <c r="DD37" s="772">
        <f t="shared" si="22"/>
        <v>610</v>
      </c>
      <c r="DE37" s="667"/>
      <c r="DF37" s="19"/>
      <c r="DG37" s="10"/>
      <c r="DH37" s="9"/>
    </row>
    <row r="38" spans="1:112" ht="27" customHeight="1" thickTop="1">
      <c r="A38" s="1768"/>
      <c r="B38" s="1746"/>
      <c r="C38" s="1750"/>
      <c r="D38" s="2036" t="s">
        <v>864</v>
      </c>
      <c r="E38" s="2037"/>
      <c r="F38" s="2037"/>
      <c r="G38" s="2038"/>
      <c r="H38" s="526" t="s">
        <v>865</v>
      </c>
      <c r="I38" s="523">
        <f>I30+I31+I32+I33+I34+I35+I37</f>
        <v>0</v>
      </c>
      <c r="J38" s="2048">
        <f>J31+J32+J33+J34+J35+J37</f>
        <v>0</v>
      </c>
      <c r="K38" s="2049"/>
      <c r="L38" s="789">
        <f>L31+L32+L33+L34+L35+L37</f>
        <v>0</v>
      </c>
      <c r="M38" s="790">
        <f>M31+M32+M33+M34+M35+M37</f>
        <v>0</v>
      </c>
      <c r="N38" s="790">
        <f>N31+N32+N33+N34+N35+N37</f>
        <v>0</v>
      </c>
      <c r="O38" s="790">
        <f>O31+O32+O33+O34+O35+O37</f>
        <v>0</v>
      </c>
      <c r="P38" s="2042">
        <f>P31+P32+P33+P34+P35+P37</f>
        <v>0</v>
      </c>
      <c r="Q38" s="2043"/>
      <c r="R38" s="2044">
        <f>R31+R32+R33+R34+R35+R37</f>
        <v>0</v>
      </c>
      <c r="S38" s="2045"/>
      <c r="T38" s="1873">
        <f>IF(U9=TRUE, 0,I38*H38)</f>
        <v>0</v>
      </c>
      <c r="U38" s="1874"/>
      <c r="V38" s="682" t="s">
        <v>678</v>
      </c>
      <c r="W38" s="1901" t="s">
        <v>68</v>
      </c>
      <c r="X38" s="1912" t="s">
        <v>415</v>
      </c>
      <c r="Y38" s="1912"/>
      <c r="Z38" s="1912"/>
      <c r="AA38" s="1912"/>
      <c r="AB38" s="1912"/>
      <c r="AC38" s="1912"/>
      <c r="AD38" s="1912"/>
      <c r="AE38" s="1913"/>
      <c r="AF38" s="1868">
        <f>J29+J47+AF21+AF35</f>
        <v>0</v>
      </c>
      <c r="AG38" s="1869"/>
      <c r="AH38" s="1870"/>
      <c r="AI38" s="1796">
        <f>L29+L47+AI21+AI35</f>
        <v>0</v>
      </c>
      <c r="AJ38" s="1797"/>
      <c r="AK38" s="1798"/>
      <c r="AL38" s="1796">
        <f>M29+M47+AL21+AL35</f>
        <v>0</v>
      </c>
      <c r="AM38" s="1797"/>
      <c r="AN38" s="1798"/>
      <c r="AO38" s="1796">
        <f>N29+N47+AO21+AO35</f>
        <v>0</v>
      </c>
      <c r="AP38" s="1797"/>
      <c r="AQ38" s="1798"/>
      <c r="AR38" s="1796">
        <f>O29+O47+AR21+AR35</f>
        <v>0</v>
      </c>
      <c r="AS38" s="1797"/>
      <c r="AT38" s="1798"/>
      <c r="AU38" s="1796">
        <f>P29+P47+AU21+AU35</f>
        <v>0</v>
      </c>
      <c r="AV38" s="1797"/>
      <c r="AW38" s="1798"/>
      <c r="AX38" s="1796">
        <f>R29+R47+AX21+AX35</f>
        <v>0</v>
      </c>
      <c r="AY38" s="1797"/>
      <c r="AZ38" s="1798"/>
      <c r="BA38" s="793">
        <f>SUM(AF38:AY38)</f>
        <v>0</v>
      </c>
      <c r="BB38" s="652"/>
      <c r="BC38" s="1852"/>
      <c r="BD38" s="1746"/>
      <c r="BE38" s="1750"/>
      <c r="BF38" s="1856" t="s">
        <v>864</v>
      </c>
      <c r="BG38" s="1857"/>
      <c r="BH38" s="1857"/>
      <c r="BI38" s="1858"/>
      <c r="BJ38" s="526" t="s">
        <v>865</v>
      </c>
      <c r="BK38" s="523">
        <f t="shared" si="21"/>
        <v>111</v>
      </c>
      <c r="BL38" s="1864">
        <v>100</v>
      </c>
      <c r="BM38" s="1865"/>
      <c r="BN38" s="551">
        <v>6</v>
      </c>
      <c r="BO38" s="551">
        <v>5</v>
      </c>
      <c r="BP38" s="551">
        <v>0</v>
      </c>
      <c r="BQ38" s="551">
        <v>0</v>
      </c>
      <c r="BR38" s="1881">
        <v>0</v>
      </c>
      <c r="BS38" s="1865"/>
      <c r="BT38" s="1881">
        <v>0</v>
      </c>
      <c r="BU38" s="1882"/>
      <c r="BV38" s="1873">
        <f>BK38*BJ38</f>
        <v>33300</v>
      </c>
      <c r="BW38" s="1874"/>
      <c r="BX38" s="230"/>
      <c r="BY38" s="1901" t="s">
        <v>68</v>
      </c>
      <c r="BZ38" s="1912" t="s">
        <v>415</v>
      </c>
      <c r="CA38" s="1912"/>
      <c r="CB38" s="1912"/>
      <c r="CC38" s="1912"/>
      <c r="CD38" s="1912"/>
      <c r="CE38" s="1912"/>
      <c r="CF38" s="1912"/>
      <c r="CG38" s="1913"/>
      <c r="CH38" s="1868">
        <f>BL29+BL47+CH21+CH35</f>
        <v>295440</v>
      </c>
      <c r="CI38" s="1869"/>
      <c r="CJ38" s="1870"/>
      <c r="CK38" s="1796">
        <f>BN29+BN47+CK21+CK35</f>
        <v>19750</v>
      </c>
      <c r="CL38" s="1797"/>
      <c r="CM38" s="1798"/>
      <c r="CN38" s="1796">
        <f>BO29+BO47+CN21+CN35</f>
        <v>10350</v>
      </c>
      <c r="CO38" s="1797"/>
      <c r="CP38" s="1798"/>
      <c r="CQ38" s="1895">
        <f>BP29+BP46+CQ21+CQ35</f>
        <v>0</v>
      </c>
      <c r="CR38" s="1896"/>
      <c r="CS38" s="1897"/>
      <c r="CT38" s="1895">
        <f>BQ29+BQ46+CT21+CT35</f>
        <v>0</v>
      </c>
      <c r="CU38" s="1896"/>
      <c r="CV38" s="1897"/>
      <c r="CW38" s="536">
        <f>BR29+BR46+CW21+CW35</f>
        <v>0</v>
      </c>
      <c r="CX38" s="535">
        <f>BT29+BT46+CX21+CX35</f>
        <v>0</v>
      </c>
      <c r="CY38" s="458">
        <f>SUM(CH38:CX38)</f>
        <v>325540</v>
      </c>
      <c r="CZ38" s="9"/>
      <c r="DA38" s="9"/>
      <c r="DB38" s="9"/>
      <c r="DC38" s="776" t="s">
        <v>175</v>
      </c>
      <c r="DD38" s="772">
        <f t="shared" si="22"/>
        <v>630</v>
      </c>
      <c r="DE38" s="667"/>
      <c r="DH38" s="9"/>
    </row>
    <row r="39" spans="1:112" ht="27" customHeight="1" thickBot="1">
      <c r="A39" s="1768"/>
      <c r="B39" s="1746"/>
      <c r="C39" s="1751" t="s">
        <v>179</v>
      </c>
      <c r="D39" s="1856" t="s">
        <v>579</v>
      </c>
      <c r="E39" s="1857"/>
      <c r="F39" s="1857"/>
      <c r="G39" s="1858"/>
      <c r="H39" s="526" t="s">
        <v>583</v>
      </c>
      <c r="I39" s="523">
        <f t="shared" ref="I39:I45" si="23">SUM(J39:S39)</f>
        <v>0</v>
      </c>
      <c r="J39" s="1864"/>
      <c r="K39" s="1865"/>
      <c r="L39" s="551"/>
      <c r="M39" s="551"/>
      <c r="N39" s="551"/>
      <c r="O39" s="551"/>
      <c r="P39" s="1881"/>
      <c r="Q39" s="1865"/>
      <c r="R39" s="1881"/>
      <c r="S39" s="1882"/>
      <c r="T39" s="1873" t="s">
        <v>584</v>
      </c>
      <c r="U39" s="1874"/>
      <c r="V39" s="682" t="s">
        <v>679</v>
      </c>
      <c r="W39" s="1902"/>
      <c r="X39" s="1908" t="s">
        <v>414</v>
      </c>
      <c r="Y39" s="1908"/>
      <c r="Z39" s="1908"/>
      <c r="AA39" s="1908"/>
      <c r="AB39" s="1908"/>
      <c r="AC39" s="1908"/>
      <c r="AD39" s="1908"/>
      <c r="AE39" s="1909"/>
      <c r="AF39" s="1799">
        <f>(J29-AF38)*-1</f>
        <v>0</v>
      </c>
      <c r="AG39" s="1800"/>
      <c r="AH39" s="1801"/>
      <c r="AI39" s="1799">
        <f>(L29-AI38)*-1</f>
        <v>0</v>
      </c>
      <c r="AJ39" s="1800"/>
      <c r="AK39" s="1801"/>
      <c r="AL39" s="1799">
        <f>(M29-AL38)*-1</f>
        <v>0</v>
      </c>
      <c r="AM39" s="1800"/>
      <c r="AN39" s="1801"/>
      <c r="AO39" s="1799">
        <f>(N29-AO38)*-1</f>
        <v>0</v>
      </c>
      <c r="AP39" s="1800"/>
      <c r="AQ39" s="1801"/>
      <c r="AR39" s="1799">
        <f>(O29-AR38)*-1</f>
        <v>0</v>
      </c>
      <c r="AS39" s="1800"/>
      <c r="AT39" s="1801"/>
      <c r="AU39" s="1799">
        <f>(P29-AU38)*-1</f>
        <v>0</v>
      </c>
      <c r="AV39" s="1800"/>
      <c r="AW39" s="1801"/>
      <c r="AX39" s="1799">
        <f>(R29-AX38)*-1</f>
        <v>0</v>
      </c>
      <c r="AY39" s="1800"/>
      <c r="AZ39" s="1801"/>
      <c r="BA39" s="794">
        <f>SUM(AF39:AY39)</f>
        <v>0</v>
      </c>
      <c r="BB39" s="654"/>
      <c r="BC39" s="1852"/>
      <c r="BD39" s="1746"/>
      <c r="BE39" s="1751" t="s">
        <v>179</v>
      </c>
      <c r="BF39" s="1856" t="s">
        <v>579</v>
      </c>
      <c r="BG39" s="1857"/>
      <c r="BH39" s="1857"/>
      <c r="BI39" s="1858"/>
      <c r="BJ39" s="526" t="s">
        <v>583</v>
      </c>
      <c r="BK39" s="523">
        <f t="shared" ref="BK39:BK45" si="24">SUM(BL39:BU39)</f>
        <v>0</v>
      </c>
      <c r="BL39" s="1864"/>
      <c r="BM39" s="1865"/>
      <c r="BN39" s="551"/>
      <c r="BO39" s="551"/>
      <c r="BP39" s="551"/>
      <c r="BQ39" s="551"/>
      <c r="BR39" s="1881"/>
      <c r="BS39" s="1865"/>
      <c r="BT39" s="1881"/>
      <c r="BU39" s="1882"/>
      <c r="BV39" s="1873" t="s">
        <v>584</v>
      </c>
      <c r="BW39" s="1874"/>
      <c r="BX39" s="230"/>
      <c r="BY39" s="1902"/>
      <c r="BZ39" s="1908" t="s">
        <v>414</v>
      </c>
      <c r="CA39" s="1908"/>
      <c r="CB39" s="1908"/>
      <c r="CC39" s="1908"/>
      <c r="CD39" s="1908"/>
      <c r="CE39" s="1908"/>
      <c r="CF39" s="1908"/>
      <c r="CG39" s="1909"/>
      <c r="CH39" s="1799">
        <f>(BL29-CH38)*-1</f>
        <v>295440</v>
      </c>
      <c r="CI39" s="1800"/>
      <c r="CJ39" s="1801"/>
      <c r="CK39" s="1883">
        <f>(BN29-CK38)*-1</f>
        <v>18300</v>
      </c>
      <c r="CL39" s="1884"/>
      <c r="CM39" s="1885"/>
      <c r="CN39" s="1883">
        <f>(BO29-CN38)*-1</f>
        <v>8900</v>
      </c>
      <c r="CO39" s="1884"/>
      <c r="CP39" s="1885"/>
      <c r="CQ39" s="1883">
        <f>(BP29-CQ38)*-1</f>
        <v>0</v>
      </c>
      <c r="CR39" s="1884"/>
      <c r="CS39" s="1885"/>
      <c r="CT39" s="1883">
        <f>(BQ29-CT38)*-1</f>
        <v>0</v>
      </c>
      <c r="CU39" s="1884"/>
      <c r="CV39" s="1885"/>
      <c r="CW39" s="404">
        <f>(BR29-CW38)*-1</f>
        <v>0</v>
      </c>
      <c r="CX39" s="405">
        <f>(BT29-CX38)*-1</f>
        <v>0</v>
      </c>
      <c r="CY39" s="480">
        <f>SUM(CH39:CX39)</f>
        <v>322640</v>
      </c>
      <c r="CZ39" s="9"/>
      <c r="DA39" s="9"/>
      <c r="DB39" s="9"/>
      <c r="DC39" s="776" t="s">
        <v>176</v>
      </c>
      <c r="DD39" s="772">
        <f t="shared" si="22"/>
        <v>340</v>
      </c>
      <c r="DE39" s="667"/>
      <c r="DH39" s="9"/>
    </row>
    <row r="40" spans="1:112" ht="27" customHeight="1" thickTop="1">
      <c r="A40" s="1768"/>
      <c r="B40" s="1746"/>
      <c r="C40" s="1749"/>
      <c r="D40" s="1779" t="s">
        <v>580</v>
      </c>
      <c r="E40" s="1780"/>
      <c r="F40" s="1780"/>
      <c r="G40" s="1781"/>
      <c r="H40" s="370">
        <v>110</v>
      </c>
      <c r="I40" s="371">
        <f>SUM(J40:S40)</f>
        <v>0</v>
      </c>
      <c r="J40" s="1775"/>
      <c r="K40" s="1773"/>
      <c r="L40" s="503"/>
      <c r="M40" s="372"/>
      <c r="N40" s="503"/>
      <c r="O40" s="372"/>
      <c r="P40" s="1765"/>
      <c r="Q40" s="1773"/>
      <c r="R40" s="1765"/>
      <c r="S40" s="1766"/>
      <c r="T40" s="2028">
        <f>H40*I40</f>
        <v>0</v>
      </c>
      <c r="U40" s="2029"/>
      <c r="V40" s="680" t="s">
        <v>680</v>
      </c>
      <c r="W40" s="28"/>
      <c r="X40" s="28"/>
      <c r="Y40" s="28"/>
      <c r="Z40" s="28"/>
      <c r="AA40" s="28"/>
      <c r="AB40" s="28"/>
      <c r="AC40" s="28"/>
      <c r="AD40" s="28"/>
      <c r="AE40" s="28"/>
      <c r="AF40" s="28"/>
      <c r="AG40" s="28"/>
      <c r="AH40" s="28"/>
      <c r="AI40" s="28"/>
      <c r="AJ40" s="28"/>
      <c r="AK40" s="28"/>
      <c r="AL40" s="28"/>
      <c r="AM40" s="28"/>
      <c r="AN40" s="28"/>
      <c r="AO40" s="28"/>
      <c r="AP40" s="28"/>
      <c r="AQ40" s="28"/>
      <c r="AR40" s="28"/>
      <c r="AS40" s="28"/>
      <c r="AT40" s="28"/>
      <c r="AU40" s="28"/>
      <c r="AV40" s="28"/>
      <c r="AW40" s="28"/>
      <c r="AX40" s="28"/>
      <c r="AY40" s="28"/>
      <c r="AZ40" s="28"/>
      <c r="BA40" s="28"/>
      <c r="BB40" s="28"/>
      <c r="BC40" s="1852"/>
      <c r="BD40" s="1746"/>
      <c r="BE40" s="1749"/>
      <c r="BF40" s="1779" t="s">
        <v>580</v>
      </c>
      <c r="BG40" s="1780"/>
      <c r="BH40" s="1780"/>
      <c r="BI40" s="1781"/>
      <c r="BJ40" s="370">
        <v>110</v>
      </c>
      <c r="BK40" s="371">
        <f t="shared" si="24"/>
        <v>0</v>
      </c>
      <c r="BL40" s="787"/>
      <c r="BM40" s="372"/>
      <c r="BN40" s="503"/>
      <c r="BO40" s="372"/>
      <c r="BP40" s="503"/>
      <c r="BQ40" s="372"/>
      <c r="BR40" s="786"/>
      <c r="BS40" s="372"/>
      <c r="BT40" s="786"/>
      <c r="BU40" s="788"/>
      <c r="BV40" s="1871">
        <f>BJ40*BK40</f>
        <v>0</v>
      </c>
      <c r="BW40" s="1872"/>
      <c r="BX40" s="25"/>
      <c r="BY40" s="28"/>
      <c r="BZ40" s="28"/>
      <c r="CA40" s="28"/>
      <c r="CB40" s="28"/>
      <c r="CC40" s="28"/>
      <c r="CD40" s="28"/>
      <c r="CE40" s="28"/>
      <c r="CF40" s="28"/>
      <c r="CG40" s="28"/>
      <c r="CH40" s="28"/>
      <c r="CI40" s="28"/>
      <c r="CJ40" s="28"/>
      <c r="CK40" s="28"/>
      <c r="CL40" s="28"/>
      <c r="CM40" s="28"/>
      <c r="CN40" s="28"/>
      <c r="CO40" s="28"/>
      <c r="CP40" s="28"/>
      <c r="CQ40" s="28"/>
      <c r="CR40" s="28"/>
      <c r="CS40" s="28"/>
      <c r="CT40" s="28"/>
      <c r="CU40" s="28"/>
      <c r="CV40" s="28"/>
      <c r="CW40" s="28"/>
      <c r="CX40" s="28"/>
      <c r="CY40" s="28"/>
      <c r="CZ40" s="9"/>
      <c r="DA40" s="9"/>
      <c r="DB40" s="9"/>
      <c r="DC40" s="1866" t="s">
        <v>79</v>
      </c>
      <c r="DD40" s="1867"/>
      <c r="DE40" s="667"/>
    </row>
    <row r="41" spans="1:112" ht="27" customHeight="1" thickBot="1">
      <c r="A41" s="1768"/>
      <c r="B41" s="1746"/>
      <c r="C41" s="1749"/>
      <c r="D41" s="1779" t="s">
        <v>173</v>
      </c>
      <c r="E41" s="1780"/>
      <c r="F41" s="1780"/>
      <c r="G41" s="1781"/>
      <c r="H41" s="370">
        <v>110</v>
      </c>
      <c r="I41" s="371">
        <f t="shared" si="23"/>
        <v>0</v>
      </c>
      <c r="J41" s="1775"/>
      <c r="K41" s="1773"/>
      <c r="L41" s="503"/>
      <c r="M41" s="372"/>
      <c r="N41" s="503"/>
      <c r="O41" s="372"/>
      <c r="P41" s="1765"/>
      <c r="Q41" s="1773"/>
      <c r="R41" s="1765"/>
      <c r="S41" s="1766"/>
      <c r="T41" s="2028">
        <f>H41*I41</f>
        <v>0</v>
      </c>
      <c r="U41" s="2029"/>
      <c r="V41" s="680" t="s">
        <v>681</v>
      </c>
      <c r="W41" s="1840" t="s">
        <v>651</v>
      </c>
      <c r="X41" s="1840"/>
      <c r="Y41" s="1840"/>
      <c r="Z41" s="1840"/>
      <c r="AA41" s="1840"/>
      <c r="AB41" s="308"/>
      <c r="AC41" s="308"/>
      <c r="AD41" s="308"/>
      <c r="AE41" s="308"/>
      <c r="AF41" s="308"/>
      <c r="AG41" s="308"/>
      <c r="AH41" s="308"/>
      <c r="AI41" s="308"/>
      <c r="AJ41" s="308"/>
      <c r="AK41" s="308"/>
      <c r="AL41" s="308"/>
      <c r="AM41" s="308"/>
      <c r="AN41" s="308"/>
      <c r="AO41" s="308"/>
      <c r="AP41" s="308"/>
      <c r="AQ41" s="308"/>
      <c r="AR41" s="308"/>
      <c r="AS41" s="308"/>
      <c r="AT41" s="308"/>
      <c r="AU41" s="308"/>
      <c r="AV41" s="308"/>
      <c r="AW41" s="308"/>
      <c r="AX41" s="308"/>
      <c r="AY41" s="308"/>
      <c r="AZ41" s="28"/>
      <c r="BA41" s="28"/>
      <c r="BB41" s="28"/>
      <c r="BC41" s="1852"/>
      <c r="BD41" s="1746"/>
      <c r="BE41" s="1749"/>
      <c r="BF41" s="1779" t="s">
        <v>173</v>
      </c>
      <c r="BG41" s="1780"/>
      <c r="BH41" s="1780"/>
      <c r="BI41" s="1781"/>
      <c r="BJ41" s="370">
        <v>110</v>
      </c>
      <c r="BK41" s="371">
        <f t="shared" si="24"/>
        <v>0</v>
      </c>
      <c r="BL41" s="787"/>
      <c r="BM41" s="372"/>
      <c r="BN41" s="503"/>
      <c r="BO41" s="372"/>
      <c r="BP41" s="503"/>
      <c r="BQ41" s="372"/>
      <c r="BR41" s="786"/>
      <c r="BS41" s="372"/>
      <c r="BT41" s="786"/>
      <c r="BU41" s="788"/>
      <c r="BV41" s="1871" t="s">
        <v>584</v>
      </c>
      <c r="BW41" s="1872"/>
      <c r="BX41" s="25"/>
      <c r="BY41" s="28"/>
      <c r="BZ41" s="28"/>
      <c r="CA41" s="28"/>
      <c r="CB41" s="28"/>
      <c r="CC41" s="28"/>
      <c r="CD41" s="28"/>
      <c r="CE41" s="28"/>
      <c r="CF41" s="28"/>
      <c r="CG41" s="28"/>
      <c r="CH41" s="28"/>
      <c r="CI41" s="28"/>
      <c r="CJ41" s="28"/>
      <c r="CK41" s="28"/>
      <c r="CL41" s="28"/>
      <c r="CM41" s="28"/>
      <c r="CN41" s="28"/>
      <c r="CO41" s="28"/>
      <c r="CP41" s="28"/>
      <c r="CQ41" s="28"/>
      <c r="CR41" s="28"/>
      <c r="CS41" s="28"/>
      <c r="CT41" s="28"/>
      <c r="CU41" s="28"/>
      <c r="CV41" s="28"/>
      <c r="CW41" s="28"/>
      <c r="CX41" s="28"/>
      <c r="CY41" s="28"/>
      <c r="CZ41" s="9"/>
      <c r="DA41" s="9"/>
      <c r="DB41" s="9"/>
      <c r="DC41" s="17"/>
      <c r="DD41" s="9">
        <v>300</v>
      </c>
      <c r="DE41" s="667"/>
    </row>
    <row r="42" spans="1:112" ht="27" customHeight="1">
      <c r="A42" s="1768"/>
      <c r="B42" s="1746"/>
      <c r="C42" s="1749"/>
      <c r="D42" s="1779" t="s">
        <v>581</v>
      </c>
      <c r="E42" s="1780"/>
      <c r="F42" s="1780"/>
      <c r="G42" s="1781"/>
      <c r="H42" s="370">
        <v>240</v>
      </c>
      <c r="I42" s="371">
        <f t="shared" si="23"/>
        <v>0</v>
      </c>
      <c r="J42" s="1775"/>
      <c r="K42" s="1773"/>
      <c r="L42" s="503"/>
      <c r="M42" s="372"/>
      <c r="N42" s="503"/>
      <c r="O42" s="372"/>
      <c r="P42" s="1765"/>
      <c r="Q42" s="1773"/>
      <c r="R42" s="1765"/>
      <c r="S42" s="1766"/>
      <c r="T42" s="2028">
        <f>H42*I42</f>
        <v>0</v>
      </c>
      <c r="U42" s="2029"/>
      <c r="V42" s="680" t="s">
        <v>682</v>
      </c>
      <c r="W42" s="1841" t="s">
        <v>128</v>
      </c>
      <c r="X42" s="1842"/>
      <c r="Y42" s="1842" t="s">
        <v>130</v>
      </c>
      <c r="Z42" s="1842"/>
      <c r="AA42" s="1842"/>
      <c r="AB42" s="1842"/>
      <c r="AC42" s="1842" t="s">
        <v>652</v>
      </c>
      <c r="AD42" s="1842"/>
      <c r="AE42" s="1842"/>
      <c r="AF42" s="1842" t="s">
        <v>652</v>
      </c>
      <c r="AG42" s="1842"/>
      <c r="AH42" s="1842"/>
      <c r="AI42" s="1842" t="s">
        <v>652</v>
      </c>
      <c r="AJ42" s="1842"/>
      <c r="AK42" s="1842"/>
      <c r="AL42" s="1842" t="s">
        <v>652</v>
      </c>
      <c r="AM42" s="1842"/>
      <c r="AN42" s="1842"/>
      <c r="AO42" s="1842" t="s">
        <v>652</v>
      </c>
      <c r="AP42" s="1842"/>
      <c r="AQ42" s="1842"/>
      <c r="AR42" s="1842" t="s">
        <v>99</v>
      </c>
      <c r="AS42" s="1842"/>
      <c r="AT42" s="1842"/>
      <c r="AU42" s="1880"/>
      <c r="AV42" s="683"/>
      <c r="AW42" s="683"/>
      <c r="AX42" s="683"/>
      <c r="AY42" s="683"/>
      <c r="AZ42" s="272"/>
      <c r="BA42" s="272"/>
      <c r="BB42" s="272"/>
      <c r="BC42" s="1852"/>
      <c r="BD42" s="1746"/>
      <c r="BE42" s="1749"/>
      <c r="BF42" s="1779" t="s">
        <v>581</v>
      </c>
      <c r="BG42" s="1780"/>
      <c r="BH42" s="1780"/>
      <c r="BI42" s="1781"/>
      <c r="BJ42" s="370">
        <v>240</v>
      </c>
      <c r="BK42" s="371">
        <f t="shared" si="24"/>
        <v>0</v>
      </c>
      <c r="BL42" s="787"/>
      <c r="BM42" s="372"/>
      <c r="BN42" s="503"/>
      <c r="BO42" s="372"/>
      <c r="BP42" s="503"/>
      <c r="BQ42" s="372"/>
      <c r="BR42" s="786"/>
      <c r="BS42" s="372"/>
      <c r="BT42" s="786"/>
      <c r="BU42" s="788"/>
      <c r="BV42" s="1871">
        <f>BJ42*BK42</f>
        <v>0</v>
      </c>
      <c r="BW42" s="1872"/>
      <c r="BX42" s="25"/>
      <c r="BY42" s="293"/>
      <c r="BZ42" s="272"/>
      <c r="CA42" s="272"/>
      <c r="CB42" s="272"/>
      <c r="CC42" s="569"/>
      <c r="CD42" s="569"/>
      <c r="CE42" s="569"/>
      <c r="CF42" s="570"/>
      <c r="CG42" s="571"/>
      <c r="CH42" s="571"/>
      <c r="CI42" s="570"/>
      <c r="CJ42" s="570"/>
      <c r="CK42" s="570"/>
      <c r="CL42" s="570"/>
      <c r="CM42" s="570"/>
      <c r="CN42" s="570"/>
      <c r="CO42" s="570"/>
      <c r="CP42" s="570"/>
      <c r="CQ42" s="570"/>
      <c r="CR42" s="570"/>
      <c r="CS42" s="570"/>
      <c r="CT42" s="570"/>
      <c r="CU42" s="570"/>
      <c r="CV42" s="272"/>
      <c r="CW42" s="272"/>
      <c r="CX42" s="272"/>
      <c r="CY42" s="272"/>
      <c r="CZ42" s="9"/>
      <c r="DA42" s="9"/>
      <c r="DB42" s="9"/>
      <c r="DC42" s="17"/>
      <c r="DD42" s="9">
        <v>300</v>
      </c>
      <c r="DE42" s="667"/>
      <c r="DF42" s="9"/>
    </row>
    <row r="43" spans="1:112" ht="27" customHeight="1">
      <c r="A43" s="1768"/>
      <c r="B43" s="1746"/>
      <c r="C43" s="1749"/>
      <c r="D43" s="1776" t="s">
        <v>283</v>
      </c>
      <c r="E43" s="1777"/>
      <c r="F43" s="1777"/>
      <c r="G43" s="1778"/>
      <c r="H43" s="370">
        <v>110</v>
      </c>
      <c r="I43" s="367">
        <f t="shared" si="23"/>
        <v>0</v>
      </c>
      <c r="J43" s="1775"/>
      <c r="K43" s="1773"/>
      <c r="L43" s="548"/>
      <c r="M43" s="549"/>
      <c r="N43" s="548"/>
      <c r="O43" s="549"/>
      <c r="P43" s="1765"/>
      <c r="Q43" s="1773"/>
      <c r="R43" s="1765"/>
      <c r="S43" s="1766"/>
      <c r="T43" s="2028">
        <f>H43*I43</f>
        <v>0</v>
      </c>
      <c r="U43" s="2029"/>
      <c r="V43" s="680" t="s">
        <v>683</v>
      </c>
      <c r="W43" s="620">
        <f>'03 食事申込書'!A45</f>
        <v>0</v>
      </c>
      <c r="X43" s="621" t="s">
        <v>11</v>
      </c>
      <c r="Y43" s="1834" t="str">
        <f>'03 食事申込書'!C45</f>
        <v>野外炊事（昼食）</v>
      </c>
      <c r="Z43" s="1835"/>
      <c r="AA43" s="1835"/>
      <c r="AB43" s="1836"/>
      <c r="AC43" s="622">
        <f>'03 食事申込書'!H45</f>
        <v>0</v>
      </c>
      <c r="AD43" s="623" t="s">
        <v>100</v>
      </c>
      <c r="AE43" s="624">
        <f>'03 食事申込書'!J45</f>
        <v>0</v>
      </c>
      <c r="AF43" s="625">
        <f>'03 食事申込書'!K45</f>
        <v>0</v>
      </c>
      <c r="AG43" s="623" t="s">
        <v>100</v>
      </c>
      <c r="AH43" s="626">
        <f>'03 食事申込書'!M45</f>
        <v>0</v>
      </c>
      <c r="AI43" s="627">
        <f>'03 食事申込書'!N45</f>
        <v>0</v>
      </c>
      <c r="AJ43" s="623" t="s">
        <v>100</v>
      </c>
      <c r="AK43" s="626">
        <f>'03 食事申込書'!P45</f>
        <v>0</v>
      </c>
      <c r="AL43" s="627">
        <f>'03 食事申込書'!Q45</f>
        <v>0</v>
      </c>
      <c r="AM43" s="623" t="s">
        <v>100</v>
      </c>
      <c r="AN43" s="626">
        <f>'03 食事申込書'!S45</f>
        <v>0</v>
      </c>
      <c r="AO43" s="627">
        <f>'03 食事申込書'!T45</f>
        <v>0</v>
      </c>
      <c r="AP43" s="623" t="s">
        <v>100</v>
      </c>
      <c r="AQ43" s="626">
        <f>'03 食事申込書'!V45</f>
        <v>0</v>
      </c>
      <c r="AR43" s="628">
        <f>'03 食事申込書'!W45</f>
        <v>0</v>
      </c>
      <c r="AS43" s="629" t="s">
        <v>27</v>
      </c>
      <c r="AT43" s="629">
        <f>'03 食事申込書'!Y45</f>
        <v>0</v>
      </c>
      <c r="AU43" s="630" t="s">
        <v>650</v>
      </c>
      <c r="AV43" s="684"/>
      <c r="AW43" s="684"/>
      <c r="AX43" s="684"/>
      <c r="AY43" s="684"/>
      <c r="BC43" s="1852"/>
      <c r="BD43" s="1746"/>
      <c r="BE43" s="1749"/>
      <c r="BF43" s="1776" t="s">
        <v>283</v>
      </c>
      <c r="BG43" s="1777"/>
      <c r="BH43" s="1777"/>
      <c r="BI43" s="1778"/>
      <c r="BJ43" s="370">
        <v>110</v>
      </c>
      <c r="BK43" s="367">
        <f t="shared" si="24"/>
        <v>0</v>
      </c>
      <c r="BL43" s="787"/>
      <c r="BM43" s="372"/>
      <c r="BN43" s="548"/>
      <c r="BO43" s="549"/>
      <c r="BP43" s="548"/>
      <c r="BQ43" s="549"/>
      <c r="BR43" s="786"/>
      <c r="BS43" s="372"/>
      <c r="BT43" s="786"/>
      <c r="BU43" s="788"/>
      <c r="BV43" s="1892">
        <f>BJ43*BK43</f>
        <v>0</v>
      </c>
      <c r="BW43" s="1893"/>
      <c r="BX43" s="25"/>
      <c r="BY43" s="293"/>
      <c r="BZ43" s="292"/>
      <c r="CA43" s="292"/>
      <c r="CB43" s="292"/>
      <c r="CC43" s="271"/>
      <c r="CD43" s="270"/>
      <c r="CE43" s="271"/>
      <c r="CF43" s="271"/>
      <c r="CG43" s="270"/>
      <c r="CH43" s="271"/>
      <c r="CI43" s="271"/>
      <c r="CJ43" s="270"/>
      <c r="CK43" s="271"/>
      <c r="CL43" s="271"/>
      <c r="CM43" s="270"/>
      <c r="CN43" s="48"/>
      <c r="CO43" s="291"/>
      <c r="CP43" s="291"/>
      <c r="CQ43" s="291"/>
      <c r="CR43" s="270"/>
      <c r="CS43" s="291"/>
      <c r="CT43" s="291"/>
      <c r="CU43" s="290"/>
      <c r="CZ43" s="9"/>
      <c r="DA43" s="9"/>
      <c r="DB43" s="9"/>
      <c r="DC43" s="17" t="s">
        <v>791</v>
      </c>
      <c r="DD43" s="9">
        <v>370</v>
      </c>
      <c r="DE43" s="667" t="s">
        <v>836</v>
      </c>
      <c r="DF43" s="9"/>
    </row>
    <row r="44" spans="1:112" ht="27" customHeight="1" thickBot="1">
      <c r="A44" s="1768"/>
      <c r="B44" s="1746"/>
      <c r="C44" s="1749"/>
      <c r="D44" s="1776" t="s">
        <v>582</v>
      </c>
      <c r="E44" s="1777"/>
      <c r="F44" s="1777"/>
      <c r="G44" s="1778"/>
      <c r="H44" s="370">
        <v>240</v>
      </c>
      <c r="I44" s="367">
        <f t="shared" si="23"/>
        <v>0</v>
      </c>
      <c r="J44" s="1775"/>
      <c r="K44" s="1773"/>
      <c r="L44" s="503"/>
      <c r="M44" s="372"/>
      <c r="N44" s="503"/>
      <c r="O44" s="372"/>
      <c r="P44" s="1765"/>
      <c r="Q44" s="1773"/>
      <c r="R44" s="1765"/>
      <c r="S44" s="1766"/>
      <c r="T44" s="2028">
        <f>H44*I44</f>
        <v>0</v>
      </c>
      <c r="U44" s="2029"/>
      <c r="V44" s="680"/>
      <c r="W44" s="631">
        <f>'03 食事申込書'!A46</f>
        <v>0</v>
      </c>
      <c r="X44" s="632" t="s">
        <v>11</v>
      </c>
      <c r="Y44" s="1837">
        <f>'03 食事申込書'!C47</f>
        <v>0</v>
      </c>
      <c r="Z44" s="1838"/>
      <c r="AA44" s="1838"/>
      <c r="AB44" s="1839"/>
      <c r="AC44" s="633">
        <f>'03 食事申込書'!H47</f>
        <v>0</v>
      </c>
      <c r="AD44" s="635" t="s">
        <v>100</v>
      </c>
      <c r="AE44" s="636">
        <f>'03 食事申込書'!J47</f>
        <v>0</v>
      </c>
      <c r="AF44" s="633">
        <f>'03 食事申込書'!K47</f>
        <v>0</v>
      </c>
      <c r="AG44" s="635" t="s">
        <v>100</v>
      </c>
      <c r="AH44" s="636">
        <f>'03 食事申込書'!M47</f>
        <v>0</v>
      </c>
      <c r="AI44" s="633">
        <f>'03 食事申込書'!N47</f>
        <v>0</v>
      </c>
      <c r="AJ44" s="635" t="s">
        <v>100</v>
      </c>
      <c r="AK44" s="636">
        <f>'03 食事申込書'!P47</f>
        <v>0</v>
      </c>
      <c r="AL44" s="633">
        <f>'03 食事申込書'!Q47</f>
        <v>0</v>
      </c>
      <c r="AM44" s="635" t="s">
        <v>100</v>
      </c>
      <c r="AN44" s="636">
        <f>'03 食事申込書'!S47</f>
        <v>0</v>
      </c>
      <c r="AO44" s="633">
        <f>'03 食事申込書'!T47</f>
        <v>0</v>
      </c>
      <c r="AP44" s="635" t="s">
        <v>100</v>
      </c>
      <c r="AQ44" s="636">
        <f>'03 食事申込書'!V47</f>
        <v>0</v>
      </c>
      <c r="AR44" s="637">
        <f>'03 食事申込書'!W47</f>
        <v>0</v>
      </c>
      <c r="AS44" s="638" t="s">
        <v>27</v>
      </c>
      <c r="AT44" s="638">
        <f>'03 食事申込書'!Y47</f>
        <v>0</v>
      </c>
      <c r="AU44" s="634" t="s">
        <v>653</v>
      </c>
      <c r="AV44" s="685"/>
      <c r="AW44" s="685"/>
      <c r="AX44" s="685"/>
      <c r="AY44" s="685"/>
      <c r="BC44" s="1852"/>
      <c r="BD44" s="1746"/>
      <c r="BE44" s="1749"/>
      <c r="BF44" s="1776" t="s">
        <v>582</v>
      </c>
      <c r="BG44" s="1777"/>
      <c r="BH44" s="1777"/>
      <c r="BI44" s="1778"/>
      <c r="BJ44" s="370">
        <v>240</v>
      </c>
      <c r="BK44" s="367">
        <f t="shared" si="24"/>
        <v>0</v>
      </c>
      <c r="BL44" s="787"/>
      <c r="BM44" s="372"/>
      <c r="BN44" s="503"/>
      <c r="BO44" s="372"/>
      <c r="BP44" s="503"/>
      <c r="BQ44" s="372"/>
      <c r="BR44" s="786"/>
      <c r="BS44" s="372"/>
      <c r="BT44" s="786"/>
      <c r="BU44" s="788"/>
      <c r="BV44" s="1892">
        <f>BJ44*BK44</f>
        <v>0</v>
      </c>
      <c r="BW44" s="1893"/>
      <c r="BX44" s="25"/>
      <c r="BY44" s="293"/>
      <c r="BZ44" s="292"/>
      <c r="CA44" s="292"/>
      <c r="CB44" s="292"/>
      <c r="CC44" s="271"/>
      <c r="CD44" s="270"/>
      <c r="CE44" s="271"/>
      <c r="CF44" s="271"/>
      <c r="CG44" s="270"/>
      <c r="CH44" s="271"/>
      <c r="CI44" s="271"/>
      <c r="CJ44" s="270"/>
      <c r="CK44" s="271"/>
      <c r="CL44" s="271"/>
      <c r="CM44" s="270"/>
      <c r="CN44" s="48"/>
      <c r="CO44" s="291"/>
      <c r="CP44" s="291"/>
      <c r="CQ44" s="291"/>
      <c r="CR44" s="270"/>
      <c r="CS44" s="291"/>
      <c r="CT44" s="291"/>
      <c r="CU44" s="290"/>
      <c r="CZ44" s="9"/>
      <c r="DA44" s="9"/>
      <c r="DB44" s="9"/>
      <c r="DC44" s="17"/>
      <c r="DD44" s="9">
        <v>500</v>
      </c>
      <c r="DE44" s="667"/>
      <c r="DF44" s="9"/>
    </row>
    <row r="45" spans="1:112" ht="27" customHeight="1">
      <c r="A45" s="1768"/>
      <c r="B45" s="1746"/>
      <c r="C45" s="1749"/>
      <c r="D45" s="1779" t="s">
        <v>177</v>
      </c>
      <c r="E45" s="1780"/>
      <c r="F45" s="1780"/>
      <c r="G45" s="1781"/>
      <c r="H45" s="521" t="s">
        <v>583</v>
      </c>
      <c r="I45" s="542">
        <f t="shared" si="23"/>
        <v>0</v>
      </c>
      <c r="J45" s="1775"/>
      <c r="K45" s="1773"/>
      <c r="L45" s="503"/>
      <c r="M45" s="372"/>
      <c r="N45" s="503"/>
      <c r="O45" s="372"/>
      <c r="P45" s="1765"/>
      <c r="Q45" s="1773"/>
      <c r="R45" s="1765"/>
      <c r="S45" s="1766"/>
      <c r="T45" s="1871" t="s">
        <v>584</v>
      </c>
      <c r="U45" s="1872"/>
      <c r="V45" s="680" t="s">
        <v>684</v>
      </c>
      <c r="W45" s="293"/>
      <c r="X45" s="292"/>
      <c r="Y45" s="292"/>
      <c r="Z45" s="292"/>
      <c r="AA45" s="271"/>
      <c r="AB45" s="270"/>
      <c r="AC45" s="271"/>
      <c r="AD45" s="271"/>
      <c r="AE45" s="270"/>
      <c r="AF45" s="271"/>
      <c r="AG45" s="271"/>
      <c r="AH45" s="270"/>
      <c r="AI45" s="271"/>
      <c r="AJ45" s="271"/>
      <c r="AK45" s="270"/>
      <c r="AL45" s="48"/>
      <c r="AM45" s="291"/>
      <c r="AN45" s="291"/>
      <c r="AO45" s="291"/>
      <c r="AP45" s="270"/>
      <c r="AQ45" s="291"/>
      <c r="AR45" s="291"/>
      <c r="AS45" s="290"/>
      <c r="BC45" s="1852"/>
      <c r="BD45" s="1746"/>
      <c r="BE45" s="1749"/>
      <c r="BF45" s="1779" t="s">
        <v>177</v>
      </c>
      <c r="BG45" s="1780"/>
      <c r="BH45" s="1780"/>
      <c r="BI45" s="1781"/>
      <c r="BJ45" s="521" t="s">
        <v>583</v>
      </c>
      <c r="BK45" s="542">
        <f t="shared" si="24"/>
        <v>0</v>
      </c>
      <c r="BL45" s="787"/>
      <c r="BM45" s="372"/>
      <c r="BN45" s="503"/>
      <c r="BO45" s="372"/>
      <c r="BP45" s="503"/>
      <c r="BQ45" s="372"/>
      <c r="BR45" s="786"/>
      <c r="BS45" s="372"/>
      <c r="BT45" s="786"/>
      <c r="BU45" s="788"/>
      <c r="BV45" s="1871" t="s">
        <v>584</v>
      </c>
      <c r="BW45" s="1872"/>
      <c r="BX45" s="25"/>
      <c r="BY45" s="293"/>
      <c r="BZ45" s="292"/>
      <c r="CA45" s="292"/>
      <c r="CB45" s="292"/>
      <c r="CC45" s="271"/>
      <c r="CD45" s="270"/>
      <c r="CE45" s="271"/>
      <c r="CF45" s="271"/>
      <c r="CG45" s="270"/>
      <c r="CH45" s="271"/>
      <c r="CI45" s="271"/>
      <c r="CJ45" s="270"/>
      <c r="CK45" s="271"/>
      <c r="CL45" s="271"/>
      <c r="CM45" s="270"/>
      <c r="CN45" s="48"/>
      <c r="CO45" s="291"/>
      <c r="CP45" s="291"/>
      <c r="CQ45" s="291"/>
      <c r="CR45" s="270"/>
      <c r="CS45" s="291"/>
      <c r="CT45" s="291"/>
      <c r="CU45" s="290"/>
      <c r="CZ45" s="9"/>
      <c r="DA45" s="9"/>
      <c r="DB45" s="9"/>
      <c r="DC45" s="17" t="s">
        <v>821</v>
      </c>
      <c r="DD45" s="9">
        <v>610</v>
      </c>
      <c r="DE45" s="667" t="s">
        <v>837</v>
      </c>
      <c r="DF45" s="9"/>
    </row>
    <row r="46" spans="1:112" ht="27" customHeight="1" thickBot="1">
      <c r="A46" s="1768"/>
      <c r="B46" s="1746"/>
      <c r="C46" s="1752"/>
      <c r="D46" s="1753" t="s">
        <v>178</v>
      </c>
      <c r="E46" s="1754"/>
      <c r="F46" s="1754"/>
      <c r="G46" s="1755"/>
      <c r="H46" s="527">
        <v>350</v>
      </c>
      <c r="I46" s="543">
        <f>SUM(J46:S46)</f>
        <v>0</v>
      </c>
      <c r="J46" s="2039"/>
      <c r="K46" s="2040"/>
      <c r="L46" s="552"/>
      <c r="M46" s="552"/>
      <c r="N46" s="552"/>
      <c r="O46" s="552"/>
      <c r="P46" s="2026"/>
      <c r="Q46" s="2040"/>
      <c r="R46" s="2026"/>
      <c r="S46" s="2027"/>
      <c r="T46" s="2030">
        <f>H46*I46</f>
        <v>0</v>
      </c>
      <c r="U46" s="2031"/>
      <c r="V46" s="656"/>
      <c r="W46" s="293"/>
      <c r="X46" s="292"/>
      <c r="Y46" s="292"/>
      <c r="Z46" s="292"/>
      <c r="AA46" s="271"/>
      <c r="AB46" s="270"/>
      <c r="AC46" s="271"/>
      <c r="AD46" s="271"/>
      <c r="AE46" s="270"/>
      <c r="AF46" s="271"/>
      <c r="AG46" s="271"/>
      <c r="AH46" s="270"/>
      <c r="AI46" s="271"/>
      <c r="AJ46" s="271"/>
      <c r="AK46" s="270"/>
      <c r="AL46" s="48"/>
      <c r="AM46" s="291"/>
      <c r="AN46" s="291"/>
      <c r="AO46" s="291"/>
      <c r="AP46" s="270"/>
      <c r="AQ46" s="291"/>
      <c r="AR46" s="291"/>
      <c r="AS46" s="290"/>
      <c r="BC46" s="1852"/>
      <c r="BD46" s="1746"/>
      <c r="BE46" s="1752"/>
      <c r="BF46" s="1753" t="s">
        <v>178</v>
      </c>
      <c r="BG46" s="1754"/>
      <c r="BH46" s="1754"/>
      <c r="BI46" s="1755"/>
      <c r="BJ46" s="527">
        <v>350</v>
      </c>
      <c r="BK46" s="543">
        <f>SUM(BL46:BU46)</f>
        <v>0</v>
      </c>
      <c r="BL46" s="808"/>
      <c r="BM46" s="783"/>
      <c r="BN46" s="572"/>
      <c r="BO46" s="572"/>
      <c r="BP46" s="572"/>
      <c r="BQ46" s="572"/>
      <c r="BR46" s="784"/>
      <c r="BS46" s="783"/>
      <c r="BT46" s="784"/>
      <c r="BU46" s="809"/>
      <c r="BV46" s="1890">
        <f>BJ46*BK46</f>
        <v>0</v>
      </c>
      <c r="BW46" s="1891"/>
      <c r="BX46" s="61"/>
      <c r="BY46" s="293"/>
      <c r="BZ46" s="292"/>
      <c r="CA46" s="292"/>
      <c r="CB46" s="292"/>
      <c r="CC46" s="271"/>
      <c r="CD46" s="270"/>
      <c r="CE46" s="271"/>
      <c r="CF46" s="271"/>
      <c r="CG46" s="270"/>
      <c r="CH46" s="271"/>
      <c r="CI46" s="271"/>
      <c r="CJ46" s="270"/>
      <c r="CK46" s="271"/>
      <c r="CL46" s="271"/>
      <c r="CM46" s="270"/>
      <c r="CN46" s="48"/>
      <c r="CO46" s="291"/>
      <c r="CP46" s="291"/>
      <c r="CQ46" s="291"/>
      <c r="CR46" s="270"/>
      <c r="CS46" s="291"/>
      <c r="CT46" s="291"/>
      <c r="CU46" s="290"/>
      <c r="CZ46" s="9"/>
      <c r="DA46" s="9"/>
      <c r="DB46" s="9"/>
      <c r="DC46" s="17" t="s">
        <v>819</v>
      </c>
      <c r="DD46" s="9">
        <v>610</v>
      </c>
      <c r="DE46" s="667" t="s">
        <v>838</v>
      </c>
      <c r="DF46" s="9"/>
    </row>
    <row r="47" spans="1:112" ht="27.75" customHeight="1" thickTop="1" thickBot="1">
      <c r="A47" s="1769"/>
      <c r="B47" s="1747"/>
      <c r="C47" s="1756" t="s">
        <v>375</v>
      </c>
      <c r="D47" s="1757"/>
      <c r="E47" s="1757"/>
      <c r="F47" s="1757"/>
      <c r="G47" s="1757"/>
      <c r="H47" s="1758"/>
      <c r="I47" s="528">
        <f>SUM(I39:I46)</f>
        <v>0</v>
      </c>
      <c r="J47" s="1761">
        <f>J31*$H$31+J32*$H$32+J33*$H$33+J34*$H$34+J35*$H$35+J37*$H$37+J38*$H$38+J40*$H$40+J41*$H$41+J42*$H$42+J43*$H$43+J44*$H$44+J46*$H$46</f>
        <v>0</v>
      </c>
      <c r="K47" s="1762"/>
      <c r="L47" s="785">
        <f>L31*$H$31+L32*$H$32+L33*$H$33+L34*$H$34+L35*$H$35+L37*$H$37+L38*$H$38+L40*$H$40+L41*$H$41+L42*$H$42+L43*$H$43+L44*$H$44+L46*$H$46</f>
        <v>0</v>
      </c>
      <c r="M47" s="785">
        <f>M31*$H$31+M32*$H$32+M33*$H$33+M34*$H$34+M35*$H$35+M37*$H$37+M38*$H$38+M40*$H$40+M41*$H$41+M42*$H$42+M43*$H$43+M44*$H$44+M46*$H$46</f>
        <v>0</v>
      </c>
      <c r="N47" s="785">
        <f>N31*$H$31+N32*$H$32+N33*$H$33+N34*$H$34+N35*$H$35+N37*$H$37+N38*$H$38+N40*$H$40+N41*$H$41+N42*$H$42+N43*$H$43+N44*$H$44+N46*$H$46</f>
        <v>0</v>
      </c>
      <c r="O47" s="785">
        <f>O31*$H$31+O32*$H$32+O33*$H$33+O34*$H$34+O35*$H$35+O37*$H$37+O38*$H$38+O40*$H$40+O41*$H$41+O42*$H$42+O43*$H$43+O44*$H$44+O46*$H$46</f>
        <v>0</v>
      </c>
      <c r="P47" s="1763">
        <f>P31*$H$31+P32*$H$32+P33*$H$33+P34*$H$34+P35*$H$35+P37*$H$37+P38*$H$38+P40*$H$40+P41*$H$41+P42*$H$42+P43*$H$43+P44*$H$44+P46*$H$46</f>
        <v>0</v>
      </c>
      <c r="Q47" s="1764"/>
      <c r="R47" s="1763">
        <f t="shared" ref="R47" si="25">R31*$H$31+R32*$H$32+R33*$H$33+R34*$H$34+R35*$H$35+R37*$H$37+R38*$H$38+R40*$H$40+R41*$H$41+R42*$H$42+R43*$H$43+R44*$H$44+R46*$H$46</f>
        <v>0</v>
      </c>
      <c r="S47" s="1764"/>
      <c r="T47" s="1759">
        <f>SUM(J47:S47)</f>
        <v>0</v>
      </c>
      <c r="U47" s="1760"/>
      <c r="V47" s="662"/>
      <c r="W47" s="293"/>
      <c r="X47" s="292"/>
      <c r="Y47" s="292"/>
      <c r="Z47" s="292"/>
      <c r="AA47" s="271"/>
      <c r="AB47" s="270"/>
      <c r="AC47" s="271"/>
      <c r="AD47" s="271"/>
      <c r="AE47" s="270"/>
      <c r="AF47" s="271"/>
      <c r="AG47" s="271"/>
      <c r="AH47" s="270"/>
      <c r="AI47" s="271"/>
      <c r="AJ47" s="271"/>
      <c r="AK47" s="270"/>
      <c r="AL47" s="48"/>
      <c r="AM47" s="291"/>
      <c r="AN47" s="291"/>
      <c r="AO47" s="291"/>
      <c r="AP47" s="270"/>
      <c r="AQ47" s="291"/>
      <c r="AR47" s="291"/>
      <c r="AS47" s="290"/>
      <c r="BC47" s="1853"/>
      <c r="BD47" s="1747"/>
      <c r="BE47" s="1756" t="s">
        <v>375</v>
      </c>
      <c r="BF47" s="1757"/>
      <c r="BG47" s="1757"/>
      <c r="BH47" s="1757"/>
      <c r="BI47" s="1757"/>
      <c r="BJ47" s="1758"/>
      <c r="BK47" s="528">
        <f>BK38+BK46</f>
        <v>111</v>
      </c>
      <c r="BL47" s="1854">
        <v>0</v>
      </c>
      <c r="BM47" s="1855"/>
      <c r="BN47" s="373">
        <v>0</v>
      </c>
      <c r="BO47" s="810">
        <f>BO32*$BJ$32+BO33*$BJ$33+BO34*$BJ$34+BO35*$BJ$35+BO37*$BJ$37+BO38*$BJ$38+BO40*$BJ$40+BO41*$BJ$41+BO42*$BJ$42+BO43*$BJ$43+BO44*$BJ$44+BO46*$BJ$46</f>
        <v>7000</v>
      </c>
      <c r="BP47" s="373">
        <v>0</v>
      </c>
      <c r="BQ47" s="373">
        <v>0</v>
      </c>
      <c r="BR47" s="1888">
        <v>0</v>
      </c>
      <c r="BS47" s="1889"/>
      <c r="BT47" s="1763">
        <v>0</v>
      </c>
      <c r="BU47" s="1764"/>
      <c r="BV47" s="1886">
        <f>BV31+BV32+BV33+BV34+BV35+BV37+BV38+BV40+BV42+BV43+BV44+BV46</f>
        <v>75020</v>
      </c>
      <c r="BW47" s="1887"/>
      <c r="BX47" s="28"/>
      <c r="BY47" s="293"/>
      <c r="BZ47" s="292"/>
      <c r="CA47" s="292"/>
      <c r="CB47" s="292"/>
      <c r="CC47" s="271"/>
      <c r="CD47" s="270"/>
      <c r="CE47" s="271"/>
      <c r="CF47" s="271"/>
      <c r="CG47" s="270"/>
      <c r="CH47" s="271"/>
      <c r="CI47" s="271"/>
      <c r="CJ47" s="270"/>
      <c r="CK47" s="271"/>
      <c r="CL47" s="271"/>
      <c r="CM47" s="270"/>
      <c r="CN47" s="48"/>
      <c r="CO47" s="291"/>
      <c r="CP47" s="291"/>
      <c r="CQ47" s="291"/>
      <c r="CR47" s="270"/>
      <c r="CS47" s="291"/>
      <c r="CT47" s="291"/>
      <c r="CU47" s="290"/>
      <c r="CZ47" s="9"/>
      <c r="DA47" s="9"/>
      <c r="DB47" s="9"/>
      <c r="DC47" s="1866" t="s">
        <v>98</v>
      </c>
      <c r="DD47" s="1867"/>
      <c r="DE47" s="667"/>
      <c r="DF47" s="9"/>
    </row>
    <row r="48" spans="1:112" ht="27.75" hidden="1" customHeight="1">
      <c r="A48" s="187"/>
      <c r="B48" s="187"/>
      <c r="C48" s="187"/>
      <c r="D48" s="187"/>
      <c r="E48" s="187"/>
      <c r="F48" s="187"/>
      <c r="G48" s="187"/>
      <c r="H48" s="187"/>
      <c r="I48" s="187"/>
      <c r="J48" s="187"/>
      <c r="K48" s="187"/>
      <c r="L48" s="187"/>
      <c r="M48" s="187"/>
      <c r="N48" s="187"/>
      <c r="O48" s="187"/>
      <c r="P48" s="188"/>
      <c r="Q48" s="188"/>
      <c r="R48" s="188"/>
      <c r="S48" s="188"/>
      <c r="T48" s="188"/>
      <c r="U48" s="188"/>
      <c r="V48" s="663"/>
      <c r="W48" s="189"/>
      <c r="X48" s="189"/>
      <c r="Y48" s="189"/>
      <c r="Z48" s="189"/>
      <c r="AA48" s="189"/>
      <c r="AB48" s="189"/>
      <c r="AC48" s="189"/>
      <c r="AD48" s="189"/>
      <c r="AE48" s="189"/>
      <c r="AF48" s="189"/>
      <c r="AG48" s="189"/>
      <c r="AH48" s="189"/>
      <c r="AI48" s="189"/>
      <c r="AJ48" s="189"/>
      <c r="AK48" s="189"/>
      <c r="AL48" s="189"/>
      <c r="AM48" s="189"/>
      <c r="AN48" s="189"/>
      <c r="AO48" s="189"/>
      <c r="AP48" s="189"/>
      <c r="AQ48" s="189"/>
      <c r="AR48" s="189"/>
      <c r="AS48" s="189"/>
      <c r="AT48" s="189"/>
      <c r="AU48" s="189"/>
      <c r="AV48" s="189"/>
      <c r="AW48" s="189"/>
      <c r="AX48" s="189"/>
      <c r="AY48" s="189"/>
      <c r="AZ48" s="189"/>
      <c r="BA48" s="189"/>
      <c r="BB48" s="189"/>
      <c r="BC48" s="59"/>
      <c r="BD48" s="9"/>
      <c r="BE48" s="9"/>
      <c r="BF48" s="9"/>
      <c r="BG48" s="26"/>
      <c r="BH48" s="9"/>
      <c r="BI48" s="9"/>
      <c r="BJ48" s="10"/>
      <c r="BK48" s="9"/>
      <c r="BL48" s="95"/>
      <c r="BM48" s="95"/>
      <c r="BN48" s="95"/>
      <c r="BO48" s="95"/>
      <c r="BP48" s="95"/>
      <c r="BQ48" s="95"/>
      <c r="BR48" s="95"/>
      <c r="BS48" s="95"/>
      <c r="BT48" s="95"/>
      <c r="BU48" s="95"/>
      <c r="BV48" s="95"/>
      <c r="BW48" s="95"/>
      <c r="DC48" s="485" t="s">
        <v>759</v>
      </c>
      <c r="DD48" s="83">
        <v>120</v>
      </c>
      <c r="DE48" s="667" t="s">
        <v>839</v>
      </c>
    </row>
    <row r="49" spans="1:109" ht="27.75" hidden="1" customHeight="1">
      <c r="A49" s="187"/>
      <c r="B49" s="187"/>
      <c r="C49" s="187"/>
      <c r="D49" s="639" t="s">
        <v>654</v>
      </c>
      <c r="F49" s="640"/>
      <c r="G49" s="640"/>
      <c r="H49" s="640"/>
      <c r="I49" s="640"/>
      <c r="J49" s="187"/>
      <c r="K49" s="187"/>
      <c r="L49" s="187"/>
      <c r="M49" s="187"/>
      <c r="N49" s="187"/>
      <c r="O49" s="187"/>
      <c r="P49" s="188"/>
      <c r="Q49" s="188"/>
      <c r="R49" s="188"/>
      <c r="S49" s="188"/>
      <c r="T49" s="188"/>
      <c r="U49" s="188"/>
      <c r="V49" s="661"/>
      <c r="W49" s="189"/>
      <c r="X49" s="189"/>
      <c r="Y49" s="189"/>
      <c r="Z49" s="189"/>
      <c r="AA49" s="189"/>
      <c r="AB49" s="189"/>
      <c r="AC49" s="189"/>
      <c r="AD49" s="189"/>
      <c r="AE49" s="189"/>
      <c r="AF49" s="189"/>
      <c r="AG49" s="189"/>
      <c r="AK49" s="189"/>
      <c r="AL49" s="189"/>
      <c r="AM49" s="189"/>
      <c r="AN49" s="189"/>
      <c r="AO49" s="189"/>
      <c r="AP49" s="189"/>
      <c r="AQ49" s="189"/>
      <c r="AR49" s="189"/>
      <c r="AS49" s="189"/>
      <c r="AT49" s="189"/>
      <c r="AU49" s="189"/>
      <c r="AV49" s="189"/>
      <c r="AW49" s="189"/>
      <c r="AX49" s="189"/>
      <c r="AY49" s="189"/>
      <c r="AZ49" s="189"/>
      <c r="BA49" s="189"/>
      <c r="BB49" s="189"/>
      <c r="BC49" s="15"/>
      <c r="BD49" s="9"/>
      <c r="BE49" s="9"/>
      <c r="BF49" s="9"/>
      <c r="BG49" s="10" t="s">
        <v>80</v>
      </c>
      <c r="BH49" s="9"/>
      <c r="BI49" s="26"/>
      <c r="BJ49" s="6" t="s">
        <v>130</v>
      </c>
      <c r="BK49" s="12" t="s">
        <v>381</v>
      </c>
      <c r="BL49" s="12" t="s">
        <v>382</v>
      </c>
      <c r="BM49" s="3"/>
      <c r="BN49" s="3"/>
      <c r="BO49" s="95"/>
      <c r="BP49" s="95"/>
      <c r="BQ49" s="95"/>
      <c r="BR49" s="95"/>
      <c r="BS49" s="95"/>
      <c r="BT49" s="95"/>
      <c r="BU49" s="95"/>
      <c r="BV49" s="95"/>
      <c r="BW49" s="95"/>
      <c r="DC49" s="485" t="s">
        <v>760</v>
      </c>
      <c r="DD49" s="83">
        <v>120</v>
      </c>
      <c r="DE49" s="667" t="s">
        <v>840</v>
      </c>
    </row>
    <row r="50" spans="1:109" ht="27.75" hidden="1" customHeight="1">
      <c r="A50" s="190"/>
      <c r="B50" s="190"/>
      <c r="C50" s="190"/>
      <c r="D50" s="1819" t="s">
        <v>655</v>
      </c>
      <c r="E50" s="1819"/>
      <c r="F50" s="1819"/>
      <c r="G50" s="1819"/>
      <c r="H50" s="1819"/>
      <c r="I50" s="1819"/>
      <c r="J50" s="718"/>
      <c r="K50" s="193" t="s">
        <v>656</v>
      </c>
      <c r="L50" s="641" t="s">
        <v>657</v>
      </c>
      <c r="M50" s="191"/>
      <c r="N50" s="190"/>
      <c r="O50" s="190"/>
      <c r="P50" s="190"/>
      <c r="Q50" s="192"/>
      <c r="R50" s="192"/>
      <c r="S50" s="192"/>
      <c r="T50" s="192"/>
      <c r="U50" s="192"/>
      <c r="V50" s="669" t="s">
        <v>685</v>
      </c>
      <c r="W50" s="193" t="s">
        <v>656</v>
      </c>
      <c r="X50" s="641" t="s">
        <v>671</v>
      </c>
      <c r="Y50" s="194"/>
      <c r="Z50" s="194"/>
      <c r="AA50" s="194"/>
      <c r="AB50" s="194"/>
      <c r="AC50" s="194"/>
      <c r="AD50" s="156"/>
      <c r="AE50" s="195"/>
      <c r="AF50" s="196"/>
      <c r="AG50" s="196"/>
      <c r="AH50" s="196"/>
      <c r="AI50" s="196"/>
      <c r="AJ50" s="196"/>
      <c r="AK50" s="196"/>
      <c r="AL50" s="196"/>
      <c r="AM50" s="196"/>
      <c r="AN50" s="196"/>
      <c r="AO50" s="196"/>
      <c r="AP50" s="196"/>
      <c r="AQ50" s="196"/>
      <c r="AR50" s="196"/>
      <c r="AS50" s="196"/>
      <c r="AT50" s="196"/>
      <c r="AU50" s="196"/>
      <c r="AV50" s="196"/>
      <c r="AW50" s="196"/>
      <c r="AX50" s="196"/>
      <c r="AY50" s="196"/>
      <c r="AZ50" s="196"/>
      <c r="BA50" s="157"/>
      <c r="BB50" s="157"/>
      <c r="BC50" s="15"/>
      <c r="BD50" s="9"/>
      <c r="BE50" s="9"/>
      <c r="BF50" s="9"/>
      <c r="BG50" s="26" t="s">
        <v>81</v>
      </c>
      <c r="BH50" s="9">
        <v>90</v>
      </c>
      <c r="BI50" s="26"/>
      <c r="BJ50" s="148" t="s">
        <v>376</v>
      </c>
      <c r="BK50" s="149">
        <f>SUMIFS($AQ$43:$AQ$47,$X$43:$X$47,"カレーライス")*2</f>
        <v>0</v>
      </c>
      <c r="BL50" s="109"/>
      <c r="BM50" s="95"/>
      <c r="BN50" s="95"/>
      <c r="BO50" s="95"/>
      <c r="BP50" s="95"/>
      <c r="BQ50" s="95"/>
      <c r="BR50" s="95"/>
      <c r="BS50" s="95"/>
      <c r="BT50" s="95"/>
      <c r="BU50" s="95"/>
      <c r="BV50" s="95"/>
      <c r="BW50" s="95"/>
      <c r="DC50" s="485" t="s">
        <v>761</v>
      </c>
      <c r="DD50" s="83">
        <v>120</v>
      </c>
      <c r="DE50" s="667" t="s">
        <v>841</v>
      </c>
    </row>
    <row r="51" spans="1:109" ht="27.75" hidden="1" customHeight="1">
      <c r="A51" s="190"/>
      <c r="B51" s="190"/>
      <c r="C51" s="190"/>
      <c r="D51" s="1819" t="s">
        <v>658</v>
      </c>
      <c r="E51" s="1819"/>
      <c r="F51" s="1819"/>
      <c r="G51" s="1819"/>
      <c r="H51" s="1819"/>
      <c r="I51" s="1819"/>
      <c r="J51" s="642"/>
      <c r="K51" s="158"/>
      <c r="L51" s="158"/>
      <c r="M51" s="159"/>
      <c r="N51" s="158"/>
      <c r="O51" s="159"/>
      <c r="P51" s="158"/>
      <c r="Q51" s="160"/>
      <c r="R51" s="161"/>
      <c r="S51" s="158"/>
      <c r="T51" s="161"/>
      <c r="U51" s="162"/>
      <c r="V51" s="670" t="s">
        <v>686</v>
      </c>
      <c r="BC51" s="15"/>
      <c r="BD51" s="9"/>
      <c r="BE51" s="9"/>
      <c r="BF51" s="9"/>
      <c r="BG51" s="26" t="s">
        <v>180</v>
      </c>
      <c r="BH51" s="9">
        <v>600</v>
      </c>
      <c r="BI51" s="26"/>
      <c r="BJ51" s="14" t="s">
        <v>377</v>
      </c>
      <c r="BK51" s="149">
        <f>SUMIFS($AQ$43:$AQ$47,$Y$43:$Y$47,"牛丼")*2</f>
        <v>0</v>
      </c>
      <c r="BL51" s="109"/>
      <c r="BM51" s="95"/>
      <c r="BN51" s="95"/>
      <c r="BO51" s="95"/>
      <c r="BP51" s="95"/>
      <c r="BQ51" s="95"/>
      <c r="BR51" s="95"/>
      <c r="BS51" s="95"/>
      <c r="BT51" s="95"/>
      <c r="BU51" s="95"/>
      <c r="BV51" s="95"/>
      <c r="BW51" s="95"/>
      <c r="DC51" s="485" t="s">
        <v>762</v>
      </c>
      <c r="DD51" s="83">
        <v>180</v>
      </c>
      <c r="DE51" s="667" t="s">
        <v>842</v>
      </c>
    </row>
    <row r="52" spans="1:109" ht="27.75" hidden="1" customHeight="1">
      <c r="A52" s="200"/>
      <c r="B52" s="200"/>
      <c r="C52" s="200"/>
      <c r="D52" s="1819" t="s">
        <v>659</v>
      </c>
      <c r="E52" s="1819"/>
      <c r="F52" s="1819"/>
      <c r="G52" s="1819"/>
      <c r="H52" s="1819"/>
      <c r="I52" s="1819"/>
      <c r="J52" s="643"/>
      <c r="K52" s="200"/>
      <c r="L52" s="200"/>
      <c r="M52" s="200"/>
      <c r="N52" s="200"/>
      <c r="O52" s="200"/>
      <c r="P52" s="200"/>
      <c r="Q52" s="200"/>
      <c r="R52" s="200"/>
      <c r="S52" s="200"/>
      <c r="T52" s="200"/>
      <c r="U52" s="200"/>
      <c r="V52" s="671" t="s">
        <v>687</v>
      </c>
      <c r="W52" s="198"/>
      <c r="X52" s="199"/>
      <c r="Y52" s="163"/>
      <c r="Z52" s="164"/>
      <c r="AA52" s="194"/>
      <c r="AB52" s="194"/>
      <c r="AC52" s="194"/>
      <c r="AD52" s="165"/>
      <c r="AE52" s="166"/>
      <c r="AF52" s="201"/>
      <c r="AG52" s="201"/>
      <c r="AH52" s="201"/>
      <c r="AI52" s="201"/>
      <c r="AJ52" s="201"/>
      <c r="AK52" s="201"/>
      <c r="AL52" s="201"/>
      <c r="AM52" s="201"/>
      <c r="AN52" s="201"/>
      <c r="AO52" s="201"/>
      <c r="AP52" s="201"/>
      <c r="AQ52" s="201"/>
      <c r="AR52" s="201"/>
      <c r="AS52" s="201"/>
      <c r="AT52" s="201"/>
      <c r="AU52" s="201"/>
      <c r="AV52" s="201"/>
      <c r="AW52" s="201"/>
      <c r="AX52" s="201"/>
      <c r="AY52" s="201"/>
      <c r="AZ52" s="201"/>
      <c r="BA52" s="167"/>
      <c r="BB52" s="167"/>
      <c r="BC52" s="15"/>
      <c r="BD52" s="9"/>
      <c r="BE52" s="9"/>
      <c r="BF52" s="9"/>
      <c r="BG52" s="26" t="s">
        <v>82</v>
      </c>
      <c r="BH52" s="9">
        <v>600</v>
      </c>
      <c r="BI52" s="26"/>
      <c r="BJ52" s="14" t="s">
        <v>378</v>
      </c>
      <c r="BK52" s="149">
        <f>SUMIFS($AQ$43:$AQ$47,$Y$43:$Y$47,"豚汁")*2</f>
        <v>0</v>
      </c>
      <c r="BL52" s="109"/>
      <c r="BM52" s="95"/>
      <c r="BN52" s="95"/>
      <c r="BO52" s="95"/>
      <c r="BP52" s="95"/>
      <c r="BQ52" s="95"/>
      <c r="BR52" s="95"/>
      <c r="BS52" s="95"/>
      <c r="BT52" s="95"/>
      <c r="BU52" s="95"/>
      <c r="BV52" s="95"/>
      <c r="BW52" s="95"/>
      <c r="DC52" s="485" t="s">
        <v>792</v>
      </c>
      <c r="DD52" s="83">
        <v>180</v>
      </c>
      <c r="DE52" s="667" t="s">
        <v>843</v>
      </c>
    </row>
    <row r="53" spans="1:109" ht="27.75" hidden="1" customHeight="1">
      <c r="A53" s="200"/>
      <c r="B53" s="200"/>
      <c r="C53" s="200"/>
      <c r="D53" s="1819" t="s">
        <v>660</v>
      </c>
      <c r="E53" s="1819"/>
      <c r="F53" s="1819"/>
      <c r="G53" s="1819"/>
      <c r="H53" s="1819"/>
      <c r="I53" s="1819"/>
      <c r="J53" s="643"/>
      <c r="K53" s="200"/>
      <c r="L53" s="200"/>
      <c r="M53" s="200"/>
      <c r="N53" s="200"/>
      <c r="O53" s="200"/>
      <c r="P53" s="200"/>
      <c r="Q53" s="200"/>
      <c r="R53" s="200"/>
      <c r="S53" s="200"/>
      <c r="T53" s="200"/>
      <c r="U53" s="200"/>
      <c r="V53" s="671" t="s">
        <v>688</v>
      </c>
      <c r="W53" s="198"/>
      <c r="X53" s="199"/>
      <c r="Y53" s="163"/>
      <c r="Z53" s="164"/>
      <c r="AA53" s="194"/>
      <c r="AB53" s="194"/>
      <c r="AC53" s="194"/>
      <c r="AD53" s="165"/>
      <c r="AE53" s="166"/>
      <c r="AF53" s="201"/>
      <c r="AG53" s="201"/>
      <c r="AH53" s="201"/>
      <c r="AI53" s="201"/>
      <c r="AJ53" s="201"/>
      <c r="AK53" s="201"/>
      <c r="AL53" s="201"/>
      <c r="AM53" s="201"/>
      <c r="AN53" s="201"/>
      <c r="AO53" s="201"/>
      <c r="AP53" s="201"/>
      <c r="AQ53" s="201"/>
      <c r="AR53" s="201"/>
      <c r="AS53" s="201"/>
      <c r="AT53" s="201"/>
      <c r="AU53" s="201"/>
      <c r="AV53" s="201"/>
      <c r="AW53" s="201"/>
      <c r="AX53" s="201"/>
      <c r="AY53" s="201"/>
      <c r="AZ53" s="201"/>
      <c r="BA53" s="167"/>
      <c r="BB53" s="167"/>
      <c r="BC53" s="60"/>
      <c r="BD53" s="9"/>
      <c r="BE53" s="9"/>
      <c r="BF53" s="9"/>
      <c r="BG53" s="26" t="s">
        <v>83</v>
      </c>
      <c r="BH53" s="9">
        <v>600</v>
      </c>
      <c r="BI53" s="26"/>
      <c r="BJ53" s="14" t="s">
        <v>380</v>
      </c>
      <c r="BK53" s="149">
        <f>SUMIFS($AQ$43:$AQ$47,$X$43:$X$47,"焼きそば")</f>
        <v>0</v>
      </c>
      <c r="BL53" s="109"/>
      <c r="BM53" s="95"/>
      <c r="BN53" s="95"/>
      <c r="BO53" s="95"/>
      <c r="BP53" s="95"/>
      <c r="BQ53" s="95"/>
      <c r="BR53" s="95"/>
      <c r="BS53" s="95"/>
      <c r="BT53" s="95"/>
      <c r="BU53" s="95"/>
      <c r="BV53" s="95"/>
      <c r="BW53" s="95"/>
      <c r="DC53" s="485" t="s">
        <v>793</v>
      </c>
      <c r="DD53" s="83">
        <v>180</v>
      </c>
      <c r="DE53" s="667" t="s">
        <v>844</v>
      </c>
    </row>
    <row r="54" spans="1:109" ht="27.75" hidden="1" customHeight="1">
      <c r="A54" s="200"/>
      <c r="B54" s="200"/>
      <c r="C54" s="200"/>
      <c r="D54" s="1819" t="s">
        <v>661</v>
      </c>
      <c r="E54" s="1819"/>
      <c r="F54" s="1819"/>
      <c r="G54" s="1819"/>
      <c r="H54" s="1819"/>
      <c r="I54" s="1819"/>
      <c r="J54" s="643"/>
      <c r="K54" s="200"/>
      <c r="L54" s="200"/>
      <c r="M54" s="200"/>
      <c r="N54" s="200"/>
      <c r="O54" s="200"/>
      <c r="P54" s="200"/>
      <c r="Q54" s="200"/>
      <c r="R54" s="200"/>
      <c r="S54" s="200"/>
      <c r="T54" s="200"/>
      <c r="U54" s="200"/>
      <c r="V54" s="671" t="s">
        <v>689</v>
      </c>
      <c r="W54" s="198"/>
      <c r="X54" s="199"/>
      <c r="Y54" s="163"/>
      <c r="Z54" s="164"/>
      <c r="AA54" s="194"/>
      <c r="AB54" s="194"/>
      <c r="AC54" s="194"/>
      <c r="AD54" s="165"/>
      <c r="AE54" s="166"/>
      <c r="AF54" s="201"/>
      <c r="AG54" s="201"/>
      <c r="AH54" s="201"/>
      <c r="AI54" s="201"/>
      <c r="AJ54" s="201"/>
      <c r="AK54" s="201"/>
      <c r="AL54" s="201"/>
      <c r="AM54" s="201"/>
      <c r="AN54" s="201"/>
      <c r="AO54" s="201"/>
      <c r="AP54" s="201"/>
      <c r="AQ54" s="201"/>
      <c r="AR54" s="201"/>
      <c r="AS54" s="201"/>
      <c r="AT54" s="201"/>
      <c r="AU54" s="201"/>
      <c r="AV54" s="201"/>
      <c r="AW54" s="201"/>
      <c r="AX54" s="201"/>
      <c r="AY54" s="201"/>
      <c r="AZ54" s="201"/>
      <c r="BA54" s="167"/>
      <c r="BB54" s="167"/>
      <c r="BC54" s="60"/>
      <c r="BD54" s="9"/>
      <c r="BE54" s="9"/>
      <c r="BF54" s="9"/>
      <c r="BG54" s="26" t="s">
        <v>182</v>
      </c>
      <c r="BH54" s="9">
        <v>600</v>
      </c>
      <c r="BI54" s="26"/>
      <c r="BJ54" s="14" t="s">
        <v>379</v>
      </c>
      <c r="BK54" s="149">
        <f>SUMIFS($AQ$43:$AQ$47,$X$43:$X$47,"ホットドッグ")/2</f>
        <v>0</v>
      </c>
      <c r="BL54" s="109"/>
      <c r="BM54" s="95"/>
      <c r="BN54" s="95"/>
      <c r="BO54" s="95"/>
      <c r="BP54" s="95"/>
      <c r="BQ54" s="95"/>
      <c r="BR54" s="95"/>
      <c r="BS54" s="95"/>
      <c r="BT54" s="95"/>
      <c r="BU54" s="95"/>
      <c r="BV54" s="95"/>
      <c r="BW54" s="95"/>
      <c r="DC54" s="14" t="s">
        <v>80</v>
      </c>
      <c r="DD54" s="12"/>
      <c r="DE54" s="667"/>
    </row>
    <row r="55" spans="1:109" ht="27.75" hidden="1" customHeight="1">
      <c r="A55" s="200"/>
      <c r="B55" s="200"/>
      <c r="C55" s="200"/>
      <c r="D55" s="1819" t="s">
        <v>662</v>
      </c>
      <c r="E55" s="1819"/>
      <c r="F55" s="1819"/>
      <c r="G55" s="1819"/>
      <c r="H55" s="1819"/>
      <c r="I55" s="1819"/>
      <c r="J55" s="644"/>
      <c r="K55" s="200"/>
      <c r="L55" s="200"/>
      <c r="M55" s="200"/>
      <c r="N55" s="200"/>
      <c r="O55" s="200"/>
      <c r="P55" s="200"/>
      <c r="Q55" s="200"/>
      <c r="R55" s="200"/>
      <c r="S55" s="200"/>
      <c r="T55" s="200"/>
      <c r="U55" s="200"/>
      <c r="V55" s="672" t="s">
        <v>690</v>
      </c>
      <c r="W55" s="198"/>
      <c r="X55" s="199"/>
      <c r="Y55" s="163"/>
      <c r="Z55" s="164"/>
      <c r="AA55" s="194"/>
      <c r="AB55" s="194"/>
      <c r="AC55" s="194"/>
      <c r="AD55" s="165"/>
      <c r="AE55" s="166"/>
      <c r="AF55" s="201"/>
      <c r="AG55" s="201"/>
      <c r="AH55" s="201"/>
      <c r="AI55" s="201"/>
      <c r="AJ55" s="201"/>
      <c r="AK55" s="201"/>
      <c r="AL55" s="201"/>
      <c r="AM55" s="201"/>
      <c r="AN55" s="201"/>
      <c r="AO55" s="201"/>
      <c r="AP55" s="201"/>
      <c r="AQ55" s="201"/>
      <c r="AR55" s="201"/>
      <c r="AS55" s="201"/>
      <c r="AT55" s="201"/>
      <c r="AU55" s="201"/>
      <c r="AV55" s="201"/>
      <c r="AW55" s="201"/>
      <c r="AX55" s="201"/>
      <c r="AY55" s="201"/>
      <c r="AZ55" s="201"/>
      <c r="BA55" s="167"/>
      <c r="BB55" s="167"/>
      <c r="BC55" s="60"/>
      <c r="BD55" s="9"/>
      <c r="BE55" s="9"/>
      <c r="BF55" s="9"/>
      <c r="BG55" s="26" t="s">
        <v>84</v>
      </c>
      <c r="BH55" s="9">
        <v>600</v>
      </c>
      <c r="BI55" s="26"/>
      <c r="BJ55" s="1866" t="s">
        <v>103</v>
      </c>
      <c r="BK55" s="1867"/>
      <c r="BL55" s="149">
        <f>SUMIFS($AQ$43:$AQ$47,$X$43:$X$47,"ジンギスカン")</f>
        <v>0</v>
      </c>
      <c r="BM55" s="95"/>
      <c r="BN55" s="95"/>
      <c r="BO55" s="95"/>
      <c r="BP55" s="95"/>
      <c r="BQ55" s="95"/>
      <c r="BR55" s="95"/>
      <c r="BS55" s="95"/>
      <c r="BT55" s="95"/>
      <c r="BU55" s="95"/>
      <c r="BV55" s="95"/>
      <c r="BW55" s="95"/>
      <c r="DC55" s="762" t="s">
        <v>81</v>
      </c>
      <c r="DD55" s="761">
        <v>90</v>
      </c>
      <c r="DE55" s="667"/>
    </row>
    <row r="56" spans="1:109" ht="27.75" hidden="1" customHeight="1">
      <c r="A56" s="200"/>
      <c r="B56" s="200"/>
      <c r="C56" s="200"/>
      <c r="D56" s="200"/>
      <c r="E56" s="200"/>
      <c r="F56" s="200"/>
      <c r="G56" s="200"/>
      <c r="H56" s="200"/>
      <c r="I56" s="200"/>
      <c r="J56" s="200"/>
      <c r="K56" s="200"/>
      <c r="L56" s="200"/>
      <c r="M56" s="200"/>
      <c r="N56" s="200"/>
      <c r="O56" s="200"/>
      <c r="P56" s="200"/>
      <c r="Q56" s="200"/>
      <c r="R56" s="200"/>
      <c r="S56" s="200"/>
      <c r="T56" s="200"/>
      <c r="U56" s="200"/>
      <c r="V56" s="673"/>
      <c r="W56" s="198"/>
      <c r="X56" s="199"/>
      <c r="Y56" s="163"/>
      <c r="Z56" s="164"/>
      <c r="AA56" s="194"/>
      <c r="AB56" s="194"/>
      <c r="AC56" s="194"/>
      <c r="AD56" s="165"/>
      <c r="AE56" s="166"/>
      <c r="AF56" s="201"/>
      <c r="AG56" s="201"/>
      <c r="AH56" s="201"/>
      <c r="AI56" s="201"/>
      <c r="AJ56" s="201"/>
      <c r="AK56" s="201"/>
      <c r="AL56" s="201"/>
      <c r="AM56" s="201"/>
      <c r="AN56" s="201"/>
      <c r="AO56" s="201"/>
      <c r="AP56" s="201"/>
      <c r="AQ56" s="201"/>
      <c r="AR56" s="201"/>
      <c r="AS56" s="201"/>
      <c r="AT56" s="201"/>
      <c r="AU56" s="201"/>
      <c r="AV56" s="201"/>
      <c r="AW56" s="201"/>
      <c r="AX56" s="201"/>
      <c r="AY56" s="201"/>
      <c r="AZ56" s="201"/>
      <c r="BA56" s="167"/>
      <c r="BB56" s="167"/>
      <c r="BC56" s="3"/>
      <c r="BD56" s="9"/>
      <c r="BE56" s="9"/>
      <c r="BF56" s="9"/>
      <c r="BG56" s="26" t="s">
        <v>181</v>
      </c>
      <c r="BH56" s="9">
        <v>750</v>
      </c>
      <c r="BI56" s="26"/>
      <c r="BJ56" s="279" t="s">
        <v>498</v>
      </c>
      <c r="BK56" s="6">
        <f>SUMIFS($AQ$43:$AQ$47,$X$43:$X$47,"カレーライス")*-1</f>
        <v>0</v>
      </c>
      <c r="BL56" s="6"/>
      <c r="BM56" s="95"/>
      <c r="BN56" s="95"/>
      <c r="BO56" s="95"/>
      <c r="BP56" s="95"/>
      <c r="BQ56" s="95"/>
      <c r="BR56" s="95"/>
      <c r="BS56" s="95"/>
      <c r="BT56" s="95"/>
      <c r="BU56" s="95"/>
      <c r="BV56" s="95"/>
      <c r="BW56" s="95"/>
      <c r="DC56" s="91" t="s">
        <v>782</v>
      </c>
      <c r="DD56" s="89">
        <v>780</v>
      </c>
      <c r="DE56" s="667" t="s">
        <v>845</v>
      </c>
    </row>
    <row r="57" spans="1:109" ht="27.75" hidden="1" customHeight="1">
      <c r="A57" s="200"/>
      <c r="B57" s="200"/>
      <c r="C57" s="200"/>
      <c r="D57" s="1820" t="s">
        <v>663</v>
      </c>
      <c r="E57" s="1820"/>
      <c r="F57" s="1820"/>
      <c r="G57" s="1820"/>
      <c r="H57" s="645"/>
      <c r="I57" s="645"/>
      <c r="J57" s="200"/>
      <c r="K57" s="200"/>
      <c r="L57" s="200"/>
      <c r="M57" s="200"/>
      <c r="N57" s="200"/>
      <c r="O57" s="200"/>
      <c r="P57" s="200"/>
      <c r="Q57" s="200"/>
      <c r="R57" s="200"/>
      <c r="S57" s="200"/>
      <c r="T57" s="200"/>
      <c r="U57" s="200"/>
      <c r="V57" s="673"/>
      <c r="W57" s="198"/>
      <c r="X57" s="199"/>
      <c r="Y57" s="163"/>
      <c r="Z57" s="164"/>
      <c r="AA57" s="194"/>
      <c r="AB57" s="194"/>
      <c r="AC57" s="194"/>
      <c r="AD57" s="165"/>
      <c r="AE57" s="166"/>
      <c r="AF57" s="201"/>
      <c r="AG57" s="201"/>
      <c r="AH57" s="201"/>
      <c r="AI57" s="201"/>
      <c r="AJ57" s="201"/>
      <c r="AK57" s="201"/>
      <c r="AL57" s="201"/>
      <c r="AM57" s="201"/>
      <c r="AN57" s="201"/>
      <c r="AO57" s="201"/>
      <c r="AP57" s="201"/>
      <c r="AQ57" s="201"/>
      <c r="AR57" s="201"/>
      <c r="AS57" s="201"/>
      <c r="AT57" s="201"/>
      <c r="AU57" s="201"/>
      <c r="AV57" s="201"/>
      <c r="AW57" s="201"/>
      <c r="AX57" s="201"/>
      <c r="AY57" s="201"/>
      <c r="AZ57" s="201"/>
      <c r="BA57" s="167"/>
      <c r="BB57" s="167"/>
      <c r="BC57" s="15"/>
      <c r="BD57" s="9"/>
      <c r="BE57" s="9"/>
      <c r="BF57" s="9"/>
      <c r="BG57" s="26" t="s">
        <v>85</v>
      </c>
      <c r="BH57" s="9">
        <v>100</v>
      </c>
      <c r="BI57" s="9"/>
      <c r="BJ57" s="14" t="s">
        <v>99</v>
      </c>
      <c r="BK57" s="12">
        <f>SUM(BK50:BK54,BK56)</f>
        <v>0</v>
      </c>
      <c r="BL57" s="109">
        <f>BL55</f>
        <v>0</v>
      </c>
      <c r="BM57" s="95"/>
      <c r="BN57" s="95"/>
      <c r="BO57" s="95"/>
      <c r="BP57" s="95"/>
      <c r="BQ57" s="95"/>
      <c r="BR57" s="95"/>
      <c r="BS57" s="95"/>
      <c r="BT57" s="95"/>
      <c r="BU57" s="95"/>
      <c r="BV57" s="95"/>
      <c r="BW57" s="95"/>
      <c r="DC57" s="762" t="s">
        <v>82</v>
      </c>
      <c r="DD57" s="761">
        <v>600</v>
      </c>
      <c r="DE57" s="667"/>
    </row>
    <row r="58" spans="1:109" ht="27.75" hidden="1" customHeight="1">
      <c r="A58" s="168"/>
      <c r="B58" s="169"/>
      <c r="C58" s="169"/>
      <c r="D58" s="1821" t="s">
        <v>664</v>
      </c>
      <c r="E58" s="1821"/>
      <c r="F58" s="1821"/>
      <c r="G58" s="1821"/>
      <c r="H58" s="1821"/>
      <c r="I58" s="1821"/>
      <c r="J58" s="718"/>
      <c r="K58" s="193" t="s">
        <v>656</v>
      </c>
      <c r="L58" s="641" t="s">
        <v>657</v>
      </c>
      <c r="M58" s="155"/>
      <c r="N58" s="155"/>
      <c r="O58" s="155"/>
      <c r="P58" s="155"/>
      <c r="Q58" s="155"/>
      <c r="R58" s="170"/>
      <c r="S58" s="202"/>
      <c r="T58" s="202"/>
      <c r="U58" s="151"/>
      <c r="V58" s="669" t="s">
        <v>691</v>
      </c>
      <c r="W58" s="193" t="s">
        <v>656</v>
      </c>
      <c r="X58" s="641" t="s">
        <v>671</v>
      </c>
      <c r="Y58" s="163"/>
      <c r="Z58" s="164"/>
      <c r="AA58" s="194"/>
      <c r="AB58" s="194"/>
      <c r="AC58" s="194"/>
      <c r="AD58" s="165"/>
      <c r="AE58" s="166"/>
      <c r="AF58" s="201"/>
      <c r="AG58" s="201"/>
      <c r="AH58" s="201"/>
      <c r="AI58" s="201"/>
      <c r="AJ58" s="201"/>
      <c r="AK58" s="201"/>
      <c r="AL58" s="201"/>
      <c r="AM58" s="201"/>
      <c r="AN58" s="201"/>
      <c r="AO58" s="201"/>
      <c r="AP58" s="201"/>
      <c r="AQ58" s="201"/>
      <c r="AR58" s="201"/>
      <c r="AS58" s="201"/>
      <c r="AT58" s="201"/>
      <c r="AU58" s="201"/>
      <c r="AV58" s="201"/>
      <c r="AW58" s="201"/>
      <c r="AX58" s="201"/>
      <c r="AY58" s="201"/>
      <c r="AZ58" s="201"/>
      <c r="BA58" s="167"/>
      <c r="BB58" s="167"/>
      <c r="BC58" s="15"/>
      <c r="BD58" s="9"/>
      <c r="BE58" s="9"/>
      <c r="BF58" s="9"/>
      <c r="BG58" s="26" t="s">
        <v>183</v>
      </c>
      <c r="BH58" s="9">
        <v>50</v>
      </c>
      <c r="BI58" s="9"/>
      <c r="BJ58" s="10"/>
      <c r="BK58" s="9"/>
      <c r="BL58" s="95"/>
      <c r="BM58" s="95"/>
      <c r="BN58" s="95"/>
      <c r="BO58" s="95"/>
      <c r="BP58" s="95"/>
      <c r="BQ58" s="95"/>
      <c r="BR58" s="95"/>
      <c r="BS58" s="95"/>
      <c r="BT58" s="95"/>
      <c r="BU58" s="95"/>
      <c r="BV58" s="95"/>
      <c r="BW58" s="95"/>
      <c r="DC58" s="109" t="s">
        <v>787</v>
      </c>
      <c r="DD58" s="89">
        <v>560</v>
      </c>
      <c r="DE58" s="667" t="s">
        <v>849</v>
      </c>
    </row>
    <row r="59" spans="1:109" ht="27.75" hidden="1" customHeight="1">
      <c r="A59" s="203"/>
      <c r="B59" s="203"/>
      <c r="C59" s="204"/>
      <c r="D59" s="1821" t="s">
        <v>665</v>
      </c>
      <c r="E59" s="1821"/>
      <c r="F59" s="1821"/>
      <c r="G59" s="1821"/>
      <c r="H59" s="1821"/>
      <c r="I59" s="1821"/>
      <c r="J59" s="642"/>
      <c r="K59" s="205"/>
      <c r="L59" s="205"/>
      <c r="M59" s="205"/>
      <c r="N59" s="205"/>
      <c r="O59" s="205"/>
      <c r="P59" s="205"/>
      <c r="Q59" s="205"/>
      <c r="R59" s="171"/>
      <c r="S59" s="171"/>
      <c r="T59" s="172"/>
      <c r="U59" s="151"/>
      <c r="V59" s="670" t="s">
        <v>692</v>
      </c>
      <c r="Y59" s="163"/>
      <c r="Z59" s="164"/>
      <c r="AA59" s="194"/>
      <c r="AB59" s="194"/>
      <c r="AC59" s="194"/>
      <c r="AD59" s="165"/>
      <c r="AE59" s="166"/>
      <c r="AF59" s="201"/>
      <c r="AG59" s="201"/>
      <c r="AH59" s="201"/>
      <c r="AI59" s="201"/>
      <c r="AJ59" s="201"/>
      <c r="AK59" s="201"/>
      <c r="AL59" s="201"/>
      <c r="AM59" s="201"/>
      <c r="AN59" s="201"/>
      <c r="AO59" s="201"/>
      <c r="AP59" s="201"/>
      <c r="AQ59" s="201"/>
      <c r="AR59" s="201"/>
      <c r="AS59" s="201"/>
      <c r="AT59" s="201"/>
      <c r="AU59" s="201"/>
      <c r="AV59" s="201"/>
      <c r="AW59" s="201"/>
      <c r="AX59" s="201"/>
      <c r="AY59" s="201"/>
      <c r="AZ59" s="201"/>
      <c r="BA59" s="167"/>
      <c r="BB59" s="167"/>
      <c r="BC59" s="15"/>
      <c r="BD59" s="9"/>
      <c r="BE59" s="9"/>
      <c r="BF59" s="9"/>
      <c r="BG59" s="26" t="s">
        <v>184</v>
      </c>
      <c r="BH59" s="9">
        <v>70</v>
      </c>
      <c r="BI59" s="9"/>
      <c r="BJ59" s="10"/>
      <c r="BK59" s="9"/>
      <c r="BL59" s="95"/>
      <c r="BM59" s="95"/>
      <c r="BN59" s="95"/>
      <c r="BO59" s="95"/>
      <c r="BP59" s="95"/>
      <c r="BQ59" s="95"/>
      <c r="BR59" s="95"/>
      <c r="BS59" s="95"/>
      <c r="BT59" s="95"/>
      <c r="BU59" s="95"/>
      <c r="BV59" s="95"/>
      <c r="BW59" s="95"/>
      <c r="DC59" s="109"/>
      <c r="DD59" s="89"/>
      <c r="DE59" s="667"/>
    </row>
    <row r="60" spans="1:109" ht="27.75" hidden="1" customHeight="1">
      <c r="A60" s="203"/>
      <c r="B60" s="203"/>
      <c r="C60" s="204"/>
      <c r="D60" s="1821" t="s">
        <v>666</v>
      </c>
      <c r="E60" s="1821"/>
      <c r="F60" s="1821"/>
      <c r="G60" s="1821"/>
      <c r="H60" s="1821"/>
      <c r="I60" s="1821"/>
      <c r="J60" s="643"/>
      <c r="K60" s="205"/>
      <c r="L60" s="205"/>
      <c r="M60" s="205"/>
      <c r="N60" s="205"/>
      <c r="O60" s="205"/>
      <c r="P60" s="205"/>
      <c r="Q60" s="205"/>
      <c r="R60" s="171"/>
      <c r="S60" s="171"/>
      <c r="T60" s="172"/>
      <c r="U60" s="151"/>
      <c r="V60" s="671" t="s">
        <v>693</v>
      </c>
      <c r="W60" s="198"/>
      <c r="X60" s="199"/>
      <c r="Y60" s="163"/>
      <c r="Z60" s="164"/>
      <c r="AA60" s="194"/>
      <c r="AB60" s="194"/>
      <c r="AC60" s="194"/>
      <c r="AD60" s="165"/>
      <c r="AE60" s="166"/>
      <c r="AF60" s="201"/>
      <c r="AG60" s="201"/>
      <c r="AH60" s="201"/>
      <c r="AI60" s="201"/>
      <c r="AJ60" s="201"/>
      <c r="AK60" s="201"/>
      <c r="AL60" s="201"/>
      <c r="AM60" s="201"/>
      <c r="AN60" s="201"/>
      <c r="AO60" s="201"/>
      <c r="AP60" s="201"/>
      <c r="AQ60" s="201"/>
      <c r="AR60" s="201"/>
      <c r="AS60" s="201"/>
      <c r="AT60" s="201"/>
      <c r="AU60" s="201"/>
      <c r="AV60" s="201"/>
      <c r="AW60" s="201"/>
      <c r="AX60" s="201"/>
      <c r="AY60" s="201"/>
      <c r="AZ60" s="201"/>
      <c r="BA60" s="167"/>
      <c r="BB60" s="167"/>
      <c r="BC60" s="15"/>
      <c r="BD60" s="9"/>
      <c r="BE60" s="9"/>
      <c r="BF60" s="9"/>
      <c r="BG60" s="26" t="s">
        <v>186</v>
      </c>
      <c r="BH60" s="9">
        <v>110</v>
      </c>
      <c r="BI60" s="9"/>
      <c r="BJ60" s="10"/>
      <c r="BK60" s="9"/>
      <c r="BL60" s="95"/>
      <c r="BM60" s="95"/>
      <c r="BN60" s="95"/>
      <c r="BO60" s="95"/>
      <c r="BP60" s="95"/>
      <c r="BQ60" s="95"/>
      <c r="BR60" s="95"/>
      <c r="BS60" s="95"/>
      <c r="BT60" s="95"/>
      <c r="BU60" s="95"/>
      <c r="BV60" s="95"/>
      <c r="BW60" s="95"/>
      <c r="DC60" s="762" t="s">
        <v>182</v>
      </c>
      <c r="DD60" s="761">
        <v>600</v>
      </c>
      <c r="DE60" s="667"/>
    </row>
    <row r="61" spans="1:109" ht="27.75" hidden="1" customHeight="1">
      <c r="A61" s="203"/>
      <c r="B61" s="203"/>
      <c r="C61" s="204"/>
      <c r="D61" s="1821" t="s">
        <v>667</v>
      </c>
      <c r="E61" s="1821"/>
      <c r="F61" s="1821"/>
      <c r="G61" s="1821"/>
      <c r="H61" s="1821"/>
      <c r="I61" s="1821"/>
      <c r="J61" s="643"/>
      <c r="K61" s="205"/>
      <c r="L61" s="205"/>
      <c r="M61" s="205"/>
      <c r="N61" s="205"/>
      <c r="O61" s="205"/>
      <c r="P61" s="205"/>
      <c r="Q61" s="205"/>
      <c r="R61" s="171"/>
      <c r="S61" s="171"/>
      <c r="T61" s="172"/>
      <c r="U61" s="151"/>
      <c r="V61" s="671" t="s">
        <v>694</v>
      </c>
      <c r="W61" s="198"/>
      <c r="X61" s="199"/>
      <c r="Y61" s="163"/>
      <c r="Z61" s="164"/>
      <c r="AA61" s="194"/>
      <c r="AB61" s="194"/>
      <c r="AC61" s="194"/>
      <c r="AD61" s="165"/>
      <c r="AE61" s="166"/>
      <c r="AF61" s="201"/>
      <c r="AG61" s="201"/>
      <c r="AH61" s="201"/>
      <c r="AI61" s="201"/>
      <c r="AJ61" s="201"/>
      <c r="AK61" s="201"/>
      <c r="AL61" s="201"/>
      <c r="AM61" s="201"/>
      <c r="AN61" s="201"/>
      <c r="AO61" s="201"/>
      <c r="AP61" s="201"/>
      <c r="AQ61" s="201"/>
      <c r="AR61" s="201"/>
      <c r="AS61" s="201"/>
      <c r="AT61" s="201"/>
      <c r="AU61" s="201"/>
      <c r="AV61" s="201"/>
      <c r="AW61" s="201"/>
      <c r="AX61" s="201"/>
      <c r="AY61" s="201"/>
      <c r="AZ61" s="201"/>
      <c r="BA61" s="167"/>
      <c r="BB61" s="167"/>
      <c r="BC61" s="15"/>
      <c r="BD61" s="9"/>
      <c r="BE61" s="9"/>
      <c r="BF61" s="9"/>
      <c r="BG61" s="26"/>
      <c r="BH61" s="9"/>
      <c r="BI61" s="9"/>
      <c r="BJ61" s="10"/>
      <c r="BK61" s="9"/>
      <c r="BL61" s="95"/>
      <c r="BM61" s="95"/>
      <c r="BN61" s="95"/>
      <c r="BO61" s="95"/>
      <c r="BP61" s="95"/>
      <c r="BQ61" s="95"/>
      <c r="BR61" s="95"/>
      <c r="BS61" s="95"/>
      <c r="BT61" s="95"/>
      <c r="BU61" s="95"/>
      <c r="BV61" s="95"/>
      <c r="BW61" s="95"/>
      <c r="DC61" s="725" t="s">
        <v>794</v>
      </c>
      <c r="DD61" s="89">
        <v>670</v>
      </c>
      <c r="DE61" s="667" t="s">
        <v>846</v>
      </c>
    </row>
    <row r="62" spans="1:109" ht="27.75" hidden="1" customHeight="1">
      <c r="A62" s="203"/>
      <c r="B62" s="203"/>
      <c r="C62" s="204"/>
      <c r="D62" s="1821" t="s">
        <v>668</v>
      </c>
      <c r="E62" s="1821"/>
      <c r="F62" s="1821"/>
      <c r="G62" s="1821"/>
      <c r="H62" s="1821"/>
      <c r="I62" s="1821"/>
      <c r="J62" s="643"/>
      <c r="K62" s="205"/>
      <c r="L62" s="205"/>
      <c r="M62" s="205"/>
      <c r="N62" s="205"/>
      <c r="O62" s="205"/>
      <c r="P62" s="205"/>
      <c r="Q62" s="205"/>
      <c r="R62" s="171"/>
      <c r="S62" s="171"/>
      <c r="T62" s="172"/>
      <c r="U62" s="151"/>
      <c r="V62" s="671" t="s">
        <v>695</v>
      </c>
      <c r="W62" s="198"/>
      <c r="X62" s="199"/>
      <c r="Y62" s="163"/>
      <c r="Z62" s="164"/>
      <c r="AA62" s="194"/>
      <c r="AB62" s="194"/>
      <c r="AC62" s="194"/>
      <c r="AD62" s="165"/>
      <c r="AE62" s="166"/>
      <c r="AF62" s="201"/>
      <c r="AG62" s="201"/>
      <c r="AH62" s="201"/>
      <c r="AI62" s="201"/>
      <c r="AJ62" s="201"/>
      <c r="AK62" s="201"/>
      <c r="AL62" s="201"/>
      <c r="AM62" s="201"/>
      <c r="AN62" s="201"/>
      <c r="AO62" s="201"/>
      <c r="AP62" s="201"/>
      <c r="AQ62" s="201"/>
      <c r="AR62" s="201"/>
      <c r="AS62" s="201"/>
      <c r="AT62" s="201"/>
      <c r="AU62" s="201"/>
      <c r="AV62" s="201"/>
      <c r="AW62" s="201"/>
      <c r="AX62" s="201"/>
      <c r="AY62" s="201"/>
      <c r="AZ62" s="201"/>
      <c r="BA62" s="167"/>
      <c r="BB62" s="167"/>
      <c r="BC62" s="15"/>
      <c r="BD62" s="9"/>
      <c r="BE62" s="9"/>
      <c r="BF62" s="9"/>
      <c r="BG62" s="10"/>
      <c r="BH62" s="9"/>
      <c r="BI62" s="9"/>
      <c r="BJ62" s="10"/>
      <c r="BK62" s="9"/>
      <c r="BL62" s="95"/>
      <c r="BM62" s="95"/>
      <c r="BN62" s="95"/>
      <c r="BO62" s="95"/>
      <c r="BP62" s="95"/>
      <c r="BQ62" s="95"/>
      <c r="BR62" s="95"/>
      <c r="BS62" s="95"/>
      <c r="BT62" s="95"/>
      <c r="BU62" s="95"/>
      <c r="BV62" s="95"/>
      <c r="BW62" s="95"/>
      <c r="DC62" s="91" t="s">
        <v>784</v>
      </c>
      <c r="DD62" s="89">
        <v>670</v>
      </c>
      <c r="DE62" s="667" t="s">
        <v>847</v>
      </c>
    </row>
    <row r="63" spans="1:109" ht="27.75" hidden="1" customHeight="1">
      <c r="A63" s="203"/>
      <c r="B63" s="203"/>
      <c r="C63" s="204"/>
      <c r="D63" s="1821" t="s">
        <v>669</v>
      </c>
      <c r="E63" s="1821"/>
      <c r="F63" s="1821"/>
      <c r="G63" s="1821"/>
      <c r="H63" s="1821"/>
      <c r="I63" s="1821"/>
      <c r="J63" s="644"/>
      <c r="K63" s="205"/>
      <c r="L63" s="205"/>
      <c r="M63" s="205"/>
      <c r="N63" s="205"/>
      <c r="O63" s="205"/>
      <c r="P63" s="205"/>
      <c r="Q63" s="205"/>
      <c r="R63" s="171"/>
      <c r="S63" s="171"/>
      <c r="T63" s="172"/>
      <c r="U63" s="153"/>
      <c r="V63" s="672" t="s">
        <v>696</v>
      </c>
      <c r="W63" s="198"/>
      <c r="X63" s="199"/>
      <c r="Y63" s="163"/>
      <c r="Z63" s="164"/>
      <c r="AA63" s="194"/>
      <c r="AB63" s="194"/>
      <c r="AC63" s="194"/>
      <c r="AD63" s="165"/>
      <c r="AE63" s="166"/>
      <c r="AF63" s="201"/>
      <c r="AG63" s="201"/>
      <c r="AH63" s="201"/>
      <c r="AI63" s="201"/>
      <c r="AJ63" s="201"/>
      <c r="AK63" s="201"/>
      <c r="AL63" s="201"/>
      <c r="AM63" s="201"/>
      <c r="AN63" s="201"/>
      <c r="AO63" s="201"/>
      <c r="AP63" s="201"/>
      <c r="AQ63" s="201"/>
      <c r="AR63" s="201"/>
      <c r="AS63" s="201"/>
      <c r="AT63" s="201"/>
      <c r="AU63" s="201"/>
      <c r="AV63" s="201"/>
      <c r="AW63" s="201"/>
      <c r="AX63" s="201"/>
      <c r="AY63" s="201"/>
      <c r="AZ63" s="201"/>
      <c r="BA63" s="167"/>
      <c r="BB63" s="167"/>
      <c r="BC63" s="15"/>
      <c r="BD63" s="9"/>
      <c r="BE63" s="9"/>
      <c r="BF63" s="9"/>
      <c r="BG63" s="26"/>
      <c r="BH63" s="9"/>
      <c r="BI63" s="9"/>
      <c r="BJ63" s="10"/>
      <c r="BK63" s="9"/>
      <c r="BL63" s="95"/>
      <c r="BM63" s="95"/>
      <c r="BN63" s="95"/>
      <c r="BO63" s="95"/>
      <c r="BP63" s="95"/>
      <c r="BQ63" s="95"/>
      <c r="BR63" s="95"/>
      <c r="BS63" s="95"/>
      <c r="BT63" s="95"/>
      <c r="BU63" s="95"/>
      <c r="BV63" s="95"/>
      <c r="BW63" s="95"/>
      <c r="DC63" s="762" t="s">
        <v>181</v>
      </c>
      <c r="DD63" s="761">
        <v>1200</v>
      </c>
      <c r="DE63" s="667" t="s">
        <v>697</v>
      </c>
    </row>
    <row r="64" spans="1:109" ht="27.75" hidden="1" customHeight="1">
      <c r="A64" s="206"/>
      <c r="B64" s="206"/>
      <c r="C64" s="206"/>
      <c r="D64" s="206"/>
      <c r="E64" s="206"/>
      <c r="F64" s="206"/>
      <c r="G64" s="206"/>
      <c r="H64" s="206"/>
      <c r="I64" s="206"/>
      <c r="J64" s="646"/>
      <c r="K64" s="646"/>
      <c r="L64" s="646"/>
      <c r="M64" s="206"/>
      <c r="N64" s="206"/>
      <c r="O64" s="206"/>
      <c r="P64" s="206"/>
      <c r="Q64" s="206"/>
      <c r="R64" s="206"/>
      <c r="S64" s="206"/>
      <c r="T64" s="206"/>
      <c r="U64" s="206"/>
      <c r="V64" s="674"/>
      <c r="W64" s="198"/>
      <c r="X64" s="199"/>
      <c r="Y64" s="163"/>
      <c r="Z64" s="164"/>
      <c r="AA64" s="194"/>
      <c r="AB64" s="194"/>
      <c r="AC64" s="194"/>
      <c r="AD64" s="165"/>
      <c r="AE64" s="166"/>
      <c r="AF64" s="201"/>
      <c r="AG64" s="201"/>
      <c r="AH64" s="201"/>
      <c r="AI64" s="201"/>
      <c r="AJ64" s="201"/>
      <c r="AK64" s="201"/>
      <c r="AL64" s="201"/>
      <c r="AM64" s="201"/>
      <c r="AN64" s="201"/>
      <c r="AO64" s="201"/>
      <c r="AP64" s="201"/>
      <c r="AQ64" s="201"/>
      <c r="AR64" s="201"/>
      <c r="AS64" s="201"/>
      <c r="AT64" s="201"/>
      <c r="AU64" s="201"/>
      <c r="AV64" s="201"/>
      <c r="AW64" s="201"/>
      <c r="AX64" s="201"/>
      <c r="AY64" s="201"/>
      <c r="AZ64" s="201"/>
      <c r="BA64" s="167"/>
      <c r="BB64" s="167"/>
      <c r="BC64" s="15"/>
      <c r="BD64" s="9"/>
      <c r="BE64" s="9"/>
      <c r="BF64" s="9"/>
      <c r="BG64" s="26"/>
      <c r="BH64" s="9"/>
      <c r="BI64" s="9"/>
      <c r="BJ64" s="10"/>
      <c r="BK64" s="9"/>
      <c r="BL64" s="95"/>
      <c r="BM64" s="95"/>
      <c r="BN64" s="95"/>
      <c r="BO64" s="95"/>
      <c r="BP64" s="95"/>
      <c r="BQ64" s="95"/>
      <c r="BR64" s="95"/>
      <c r="BS64" s="95"/>
      <c r="BT64" s="95"/>
      <c r="BU64" s="95"/>
      <c r="BV64" s="95"/>
      <c r="BW64" s="95"/>
      <c r="DC64" s="91" t="s">
        <v>822</v>
      </c>
      <c r="DD64" s="89">
        <v>150</v>
      </c>
      <c r="DE64" s="667" t="s">
        <v>848</v>
      </c>
    </row>
    <row r="65" spans="1:109" ht="27.75" hidden="1" customHeight="1">
      <c r="A65" s="206"/>
      <c r="B65" s="206"/>
      <c r="C65" s="206"/>
      <c r="D65" s="1820" t="s">
        <v>670</v>
      </c>
      <c r="E65" s="1820"/>
      <c r="F65" s="1820"/>
      <c r="G65" s="1820"/>
      <c r="H65" s="206"/>
      <c r="I65" s="206"/>
      <c r="J65" s="717"/>
      <c r="K65" s="193" t="s">
        <v>656</v>
      </c>
      <c r="L65" s="641" t="s">
        <v>657</v>
      </c>
      <c r="M65" s="206"/>
      <c r="N65" s="206"/>
      <c r="O65" s="206"/>
      <c r="P65" s="206"/>
      <c r="Q65" s="206"/>
      <c r="R65" s="206"/>
      <c r="S65" s="206"/>
      <c r="T65" s="206"/>
      <c r="U65" s="206"/>
      <c r="V65" s="672" t="s">
        <v>699</v>
      </c>
      <c r="W65" s="193" t="s">
        <v>656</v>
      </c>
      <c r="X65" s="641" t="s">
        <v>671</v>
      </c>
      <c r="Y65" s="163"/>
      <c r="Z65" s="164"/>
      <c r="AA65" s="194"/>
      <c r="AB65" s="194"/>
      <c r="AC65" s="194"/>
      <c r="AD65" s="165"/>
      <c r="AE65" s="166"/>
      <c r="AF65" s="201"/>
      <c r="AG65" s="201"/>
      <c r="AH65" s="201"/>
      <c r="AI65" s="201"/>
      <c r="AJ65" s="201"/>
      <c r="AK65" s="201"/>
      <c r="AL65" s="201"/>
      <c r="AM65" s="201"/>
      <c r="AN65" s="201"/>
      <c r="AO65" s="201"/>
      <c r="AP65" s="201"/>
      <c r="AQ65" s="201"/>
      <c r="AR65" s="201"/>
      <c r="AS65" s="201"/>
      <c r="AT65" s="201"/>
      <c r="AU65" s="201"/>
      <c r="AV65" s="201"/>
      <c r="AW65" s="201"/>
      <c r="AX65" s="201"/>
      <c r="AY65" s="201"/>
      <c r="AZ65" s="201"/>
      <c r="BA65" s="167"/>
      <c r="BB65" s="167"/>
      <c r="BC65" s="15"/>
      <c r="BD65" s="9"/>
      <c r="BE65" s="9"/>
      <c r="BF65" s="9"/>
      <c r="BG65" s="26"/>
      <c r="BH65" s="9"/>
      <c r="BI65" s="9"/>
      <c r="BJ65" s="10"/>
      <c r="BK65" s="9"/>
      <c r="BL65" s="95"/>
      <c r="BM65" s="95"/>
      <c r="BN65" s="95"/>
      <c r="BO65" s="95"/>
      <c r="BP65" s="95"/>
      <c r="BQ65" s="95"/>
      <c r="BR65" s="95"/>
      <c r="BS65" s="95"/>
      <c r="BT65" s="95"/>
      <c r="BU65" s="95"/>
      <c r="BV65" s="95"/>
      <c r="BW65" s="95"/>
      <c r="DC65" s="725" t="s">
        <v>785</v>
      </c>
      <c r="DD65" s="89">
        <v>60</v>
      </c>
      <c r="DE65" s="667" t="s">
        <v>850</v>
      </c>
    </row>
    <row r="66" spans="1:109" ht="27.75" hidden="1" customHeight="1">
      <c r="A66" s="206"/>
      <c r="B66" s="206"/>
      <c r="C66" s="206"/>
      <c r="D66" s="206"/>
      <c r="E66" s="206"/>
      <c r="F66" s="206"/>
      <c r="G66" s="206"/>
      <c r="H66" s="206"/>
      <c r="I66" s="206"/>
      <c r="J66" s="206"/>
      <c r="K66" s="206"/>
      <c r="L66" s="206"/>
      <c r="M66" s="206"/>
      <c r="N66" s="206"/>
      <c r="O66" s="206"/>
      <c r="P66" s="206"/>
      <c r="Q66" s="206"/>
      <c r="R66" s="206"/>
      <c r="S66" s="206"/>
      <c r="T66" s="206"/>
      <c r="U66" s="206"/>
      <c r="V66" s="661"/>
      <c r="W66" s="198"/>
      <c r="X66" s="199"/>
      <c r="Y66" s="163"/>
      <c r="Z66" s="164"/>
      <c r="AA66" s="194"/>
      <c r="AB66" s="194"/>
      <c r="AC66" s="194"/>
      <c r="AD66" s="165"/>
      <c r="AE66" s="166"/>
      <c r="AF66" s="201"/>
      <c r="AG66" s="201"/>
      <c r="AH66" s="201"/>
      <c r="AI66" s="201"/>
      <c r="AJ66" s="201"/>
      <c r="AK66" s="201"/>
      <c r="AL66" s="201"/>
      <c r="AM66" s="201"/>
      <c r="AN66" s="201"/>
      <c r="AO66" s="201"/>
      <c r="AP66" s="201"/>
      <c r="AQ66" s="201"/>
      <c r="AR66" s="201"/>
      <c r="AS66" s="201"/>
      <c r="AT66" s="201"/>
      <c r="AU66" s="201"/>
      <c r="AV66" s="201"/>
      <c r="AW66" s="201"/>
      <c r="AX66" s="201"/>
      <c r="AY66" s="201"/>
      <c r="AZ66" s="201"/>
      <c r="BA66" s="167"/>
      <c r="BB66" s="167"/>
      <c r="BC66" s="15"/>
      <c r="BD66" s="9"/>
      <c r="BE66" s="9"/>
      <c r="BF66" s="9"/>
      <c r="BG66" s="26"/>
      <c r="BH66" s="9"/>
      <c r="BI66" s="9"/>
      <c r="BJ66" s="10"/>
      <c r="BK66" s="9"/>
      <c r="BL66" s="95"/>
      <c r="BM66" s="95"/>
      <c r="BN66" s="95"/>
      <c r="BO66" s="95"/>
      <c r="BP66" s="95"/>
      <c r="BQ66" s="95"/>
      <c r="BR66" s="95"/>
      <c r="BS66" s="95"/>
      <c r="BT66" s="95"/>
      <c r="BU66" s="95"/>
      <c r="BV66" s="95"/>
      <c r="BW66" s="95"/>
      <c r="DC66" s="762" t="s">
        <v>786</v>
      </c>
      <c r="DD66" s="761">
        <v>50</v>
      </c>
      <c r="DE66" s="667" t="s">
        <v>851</v>
      </c>
    </row>
    <row r="67" spans="1:109" ht="27.75" hidden="1" customHeight="1">
      <c r="A67" s="206"/>
      <c r="B67" s="206"/>
      <c r="C67" s="206"/>
      <c r="D67" s="707" t="s">
        <v>751</v>
      </c>
      <c r="E67" s="206"/>
      <c r="F67" s="206"/>
      <c r="G67" s="206"/>
      <c r="H67" s="206"/>
      <c r="I67" s="206"/>
      <c r="J67" s="708">
        <f>SUM(M68:M73)</f>
        <v>0</v>
      </c>
      <c r="K67" s="206"/>
      <c r="L67" s="206"/>
      <c r="M67" s="206"/>
      <c r="N67" s="206"/>
      <c r="O67" s="206"/>
      <c r="P67" s="206"/>
      <c r="Q67" s="206"/>
      <c r="R67" s="206"/>
      <c r="S67" s="206"/>
      <c r="T67" s="206"/>
      <c r="U67" s="206"/>
      <c r="V67" s="661"/>
      <c r="W67" s="198"/>
      <c r="X67" s="199"/>
      <c r="Y67" s="163"/>
      <c r="Z67" s="164"/>
      <c r="AA67" s="194"/>
      <c r="AB67" s="194"/>
      <c r="AC67" s="194"/>
      <c r="AD67" s="165"/>
      <c r="AE67" s="166"/>
      <c r="AF67" s="201"/>
      <c r="AG67" s="201"/>
      <c r="AH67" s="201"/>
      <c r="AI67" s="201"/>
      <c r="AJ67" s="201"/>
      <c r="AK67" s="201"/>
      <c r="AL67" s="201"/>
      <c r="AM67" s="201"/>
      <c r="AN67" s="201"/>
      <c r="AO67" s="201"/>
      <c r="AP67" s="201"/>
      <c r="AQ67" s="201"/>
      <c r="AR67" s="201"/>
      <c r="AS67" s="201"/>
      <c r="AT67" s="201"/>
      <c r="AU67" s="201"/>
      <c r="AV67" s="201"/>
      <c r="AW67" s="201"/>
      <c r="AX67" s="201"/>
      <c r="AY67" s="201"/>
      <c r="AZ67" s="201"/>
      <c r="BA67" s="167"/>
      <c r="BB67" s="167"/>
      <c r="BC67" s="15"/>
      <c r="BD67" s="9"/>
      <c r="BE67" s="9"/>
      <c r="BF67" s="9"/>
      <c r="BG67" s="26"/>
      <c r="BH67" s="9"/>
      <c r="BI67" s="9"/>
      <c r="BJ67" s="10"/>
      <c r="BK67" s="9"/>
      <c r="BL67" s="95"/>
      <c r="BM67" s="95"/>
      <c r="BN67" s="95"/>
      <c r="BO67" s="95"/>
      <c r="BP67" s="95"/>
      <c r="BQ67" s="95"/>
      <c r="BR67" s="95"/>
      <c r="BS67" s="95"/>
      <c r="BT67" s="95"/>
      <c r="BU67" s="95"/>
      <c r="BV67" s="95"/>
      <c r="BW67" s="95"/>
      <c r="DC67" s="762" t="s">
        <v>185</v>
      </c>
      <c r="DD67" s="761">
        <v>50</v>
      </c>
      <c r="DE67" s="667"/>
    </row>
    <row r="68" spans="1:109" ht="27.75" hidden="1" customHeight="1">
      <c r="A68" s="207"/>
      <c r="B68" s="198"/>
      <c r="C68" s="198"/>
      <c r="D68" s="707" t="s">
        <v>752</v>
      </c>
      <c r="E68" s="198"/>
      <c r="F68" s="198"/>
      <c r="G68" s="198"/>
      <c r="H68" s="173"/>
      <c r="I68" s="195"/>
      <c r="J68" s="709">
        <f>(M68)+(M69*2)+(M70*3)+(M71*4)+(M72*5)+(M73*6)</f>
        <v>0</v>
      </c>
      <c r="K68" s="209"/>
      <c r="L68" s="710" t="s">
        <v>42</v>
      </c>
      <c r="M68" s="711">
        <f>SUM('04 利用者名簿'!I13:I22,'04 利用者名簿'!V13:V22,'04 利用者名簿'!I46:I75,'04 利用者名簿'!V46:V75,'04 利用者名簿'!I89:I118,'04 利用者名簿'!V89:V118,'04 利用者名簿'!I132:I161,'04 利用者名簿'!V132:V161)</f>
        <v>0</v>
      </c>
      <c r="N68" s="210"/>
      <c r="O68" s="198"/>
      <c r="P68" s="210"/>
      <c r="Q68" s="198"/>
      <c r="R68" s="210"/>
      <c r="S68" s="198"/>
      <c r="T68" s="211"/>
      <c r="U68" s="211"/>
      <c r="V68" s="661"/>
      <c r="W68" s="198"/>
      <c r="X68" s="199"/>
      <c r="Y68" s="163"/>
      <c r="Z68" s="164"/>
      <c r="AA68" s="194"/>
      <c r="AB68" s="194"/>
      <c r="AC68" s="194"/>
      <c r="AD68" s="165"/>
      <c r="AE68" s="166"/>
      <c r="AF68" s="201"/>
      <c r="AG68" s="201"/>
      <c r="AH68" s="201"/>
      <c r="AI68" s="201"/>
      <c r="AJ68" s="201"/>
      <c r="AK68" s="201"/>
      <c r="AL68" s="201"/>
      <c r="AM68" s="201"/>
      <c r="AN68" s="201"/>
      <c r="AO68" s="201"/>
      <c r="AP68" s="201"/>
      <c r="AQ68" s="201"/>
      <c r="AR68" s="201"/>
      <c r="AS68" s="201"/>
      <c r="AT68" s="201"/>
      <c r="AU68" s="201"/>
      <c r="AV68" s="201"/>
      <c r="AW68" s="201"/>
      <c r="AX68" s="201"/>
      <c r="AY68" s="201"/>
      <c r="AZ68" s="201"/>
      <c r="BA68" s="167"/>
      <c r="BB68" s="167"/>
      <c r="BC68" s="15"/>
      <c r="BD68" s="9"/>
      <c r="BE68" s="9"/>
      <c r="BF68" s="9"/>
      <c r="BG68" s="26"/>
      <c r="BH68" s="9"/>
      <c r="BI68" s="9"/>
      <c r="BJ68" s="10"/>
      <c r="BK68" s="9"/>
      <c r="BL68" s="95"/>
      <c r="BM68" s="95"/>
      <c r="BN68" s="95"/>
      <c r="BO68" s="95"/>
      <c r="BP68" s="95"/>
      <c r="BQ68" s="95"/>
      <c r="BR68" s="95"/>
      <c r="BS68" s="95"/>
      <c r="BT68" s="95"/>
      <c r="BU68" s="95"/>
      <c r="BV68" s="95"/>
      <c r="BW68" s="95"/>
      <c r="DC68" s="6" t="s">
        <v>818</v>
      </c>
      <c r="DD68" s="89">
        <v>50</v>
      </c>
      <c r="DE68" s="667" t="s">
        <v>852</v>
      </c>
    </row>
    <row r="69" spans="1:109" ht="27.75" hidden="1" customHeight="1">
      <c r="A69" s="207"/>
      <c r="B69" s="198"/>
      <c r="C69" s="198"/>
      <c r="D69" s="198"/>
      <c r="E69" s="198"/>
      <c r="F69" s="198"/>
      <c r="G69" s="198"/>
      <c r="H69" s="173"/>
      <c r="I69" s="195"/>
      <c r="J69" s="198"/>
      <c r="K69" s="198"/>
      <c r="L69" s="581" t="s">
        <v>753</v>
      </c>
      <c r="M69" s="712">
        <f>SUM('04 利用者名簿'!CV2:CV5)</f>
        <v>0</v>
      </c>
      <c r="N69" s="198"/>
      <c r="O69" s="198"/>
      <c r="P69" s="198"/>
      <c r="Q69" s="198"/>
      <c r="R69" s="198"/>
      <c r="S69" s="198"/>
      <c r="T69" s="212"/>
      <c r="U69" s="212"/>
      <c r="V69" s="661"/>
      <c r="W69" s="198"/>
      <c r="X69" s="199"/>
      <c r="Y69" s="163"/>
      <c r="Z69" s="164"/>
      <c r="AA69" s="194"/>
      <c r="AB69" s="194"/>
      <c r="AC69" s="194"/>
      <c r="AD69" s="165"/>
      <c r="AE69" s="166"/>
      <c r="AF69" s="201"/>
      <c r="AG69" s="201"/>
      <c r="AH69" s="201"/>
      <c r="AI69" s="201"/>
      <c r="AJ69" s="201"/>
      <c r="AK69" s="201"/>
      <c r="AL69" s="201"/>
      <c r="AM69" s="201"/>
      <c r="AN69" s="201"/>
      <c r="AO69" s="201"/>
      <c r="AP69" s="201"/>
      <c r="AQ69" s="201"/>
      <c r="AR69" s="201"/>
      <c r="AS69" s="201"/>
      <c r="AT69" s="201"/>
      <c r="AU69" s="201"/>
      <c r="AV69" s="201"/>
      <c r="AW69" s="201"/>
      <c r="AX69" s="201"/>
      <c r="AY69" s="201"/>
      <c r="AZ69" s="201"/>
      <c r="BA69" s="167"/>
      <c r="BB69" s="167"/>
      <c r="BC69" s="15"/>
      <c r="BD69" s="9"/>
      <c r="BE69" s="9"/>
      <c r="BF69" s="9"/>
      <c r="BG69" s="26"/>
      <c r="BH69" s="9"/>
      <c r="BI69" s="9"/>
      <c r="BJ69" s="10"/>
      <c r="BK69" s="9"/>
      <c r="BL69" s="95"/>
      <c r="BM69" s="95"/>
      <c r="BN69" s="95"/>
      <c r="BO69" s="95"/>
      <c r="BP69" s="95"/>
      <c r="BQ69" s="95"/>
      <c r="BR69" s="95"/>
      <c r="BS69" s="95"/>
      <c r="BT69" s="95"/>
      <c r="BU69" s="95"/>
      <c r="BV69" s="95"/>
      <c r="BW69" s="95"/>
      <c r="DC69" s="760" t="s">
        <v>187</v>
      </c>
      <c r="DD69" s="761">
        <v>100</v>
      </c>
      <c r="DE69" s="95"/>
    </row>
    <row r="70" spans="1:109" ht="27.75" hidden="1" customHeight="1">
      <c r="A70" s="207"/>
      <c r="B70" s="213"/>
      <c r="C70" s="208"/>
      <c r="D70" s="209"/>
      <c r="E70" s="209"/>
      <c r="F70" s="209"/>
      <c r="G70" s="209"/>
      <c r="H70" s="174"/>
      <c r="I70" s="175"/>
      <c r="J70" s="214"/>
      <c r="K70" s="214"/>
      <c r="L70" s="713" t="s">
        <v>754</v>
      </c>
      <c r="M70" s="714">
        <f>SUM('04 利用者名簿'!CV7:CV10)</f>
        <v>0</v>
      </c>
      <c r="N70" s="214"/>
      <c r="O70" s="214"/>
      <c r="P70" s="214"/>
      <c r="Q70" s="214"/>
      <c r="R70" s="214"/>
      <c r="S70" s="214"/>
      <c r="T70" s="178"/>
      <c r="U70" s="178"/>
      <c r="V70" s="661"/>
      <c r="W70" s="198"/>
      <c r="X70" s="199"/>
      <c r="Y70" s="163"/>
      <c r="Z70" s="163"/>
      <c r="AA70" s="163"/>
      <c r="AB70" s="163"/>
      <c r="AC70" s="163"/>
      <c r="AD70" s="163"/>
      <c r="AE70" s="163"/>
      <c r="AF70" s="185"/>
      <c r="AG70" s="185"/>
      <c r="AH70" s="185"/>
      <c r="AI70" s="185"/>
      <c r="AJ70" s="185"/>
      <c r="AK70" s="185"/>
      <c r="AL70" s="185"/>
      <c r="AM70" s="185"/>
      <c r="AN70" s="185"/>
      <c r="AO70" s="185"/>
      <c r="AP70" s="185"/>
      <c r="AQ70" s="185"/>
      <c r="AR70" s="185"/>
      <c r="AS70" s="185"/>
      <c r="AT70" s="185"/>
      <c r="AU70" s="185"/>
      <c r="AV70" s="185"/>
      <c r="AW70" s="185"/>
      <c r="AX70" s="185"/>
      <c r="AY70" s="185"/>
      <c r="AZ70" s="185"/>
      <c r="BA70" s="167"/>
      <c r="BB70" s="167"/>
      <c r="BC70" s="15"/>
      <c r="BD70" s="9"/>
      <c r="BE70" s="9"/>
      <c r="BF70" s="9"/>
      <c r="BG70" s="26"/>
      <c r="BH70" s="9"/>
      <c r="BI70" s="9"/>
      <c r="BJ70" s="10"/>
      <c r="BK70" s="9"/>
      <c r="BL70" s="95"/>
      <c r="BM70" s="95"/>
      <c r="BN70" s="95"/>
      <c r="BO70" s="95"/>
      <c r="BP70" s="95"/>
      <c r="BQ70" s="95"/>
      <c r="BR70" s="95"/>
      <c r="BS70" s="95"/>
      <c r="BT70" s="95"/>
      <c r="BU70" s="95"/>
      <c r="BV70" s="95"/>
      <c r="BW70" s="95"/>
      <c r="DC70" s="762" t="s">
        <v>188</v>
      </c>
      <c r="DD70" s="761">
        <v>150</v>
      </c>
      <c r="DE70" s="95"/>
    </row>
    <row r="71" spans="1:109" ht="27.75" hidden="1" customHeight="1">
      <c r="A71" s="207"/>
      <c r="B71" s="213"/>
      <c r="C71" s="215"/>
      <c r="D71" s="215"/>
      <c r="E71" s="215"/>
      <c r="F71" s="215"/>
      <c r="G71" s="215"/>
      <c r="H71" s="174"/>
      <c r="I71" s="176"/>
      <c r="J71" s="216"/>
      <c r="K71" s="216"/>
      <c r="L71" s="715" t="s">
        <v>755</v>
      </c>
      <c r="M71" s="716">
        <f>SUM('04 利用者名簿'!CV12:CV15)</f>
        <v>0</v>
      </c>
      <c r="N71" s="216"/>
      <c r="O71" s="216"/>
      <c r="P71" s="216"/>
      <c r="Q71" s="216"/>
      <c r="R71" s="216"/>
      <c r="S71" s="216"/>
      <c r="T71" s="178"/>
      <c r="U71" s="178"/>
      <c r="V71" s="661"/>
      <c r="W71" s="198"/>
      <c r="X71" s="199"/>
      <c r="Y71" s="196"/>
      <c r="Z71" s="196"/>
      <c r="AA71" s="196"/>
      <c r="AB71" s="196"/>
      <c r="AC71" s="196"/>
      <c r="AD71" s="177"/>
      <c r="AE71" s="166"/>
      <c r="AF71" s="201"/>
      <c r="AG71" s="201"/>
      <c r="AH71" s="201"/>
      <c r="AI71" s="201"/>
      <c r="AJ71" s="201"/>
      <c r="AK71" s="201"/>
      <c r="AL71" s="201"/>
      <c r="AM71" s="201"/>
      <c r="AN71" s="201"/>
      <c r="AO71" s="201"/>
      <c r="AP71" s="201"/>
      <c r="AQ71" s="201"/>
      <c r="AR71" s="201"/>
      <c r="AS71" s="201"/>
      <c r="AT71" s="201"/>
      <c r="AU71" s="201"/>
      <c r="AV71" s="201"/>
      <c r="AW71" s="201"/>
      <c r="AX71" s="201"/>
      <c r="AY71" s="201"/>
      <c r="AZ71" s="201"/>
      <c r="BA71" s="178"/>
      <c r="BB71" s="178"/>
      <c r="BC71" s="15"/>
      <c r="BD71" s="9"/>
      <c r="BE71" s="9"/>
      <c r="BF71" s="9"/>
      <c r="BG71" s="10"/>
      <c r="BH71" s="9"/>
      <c r="BI71" s="9"/>
      <c r="BJ71" s="10"/>
      <c r="BK71" s="9"/>
      <c r="BL71" s="95"/>
      <c r="BM71" s="95"/>
      <c r="BN71" s="95"/>
      <c r="BO71" s="95"/>
      <c r="BP71" s="95"/>
      <c r="BQ71" s="95"/>
      <c r="BR71" s="95"/>
      <c r="BS71" s="95"/>
      <c r="BT71" s="95"/>
      <c r="BU71" s="95"/>
      <c r="BV71" s="95"/>
      <c r="BW71" s="95"/>
      <c r="DC71" s="762" t="s">
        <v>97</v>
      </c>
      <c r="DD71" s="761">
        <v>150</v>
      </c>
      <c r="DE71" s="95"/>
    </row>
    <row r="72" spans="1:109" ht="27.75" hidden="1" customHeight="1">
      <c r="A72" s="207"/>
      <c r="B72" s="213"/>
      <c r="C72" s="215"/>
      <c r="D72" s="215"/>
      <c r="E72" s="215"/>
      <c r="F72" s="215"/>
      <c r="G72" s="215"/>
      <c r="H72" s="174"/>
      <c r="I72" s="176"/>
      <c r="J72" s="216"/>
      <c r="K72" s="216"/>
      <c r="L72" s="715" t="s">
        <v>756</v>
      </c>
      <c r="M72" s="716">
        <f>SUM('04 利用者名簿'!CV17:CV20)</f>
        <v>0</v>
      </c>
      <c r="N72" s="216"/>
      <c r="O72" s="216"/>
      <c r="P72" s="216"/>
      <c r="Q72" s="216"/>
      <c r="R72" s="216"/>
      <c r="S72" s="216"/>
      <c r="T72" s="178"/>
      <c r="U72" s="178"/>
      <c r="V72" s="661"/>
      <c r="W72" s="198"/>
      <c r="X72" s="199"/>
      <c r="Y72" s="217"/>
      <c r="Z72" s="217"/>
      <c r="AA72" s="217"/>
      <c r="AB72" s="217"/>
      <c r="AC72" s="217"/>
      <c r="AD72" s="157"/>
      <c r="AE72" s="166"/>
      <c r="AF72" s="201"/>
      <c r="AG72" s="201"/>
      <c r="AH72" s="201"/>
      <c r="AI72" s="201"/>
      <c r="AJ72" s="201"/>
      <c r="AK72" s="201"/>
      <c r="AL72" s="201"/>
      <c r="AM72" s="201"/>
      <c r="AN72" s="201"/>
      <c r="AO72" s="201"/>
      <c r="AP72" s="201"/>
      <c r="AQ72" s="201"/>
      <c r="AR72" s="201"/>
      <c r="AS72" s="201"/>
      <c r="AT72" s="201"/>
      <c r="AU72" s="201"/>
      <c r="AV72" s="201"/>
      <c r="AW72" s="201"/>
      <c r="AX72" s="201"/>
      <c r="AY72" s="201"/>
      <c r="AZ72" s="201"/>
      <c r="BA72" s="178"/>
      <c r="BB72" s="178"/>
      <c r="BC72" s="15"/>
      <c r="BD72" s="9"/>
      <c r="BE72" s="9"/>
      <c r="BF72" s="9"/>
      <c r="BG72" s="26"/>
      <c r="BH72" s="9"/>
      <c r="BI72" s="9"/>
      <c r="BJ72" s="10"/>
      <c r="BK72" s="9"/>
      <c r="DE72" s="95"/>
    </row>
    <row r="73" spans="1:109" ht="27.75" hidden="1" customHeight="1">
      <c r="A73" s="207"/>
      <c r="B73" s="213"/>
      <c r="C73" s="218"/>
      <c r="D73" s="218"/>
      <c r="E73" s="218"/>
      <c r="F73" s="218"/>
      <c r="G73" s="218"/>
      <c r="H73" s="174"/>
      <c r="I73" s="176"/>
      <c r="J73" s="216"/>
      <c r="K73" s="216"/>
      <c r="L73" s="715" t="s">
        <v>757</v>
      </c>
      <c r="M73" s="716">
        <f>SUM('04 利用者名簿'!CV17:CV20)</f>
        <v>0</v>
      </c>
      <c r="N73" s="216"/>
      <c r="O73" s="216"/>
      <c r="P73" s="216"/>
      <c r="Q73" s="216"/>
      <c r="R73" s="216"/>
      <c r="S73" s="216"/>
      <c r="T73" s="178"/>
      <c r="U73" s="178"/>
      <c r="V73" s="661"/>
      <c r="W73" s="198"/>
      <c r="X73" s="199"/>
      <c r="Y73" s="217"/>
      <c r="Z73" s="217"/>
      <c r="AA73" s="217"/>
      <c r="AB73" s="217"/>
      <c r="AC73" s="217"/>
      <c r="AD73" s="157"/>
      <c r="AE73" s="166"/>
      <c r="AF73" s="201"/>
      <c r="AG73" s="201"/>
      <c r="AH73" s="201"/>
      <c r="AI73" s="201"/>
      <c r="AJ73" s="201"/>
      <c r="AK73" s="201"/>
      <c r="AL73" s="201"/>
      <c r="AM73" s="201"/>
      <c r="AN73" s="201"/>
      <c r="AO73" s="201"/>
      <c r="AP73" s="201"/>
      <c r="AQ73" s="201"/>
      <c r="AR73" s="201"/>
      <c r="AS73" s="201"/>
      <c r="AT73" s="201"/>
      <c r="AU73" s="201"/>
      <c r="AV73" s="201"/>
      <c r="AW73" s="201"/>
      <c r="AX73" s="201"/>
      <c r="AY73" s="201"/>
      <c r="AZ73" s="201"/>
      <c r="BA73" s="178"/>
      <c r="BB73" s="178"/>
      <c r="BC73" s="15"/>
      <c r="BD73" s="9"/>
      <c r="BE73" s="9"/>
      <c r="BF73" s="9"/>
      <c r="BG73" s="26"/>
      <c r="BH73" s="9"/>
      <c r="BI73" s="9"/>
      <c r="BJ73" s="10"/>
      <c r="BK73" s="9"/>
      <c r="DE73" s="95"/>
    </row>
    <row r="74" spans="1:109" ht="27" hidden="1" customHeight="1">
      <c r="A74" s="207"/>
      <c r="B74" s="213"/>
      <c r="C74" s="218"/>
      <c r="D74" s="218"/>
      <c r="E74" s="218"/>
      <c r="F74" s="218"/>
      <c r="G74" s="218"/>
      <c r="H74" s="174"/>
      <c r="I74" s="176"/>
      <c r="J74" s="216"/>
      <c r="K74" s="216"/>
      <c r="L74" s="216"/>
      <c r="M74" s="216"/>
      <c r="N74" s="216"/>
      <c r="O74" s="216"/>
      <c r="P74" s="216"/>
      <c r="Q74" s="216"/>
      <c r="R74" s="216"/>
      <c r="S74" s="216"/>
      <c r="T74" s="178"/>
      <c r="U74" s="178"/>
      <c r="V74" s="661"/>
      <c r="W74" s="198"/>
      <c r="X74" s="199"/>
      <c r="Y74" s="196"/>
      <c r="Z74" s="196"/>
      <c r="AA74" s="196"/>
      <c r="AB74" s="196"/>
      <c r="AC74" s="196"/>
      <c r="AD74" s="181"/>
      <c r="AE74" s="182"/>
      <c r="AF74" s="201"/>
      <c r="AG74" s="201"/>
      <c r="AH74" s="201"/>
      <c r="AI74" s="201"/>
      <c r="AJ74" s="201"/>
      <c r="AK74" s="201"/>
      <c r="AL74" s="201"/>
      <c r="AM74" s="201"/>
      <c r="AN74" s="201"/>
      <c r="AO74" s="201"/>
      <c r="AP74" s="201"/>
      <c r="AQ74" s="201"/>
      <c r="AR74" s="201"/>
      <c r="AS74" s="201"/>
      <c r="AT74" s="201"/>
      <c r="AU74" s="201"/>
      <c r="AV74" s="201"/>
      <c r="AW74" s="201"/>
      <c r="AX74" s="201"/>
      <c r="AY74" s="201"/>
      <c r="AZ74" s="201"/>
      <c r="BA74" s="178"/>
      <c r="BB74" s="178"/>
      <c r="BC74" s="15"/>
      <c r="BD74" s="9"/>
      <c r="BE74" s="9"/>
      <c r="BF74" s="9"/>
      <c r="BG74" s="26"/>
      <c r="BH74" s="9"/>
      <c r="BI74" s="9"/>
      <c r="BJ74" s="10"/>
      <c r="BK74" s="9"/>
      <c r="DE74" s="95"/>
    </row>
    <row r="75" spans="1:109" ht="27" hidden="1" customHeight="1">
      <c r="A75" s="207"/>
      <c r="B75" s="213"/>
      <c r="C75" s="208"/>
      <c r="D75" s="209"/>
      <c r="E75" s="209"/>
      <c r="F75" s="209"/>
      <c r="G75" s="209"/>
      <c r="H75" s="174"/>
      <c r="I75" s="176"/>
      <c r="J75" s="216"/>
      <c r="K75" s="216"/>
      <c r="L75" s="216"/>
      <c r="M75" s="216"/>
      <c r="N75" s="216"/>
      <c r="O75" s="216"/>
      <c r="P75" s="216"/>
      <c r="Q75" s="216"/>
      <c r="R75" s="216"/>
      <c r="S75" s="216"/>
      <c r="T75" s="178"/>
      <c r="U75" s="178"/>
      <c r="V75" s="661"/>
      <c r="W75" s="198"/>
      <c r="X75" s="199"/>
      <c r="Y75" s="196"/>
      <c r="Z75" s="196"/>
      <c r="AA75" s="196"/>
      <c r="AB75" s="196"/>
      <c r="AC75" s="196"/>
      <c r="AD75" s="181"/>
      <c r="AE75" s="182"/>
      <c r="AF75" s="201"/>
      <c r="AG75" s="201"/>
      <c r="AH75" s="201"/>
      <c r="AI75" s="201"/>
      <c r="AJ75" s="201"/>
      <c r="AK75" s="201"/>
      <c r="AL75" s="201"/>
      <c r="AM75" s="201"/>
      <c r="AN75" s="201"/>
      <c r="AO75" s="201"/>
      <c r="AP75" s="201"/>
      <c r="AQ75" s="201"/>
      <c r="AR75" s="201"/>
      <c r="AS75" s="201"/>
      <c r="AT75" s="201"/>
      <c r="AU75" s="201"/>
      <c r="AV75" s="201"/>
      <c r="AW75" s="201"/>
      <c r="AX75" s="201"/>
      <c r="AY75" s="201"/>
      <c r="AZ75" s="201"/>
      <c r="BA75" s="178"/>
      <c r="BB75" s="178"/>
      <c r="BC75" s="15"/>
      <c r="BD75" s="9"/>
      <c r="BE75" s="9"/>
      <c r="BF75" s="9"/>
      <c r="BG75" s="26"/>
      <c r="BH75" s="9"/>
      <c r="BI75" s="9"/>
      <c r="BJ75" s="10"/>
      <c r="BK75" s="9"/>
      <c r="DE75" s="95"/>
    </row>
    <row r="76" spans="1:109" ht="27" hidden="1" customHeight="1">
      <c r="A76" s="207"/>
      <c r="B76" s="213"/>
      <c r="C76" s="219"/>
      <c r="D76" s="219"/>
      <c r="E76" s="219"/>
      <c r="F76" s="219"/>
      <c r="G76" s="219"/>
      <c r="H76" s="219"/>
      <c r="I76" s="219"/>
      <c r="J76" s="220"/>
      <c r="K76" s="220"/>
      <c r="L76" s="220"/>
      <c r="M76" s="220"/>
      <c r="N76" s="220"/>
      <c r="O76" s="220"/>
      <c r="P76" s="220"/>
      <c r="Q76" s="220"/>
      <c r="R76" s="220"/>
      <c r="S76" s="220"/>
      <c r="T76" s="220"/>
      <c r="U76" s="220"/>
      <c r="V76" s="661"/>
      <c r="W76" s="198"/>
      <c r="X76" s="199"/>
      <c r="Y76" s="196"/>
      <c r="Z76" s="196"/>
      <c r="AA76" s="196"/>
      <c r="AB76" s="196"/>
      <c r="AC76" s="196"/>
      <c r="AD76" s="181"/>
      <c r="AE76" s="182"/>
      <c r="AF76" s="201"/>
      <c r="AG76" s="201"/>
      <c r="AH76" s="201"/>
      <c r="AI76" s="201"/>
      <c r="AJ76" s="201"/>
      <c r="AK76" s="201"/>
      <c r="AL76" s="201"/>
      <c r="AM76" s="201"/>
      <c r="AN76" s="201"/>
      <c r="AO76" s="201"/>
      <c r="AP76" s="201"/>
      <c r="AQ76" s="201"/>
      <c r="AR76" s="201"/>
      <c r="AS76" s="201"/>
      <c r="AT76" s="201"/>
      <c r="AU76" s="201"/>
      <c r="AV76" s="201"/>
      <c r="AW76" s="201"/>
      <c r="AX76" s="201"/>
      <c r="AY76" s="201"/>
      <c r="AZ76" s="201"/>
      <c r="BA76" s="178"/>
      <c r="BB76" s="178"/>
      <c r="BC76" s="15"/>
      <c r="BD76" s="9"/>
      <c r="BE76" s="9"/>
      <c r="BF76" s="9"/>
      <c r="BG76" s="26"/>
      <c r="BH76" s="9"/>
      <c r="BI76" s="9"/>
      <c r="BJ76" s="10"/>
      <c r="BK76" s="9"/>
      <c r="DE76" s="95"/>
    </row>
    <row r="77" spans="1:109" ht="27" customHeight="1" thickTop="1">
      <c r="A77" s="207"/>
      <c r="B77" s="221"/>
      <c r="C77" s="222"/>
      <c r="D77" s="202"/>
      <c r="E77" s="202"/>
      <c r="F77" s="202"/>
      <c r="G77" s="202"/>
      <c r="H77" s="179"/>
      <c r="I77" s="176"/>
      <c r="J77" s="216"/>
      <c r="K77" s="216"/>
      <c r="L77" s="216">
        <v>7</v>
      </c>
      <c r="M77" s="216"/>
      <c r="N77" s="216"/>
      <c r="O77" s="216"/>
      <c r="P77" s="216"/>
      <c r="Q77" s="216"/>
      <c r="R77" s="216"/>
      <c r="S77" s="216"/>
      <c r="T77" s="178"/>
      <c r="U77" s="178"/>
      <c r="V77" s="661"/>
      <c r="W77" s="198"/>
      <c r="X77" s="199"/>
      <c r="Y77" s="196"/>
      <c r="Z77" s="196"/>
      <c r="AA77" s="196"/>
      <c r="AB77" s="196"/>
      <c r="AC77" s="196"/>
      <c r="AD77" s="181"/>
      <c r="AE77" s="182"/>
      <c r="AF77" s="201"/>
      <c r="AG77" s="201"/>
      <c r="AH77" s="201"/>
      <c r="AI77" s="201"/>
      <c r="AJ77" s="201"/>
      <c r="AK77" s="201"/>
      <c r="AL77" s="201"/>
      <c r="AM77" s="201"/>
      <c r="AN77" s="201"/>
      <c r="AO77" s="201"/>
      <c r="AP77" s="201"/>
      <c r="AQ77" s="201"/>
      <c r="AR77" s="201"/>
      <c r="AS77" s="201"/>
      <c r="AT77" s="201"/>
      <c r="AU77" s="201"/>
      <c r="AV77" s="201"/>
      <c r="AW77" s="201"/>
      <c r="AX77" s="201"/>
      <c r="AY77" s="201"/>
      <c r="AZ77" s="201"/>
      <c r="BA77" s="178"/>
      <c r="BB77" s="178"/>
      <c r="BC77" s="15"/>
      <c r="BD77" s="9"/>
      <c r="BE77" s="9"/>
      <c r="BF77" s="9"/>
      <c r="BG77" s="10"/>
      <c r="BH77" s="9"/>
      <c r="BI77" s="9"/>
      <c r="BJ77" s="10"/>
      <c r="BK77" s="9"/>
      <c r="DE77" s="95"/>
    </row>
    <row r="78" spans="1:109" ht="27" customHeight="1">
      <c r="A78" s="207"/>
      <c r="B78" s="221"/>
      <c r="C78" s="222"/>
      <c r="D78" s="202"/>
      <c r="E78" s="202"/>
      <c r="F78" s="202"/>
      <c r="G78" s="202"/>
      <c r="H78" s="180"/>
      <c r="I78" s="176"/>
      <c r="J78" s="216"/>
      <c r="K78" s="216"/>
      <c r="L78" s="216"/>
      <c r="M78" s="216"/>
      <c r="N78" s="216"/>
      <c r="O78" s="216"/>
      <c r="P78" s="216"/>
      <c r="Q78" s="216"/>
      <c r="R78" s="216"/>
      <c r="S78" s="216"/>
      <c r="T78" s="178"/>
      <c r="U78" s="178"/>
      <c r="V78" s="661"/>
      <c r="W78" s="198"/>
      <c r="X78" s="199"/>
      <c r="Y78" s="196"/>
      <c r="Z78" s="196"/>
      <c r="AA78" s="196"/>
      <c r="AB78" s="196"/>
      <c r="AC78" s="196"/>
      <c r="AD78" s="181"/>
      <c r="AE78" s="182"/>
      <c r="AF78" s="201"/>
      <c r="AG78" s="201"/>
      <c r="AH78" s="201"/>
      <c r="AI78" s="201"/>
      <c r="AJ78" s="201"/>
      <c r="AK78" s="201"/>
      <c r="AL78" s="201"/>
      <c r="AM78" s="201"/>
      <c r="AN78" s="201"/>
      <c r="AO78" s="201"/>
      <c r="AP78" s="201"/>
      <c r="AQ78" s="201"/>
      <c r="AR78" s="201"/>
      <c r="AS78" s="201"/>
      <c r="AT78" s="201"/>
      <c r="AU78" s="201"/>
      <c r="AV78" s="201"/>
      <c r="AW78" s="201"/>
      <c r="AX78" s="201"/>
      <c r="AY78" s="201"/>
      <c r="AZ78" s="201"/>
      <c r="BA78" s="178"/>
      <c r="BB78" s="178"/>
      <c r="BC78" s="15"/>
      <c r="BD78" s="9"/>
      <c r="BE78" s="9"/>
      <c r="BF78" s="9"/>
      <c r="BG78" s="26"/>
      <c r="BH78" s="9"/>
      <c r="BI78" s="9"/>
      <c r="BJ78" s="10"/>
      <c r="BK78" s="9"/>
      <c r="DE78" s="95"/>
    </row>
    <row r="79" spans="1:109" ht="27" customHeight="1">
      <c r="A79" s="207"/>
      <c r="B79" s="221"/>
      <c r="C79" s="222"/>
      <c r="D79" s="202"/>
      <c r="E79" s="202"/>
      <c r="F79" s="202"/>
      <c r="G79" s="202"/>
      <c r="H79" s="180"/>
      <c r="I79" s="176"/>
      <c r="J79" s="216"/>
      <c r="K79" s="216"/>
      <c r="L79" s="216"/>
      <c r="M79" s="216"/>
      <c r="N79" s="216"/>
      <c r="O79" s="216"/>
      <c r="P79" s="216"/>
      <c r="Q79" s="216"/>
      <c r="R79" s="216"/>
      <c r="S79" s="216"/>
      <c r="T79" s="178"/>
      <c r="U79" s="178"/>
      <c r="V79" s="661"/>
      <c r="W79" s="198"/>
      <c r="X79" s="199"/>
      <c r="Y79" s="196"/>
      <c r="Z79" s="196"/>
      <c r="AA79" s="196"/>
      <c r="AB79" s="196"/>
      <c r="AC79" s="196"/>
      <c r="AD79" s="181"/>
      <c r="AE79" s="182"/>
      <c r="AF79" s="201"/>
      <c r="AG79" s="201"/>
      <c r="AH79" s="201"/>
      <c r="AI79" s="201"/>
      <c r="AJ79" s="201"/>
      <c r="AK79" s="201"/>
      <c r="AL79" s="201"/>
      <c r="AM79" s="201"/>
      <c r="AN79" s="201"/>
      <c r="AO79" s="201"/>
      <c r="AP79" s="201"/>
      <c r="AQ79" s="201"/>
      <c r="AR79" s="201"/>
      <c r="AS79" s="201"/>
      <c r="AT79" s="201"/>
      <c r="AU79" s="201"/>
      <c r="AV79" s="201"/>
      <c r="AW79" s="201"/>
      <c r="AX79" s="201"/>
      <c r="AY79" s="201"/>
      <c r="AZ79" s="201"/>
      <c r="BA79" s="178"/>
      <c r="BB79" s="178"/>
      <c r="BC79" s="15"/>
      <c r="BD79" s="9"/>
      <c r="BE79" s="9"/>
      <c r="BF79" s="9"/>
      <c r="BG79" s="26"/>
      <c r="BH79" s="9"/>
      <c r="BI79" s="9"/>
      <c r="BJ79" s="10"/>
      <c r="BK79" s="9"/>
      <c r="DE79" s="95"/>
    </row>
    <row r="80" spans="1:109" ht="27" customHeight="1">
      <c r="A80" s="207"/>
      <c r="B80" s="221"/>
      <c r="C80" s="222"/>
      <c r="D80" s="202"/>
      <c r="E80" s="202"/>
      <c r="F80" s="202"/>
      <c r="G80" s="202"/>
      <c r="H80" s="180"/>
      <c r="I80" s="176"/>
      <c r="J80" s="216"/>
      <c r="K80" s="216"/>
      <c r="L80" s="216"/>
      <c r="M80" s="216"/>
      <c r="N80" s="216"/>
      <c r="O80" s="216"/>
      <c r="P80" s="216"/>
      <c r="Q80" s="216"/>
      <c r="R80" s="216"/>
      <c r="S80" s="216"/>
      <c r="T80" s="178"/>
      <c r="U80" s="178"/>
      <c r="V80" s="661"/>
      <c r="W80" s="198"/>
      <c r="X80" s="199"/>
      <c r="Y80" s="196"/>
      <c r="Z80" s="196"/>
      <c r="AA80" s="196"/>
      <c r="AB80" s="196"/>
      <c r="AC80" s="196"/>
      <c r="AD80" s="181"/>
      <c r="AE80" s="182"/>
      <c r="AF80" s="201"/>
      <c r="AG80" s="201"/>
      <c r="AH80" s="201"/>
      <c r="AI80" s="201"/>
      <c r="AJ80" s="201"/>
      <c r="AK80" s="201"/>
      <c r="AL80" s="201"/>
      <c r="AM80" s="201"/>
      <c r="AN80" s="201"/>
      <c r="AO80" s="201"/>
      <c r="AP80" s="201"/>
      <c r="AQ80" s="201"/>
      <c r="AR80" s="201"/>
      <c r="AS80" s="201"/>
      <c r="AT80" s="201"/>
      <c r="AU80" s="201"/>
      <c r="AV80" s="201"/>
      <c r="AW80" s="201"/>
      <c r="AX80" s="201"/>
      <c r="AY80" s="201"/>
      <c r="AZ80" s="201"/>
      <c r="BA80" s="178"/>
      <c r="BB80" s="178"/>
      <c r="BC80" s="15"/>
      <c r="BD80" s="9"/>
      <c r="BE80" s="9"/>
      <c r="BF80" s="9"/>
      <c r="BG80" s="26"/>
      <c r="BH80" s="9"/>
      <c r="BI80" s="9"/>
      <c r="BJ80" s="10"/>
      <c r="BK80" s="9"/>
      <c r="DE80" s="95"/>
    </row>
    <row r="81" spans="1:109" ht="27" customHeight="1">
      <c r="A81" s="207"/>
      <c r="B81" s="221"/>
      <c r="C81" s="222"/>
      <c r="D81" s="210"/>
      <c r="E81" s="210"/>
      <c r="F81" s="198"/>
      <c r="G81" s="198"/>
      <c r="H81" s="180"/>
      <c r="I81" s="176"/>
      <c r="J81" s="216"/>
      <c r="K81" s="216"/>
      <c r="L81" s="216"/>
      <c r="M81" s="216"/>
      <c r="N81" s="216"/>
      <c r="O81" s="216"/>
      <c r="P81" s="216"/>
      <c r="Q81" s="216"/>
      <c r="R81" s="216"/>
      <c r="S81" s="216"/>
      <c r="T81" s="178"/>
      <c r="U81" s="178"/>
      <c r="V81" s="661"/>
      <c r="W81" s="198"/>
      <c r="X81" s="199"/>
      <c r="Y81" s="196"/>
      <c r="Z81" s="196"/>
      <c r="AA81" s="196"/>
      <c r="AB81" s="196"/>
      <c r="AC81" s="196"/>
      <c r="AD81" s="181"/>
      <c r="AE81" s="182"/>
      <c r="AF81" s="201"/>
      <c r="AG81" s="201"/>
      <c r="AH81" s="201"/>
      <c r="AI81" s="201"/>
      <c r="AJ81" s="201"/>
      <c r="AK81" s="201"/>
      <c r="AL81" s="201"/>
      <c r="AM81" s="201"/>
      <c r="AN81" s="201"/>
      <c r="AO81" s="201"/>
      <c r="AP81" s="201"/>
      <c r="AQ81" s="201"/>
      <c r="AR81" s="201"/>
      <c r="AS81" s="201"/>
      <c r="AT81" s="201"/>
      <c r="AU81" s="201"/>
      <c r="AV81" s="201"/>
      <c r="AW81" s="201"/>
      <c r="AX81" s="201"/>
      <c r="AY81" s="201"/>
      <c r="AZ81" s="201"/>
      <c r="BA81" s="178"/>
      <c r="BB81" s="178"/>
      <c r="BC81" s="15"/>
      <c r="BD81" s="9"/>
      <c r="BE81" s="9"/>
      <c r="BF81" s="9"/>
      <c r="BG81" s="26"/>
      <c r="BH81" s="9"/>
      <c r="BI81" s="9"/>
      <c r="BJ81" s="10"/>
      <c r="BK81" s="9"/>
      <c r="DE81" s="95"/>
    </row>
    <row r="82" spans="1:109" ht="27" customHeight="1">
      <c r="A82" s="207"/>
      <c r="B82" s="221"/>
      <c r="C82" s="222"/>
      <c r="D82" s="210"/>
      <c r="E82" s="210"/>
      <c r="F82" s="198"/>
      <c r="G82" s="198"/>
      <c r="H82" s="180"/>
      <c r="I82" s="176"/>
      <c r="J82" s="216"/>
      <c r="K82" s="216"/>
      <c r="L82" s="216"/>
      <c r="M82" s="216"/>
      <c r="N82" s="216"/>
      <c r="O82" s="216"/>
      <c r="P82" s="216"/>
      <c r="Q82" s="216"/>
      <c r="R82" s="216"/>
      <c r="S82" s="216"/>
      <c r="T82" s="178"/>
      <c r="U82" s="178"/>
      <c r="V82" s="661"/>
      <c r="W82" s="198"/>
      <c r="X82" s="199"/>
      <c r="Y82" s="196"/>
      <c r="Z82" s="196"/>
      <c r="AA82" s="196"/>
      <c r="AB82" s="196"/>
      <c r="AC82" s="196"/>
      <c r="AD82" s="181"/>
      <c r="AE82" s="182"/>
      <c r="AF82" s="201"/>
      <c r="AG82" s="201"/>
      <c r="AH82" s="201"/>
      <c r="AI82" s="201"/>
      <c r="AJ82" s="201"/>
      <c r="AK82" s="201"/>
      <c r="AL82" s="201"/>
      <c r="AM82" s="201"/>
      <c r="AN82" s="201"/>
      <c r="AO82" s="201"/>
      <c r="AP82" s="201"/>
      <c r="AQ82" s="201"/>
      <c r="AR82" s="201"/>
      <c r="AS82" s="201"/>
      <c r="AT82" s="201"/>
      <c r="AU82" s="201"/>
      <c r="AV82" s="201"/>
      <c r="AW82" s="201"/>
      <c r="AX82" s="201"/>
      <c r="AY82" s="201"/>
      <c r="AZ82" s="201"/>
      <c r="BA82" s="183"/>
      <c r="BB82" s="183"/>
      <c r="BC82" s="15"/>
      <c r="BD82" s="9"/>
      <c r="BE82" s="9"/>
      <c r="BF82" s="9"/>
      <c r="BG82" s="26"/>
      <c r="BH82" s="9"/>
      <c r="BI82" s="9"/>
      <c r="BJ82" s="10"/>
      <c r="BK82" s="9"/>
      <c r="DE82" s="95"/>
    </row>
    <row r="83" spans="1:109" ht="27" customHeight="1">
      <c r="A83" s="207"/>
      <c r="B83" s="221"/>
      <c r="C83" s="222"/>
      <c r="D83" s="198"/>
      <c r="E83" s="198"/>
      <c r="F83" s="198"/>
      <c r="G83" s="198"/>
      <c r="H83" s="179"/>
      <c r="I83" s="176"/>
      <c r="J83" s="216"/>
      <c r="K83" s="216"/>
      <c r="L83" s="216"/>
      <c r="M83" s="216"/>
      <c r="N83" s="216"/>
      <c r="O83" s="216"/>
      <c r="P83" s="216"/>
      <c r="Q83" s="216"/>
      <c r="R83" s="216"/>
      <c r="S83" s="216"/>
      <c r="T83" s="178"/>
      <c r="U83" s="178"/>
      <c r="V83" s="661"/>
      <c r="W83" s="198"/>
      <c r="X83" s="199"/>
      <c r="Y83" s="196"/>
      <c r="Z83" s="196"/>
      <c r="AA83" s="196"/>
      <c r="AB83" s="196"/>
      <c r="AC83" s="196"/>
      <c r="AD83" s="181"/>
      <c r="AE83" s="166"/>
      <c r="AF83" s="201"/>
      <c r="AG83" s="201"/>
      <c r="AH83" s="201"/>
      <c r="AI83" s="201"/>
      <c r="AJ83" s="201"/>
      <c r="AK83" s="201"/>
      <c r="AL83" s="201"/>
      <c r="AM83" s="201"/>
      <c r="AN83" s="201"/>
      <c r="AO83" s="201"/>
      <c r="AP83" s="201"/>
      <c r="AQ83" s="201"/>
      <c r="AR83" s="201"/>
      <c r="AS83" s="201"/>
      <c r="AT83" s="201"/>
      <c r="AU83" s="201"/>
      <c r="AV83" s="201"/>
      <c r="AW83" s="201"/>
      <c r="AX83" s="201"/>
      <c r="AY83" s="201"/>
      <c r="AZ83" s="201"/>
      <c r="BA83" s="178"/>
      <c r="BB83" s="178"/>
      <c r="BC83" s="15"/>
      <c r="BD83" s="9"/>
      <c r="BE83" s="9"/>
      <c r="BF83" s="9"/>
      <c r="BG83" s="26"/>
      <c r="BH83" s="9"/>
      <c r="BI83" s="9"/>
      <c r="BJ83" s="10"/>
      <c r="BK83" s="9"/>
      <c r="DE83" s="95"/>
    </row>
    <row r="84" spans="1:109" ht="27" customHeight="1">
      <c r="A84" s="207"/>
      <c r="B84" s="221"/>
      <c r="C84" s="222"/>
      <c r="D84" s="198"/>
      <c r="E84" s="198"/>
      <c r="F84" s="198"/>
      <c r="G84" s="198"/>
      <c r="H84" s="180"/>
      <c r="I84" s="176"/>
      <c r="J84" s="216"/>
      <c r="K84" s="216"/>
      <c r="L84" s="216"/>
      <c r="M84" s="216"/>
      <c r="N84" s="216"/>
      <c r="O84" s="216"/>
      <c r="P84" s="216"/>
      <c r="Q84" s="216"/>
      <c r="R84" s="216"/>
      <c r="S84" s="216"/>
      <c r="T84" s="178"/>
      <c r="U84" s="178"/>
      <c r="V84" s="661"/>
      <c r="W84" s="198"/>
      <c r="X84" s="199"/>
      <c r="Y84" s="196"/>
      <c r="Z84" s="196"/>
      <c r="AA84" s="196"/>
      <c r="AB84" s="196"/>
      <c r="AC84" s="196"/>
      <c r="AD84" s="184"/>
      <c r="AE84" s="166"/>
      <c r="AF84" s="201"/>
      <c r="AG84" s="201"/>
      <c r="AH84" s="201"/>
      <c r="AI84" s="201"/>
      <c r="AJ84" s="201"/>
      <c r="AK84" s="201"/>
      <c r="AL84" s="201"/>
      <c r="AM84" s="201"/>
      <c r="AN84" s="201"/>
      <c r="AO84" s="201"/>
      <c r="AP84" s="201"/>
      <c r="AQ84" s="201"/>
      <c r="AR84" s="201"/>
      <c r="AS84" s="201"/>
      <c r="AT84" s="201"/>
      <c r="AU84" s="201"/>
      <c r="AV84" s="201"/>
      <c r="AW84" s="201"/>
      <c r="AX84" s="201"/>
      <c r="AY84" s="201"/>
      <c r="AZ84" s="201"/>
      <c r="BA84" s="178"/>
      <c r="BB84" s="178"/>
      <c r="BC84" s="15"/>
      <c r="BD84" s="9"/>
      <c r="BE84" s="9"/>
      <c r="BF84" s="9"/>
      <c r="BG84" s="26"/>
      <c r="BH84" s="9"/>
      <c r="BI84" s="9"/>
      <c r="BJ84" s="10"/>
      <c r="BK84" s="9"/>
      <c r="DE84" s="95"/>
    </row>
    <row r="85" spans="1:109" ht="27" customHeight="1">
      <c r="A85" s="207"/>
      <c r="B85" s="221"/>
      <c r="C85" s="222"/>
      <c r="D85" s="198"/>
      <c r="E85" s="198"/>
      <c r="F85" s="198"/>
      <c r="G85" s="198"/>
      <c r="H85" s="179"/>
      <c r="I85" s="176"/>
      <c r="J85" s="216"/>
      <c r="K85" s="216"/>
      <c r="L85" s="216"/>
      <c r="M85" s="216"/>
      <c r="N85" s="216"/>
      <c r="O85" s="216"/>
      <c r="P85" s="216"/>
      <c r="Q85" s="216"/>
      <c r="R85" s="216"/>
      <c r="S85" s="216"/>
      <c r="T85" s="178"/>
      <c r="U85" s="178"/>
      <c r="V85" s="661"/>
      <c r="W85" s="198"/>
      <c r="X85" s="199"/>
      <c r="Y85" s="163"/>
      <c r="Z85" s="163"/>
      <c r="AA85" s="163"/>
      <c r="AB85" s="163"/>
      <c r="AC85" s="163"/>
      <c r="AD85" s="163"/>
      <c r="AE85" s="163"/>
      <c r="AF85" s="185"/>
      <c r="AG85" s="185"/>
      <c r="AH85" s="185"/>
      <c r="AI85" s="185"/>
      <c r="AJ85" s="185"/>
      <c r="AK85" s="185"/>
      <c r="AL85" s="185"/>
      <c r="AM85" s="185"/>
      <c r="AN85" s="185"/>
      <c r="AO85" s="185"/>
      <c r="AP85" s="185"/>
      <c r="AQ85" s="185"/>
      <c r="AR85" s="185"/>
      <c r="AS85" s="185"/>
      <c r="AT85" s="185"/>
      <c r="AU85" s="185"/>
      <c r="AV85" s="185"/>
      <c r="AW85" s="185"/>
      <c r="AX85" s="185"/>
      <c r="AY85" s="185"/>
      <c r="AZ85" s="185"/>
      <c r="BA85" s="185"/>
      <c r="BB85" s="185"/>
      <c r="BC85" s="15"/>
      <c r="BD85" s="9"/>
      <c r="BE85" s="9"/>
      <c r="BF85" s="9"/>
      <c r="BG85" s="10"/>
      <c r="BH85" s="9"/>
      <c r="BI85" s="9"/>
      <c r="BJ85" s="10"/>
      <c r="BK85" s="9"/>
      <c r="DE85" s="95"/>
    </row>
    <row r="86" spans="1:109" ht="27" customHeight="1">
      <c r="A86" s="207"/>
      <c r="B86" s="221"/>
      <c r="C86" s="222"/>
      <c r="D86" s="198"/>
      <c r="E86" s="198"/>
      <c r="F86" s="198"/>
      <c r="G86" s="198"/>
      <c r="H86" s="180"/>
      <c r="I86" s="176"/>
      <c r="J86" s="216"/>
      <c r="K86" s="216"/>
      <c r="L86" s="216"/>
      <c r="M86" s="216"/>
      <c r="N86" s="216"/>
      <c r="O86" s="216"/>
      <c r="P86" s="216"/>
      <c r="Q86" s="216"/>
      <c r="R86" s="216"/>
      <c r="S86" s="216"/>
      <c r="T86" s="178"/>
      <c r="U86" s="178"/>
      <c r="V86" s="661"/>
      <c r="W86" s="197"/>
      <c r="X86" s="197"/>
      <c r="Y86" s="197"/>
      <c r="Z86" s="197"/>
      <c r="AA86" s="197"/>
      <c r="AB86" s="197"/>
      <c r="AC86" s="197"/>
      <c r="AD86" s="197"/>
      <c r="AE86" s="197"/>
      <c r="AF86" s="185"/>
      <c r="AG86" s="185"/>
      <c r="AH86" s="185"/>
      <c r="AI86" s="185"/>
      <c r="AJ86" s="185"/>
      <c r="AK86" s="185"/>
      <c r="AL86" s="185"/>
      <c r="AM86" s="185"/>
      <c r="AN86" s="185"/>
      <c r="AO86" s="185"/>
      <c r="AP86" s="185"/>
      <c r="AQ86" s="185"/>
      <c r="AR86" s="185"/>
      <c r="AS86" s="185"/>
      <c r="AT86" s="185"/>
      <c r="AU86" s="185"/>
      <c r="AV86" s="185"/>
      <c r="AW86" s="185"/>
      <c r="AX86" s="185"/>
      <c r="AY86" s="185"/>
      <c r="AZ86" s="185"/>
      <c r="BA86" s="185"/>
      <c r="BB86" s="185"/>
      <c r="BC86" s="15"/>
      <c r="BD86" s="9"/>
      <c r="BE86" s="9"/>
      <c r="BF86" s="9"/>
      <c r="BG86" s="10"/>
      <c r="BH86" s="9"/>
      <c r="BI86" s="9"/>
      <c r="BJ86" s="10"/>
      <c r="BK86" s="9"/>
      <c r="DE86" s="95"/>
    </row>
    <row r="87" spans="1:109" ht="27" customHeight="1">
      <c r="A87" s="207"/>
      <c r="B87" s="221"/>
      <c r="C87" s="222"/>
      <c r="D87" s="198"/>
      <c r="E87" s="198"/>
      <c r="F87" s="198"/>
      <c r="G87" s="198"/>
      <c r="H87" s="180"/>
      <c r="I87" s="176"/>
      <c r="J87" s="216"/>
      <c r="K87" s="216"/>
      <c r="L87" s="216"/>
      <c r="M87" s="216"/>
      <c r="N87" s="216"/>
      <c r="O87" s="216"/>
      <c r="P87" s="216"/>
      <c r="Q87" s="216"/>
      <c r="R87" s="216"/>
      <c r="S87" s="216"/>
      <c r="T87" s="178"/>
      <c r="U87" s="178"/>
      <c r="V87" s="661"/>
      <c r="W87" s="155"/>
      <c r="X87" s="155"/>
      <c r="Y87" s="155"/>
      <c r="Z87" s="155"/>
      <c r="AA87" s="155"/>
      <c r="AB87" s="155"/>
      <c r="AC87" s="155"/>
      <c r="AD87" s="155"/>
      <c r="AE87" s="155"/>
      <c r="AF87" s="155"/>
      <c r="AG87" s="155"/>
      <c r="AH87" s="155"/>
      <c r="AI87" s="155"/>
      <c r="AJ87" s="155"/>
      <c r="AK87" s="155"/>
      <c r="AL87" s="155"/>
      <c r="AM87" s="155"/>
      <c r="AN87" s="155"/>
      <c r="AO87" s="155"/>
      <c r="AP87" s="155"/>
      <c r="AQ87" s="155"/>
      <c r="AR87" s="155"/>
      <c r="AS87" s="155"/>
      <c r="AT87" s="155"/>
      <c r="AU87" s="155"/>
      <c r="AV87" s="155"/>
      <c r="AW87" s="155"/>
      <c r="AX87" s="155"/>
      <c r="AY87" s="155"/>
      <c r="AZ87" s="155"/>
      <c r="BA87" s="155"/>
      <c r="BB87" s="155"/>
      <c r="BC87" s="15"/>
      <c r="BD87" s="9"/>
      <c r="BE87" s="9"/>
      <c r="BF87" s="9"/>
      <c r="BI87" s="9"/>
      <c r="BJ87" s="10"/>
      <c r="BK87" s="9"/>
      <c r="DE87" s="95"/>
    </row>
    <row r="88" spans="1:109" ht="27" customHeight="1">
      <c r="A88" s="207"/>
      <c r="B88" s="221"/>
      <c r="C88" s="222"/>
      <c r="D88" s="198"/>
      <c r="E88" s="198"/>
      <c r="F88" s="198"/>
      <c r="G88" s="198"/>
      <c r="H88" s="180"/>
      <c r="I88" s="176"/>
      <c r="J88" s="216"/>
      <c r="K88" s="216"/>
      <c r="L88" s="216"/>
      <c r="M88" s="216"/>
      <c r="N88" s="216"/>
      <c r="O88" s="216"/>
      <c r="P88" s="216"/>
      <c r="Q88" s="216"/>
      <c r="R88" s="216"/>
      <c r="S88" s="216"/>
      <c r="T88" s="178"/>
      <c r="U88" s="178"/>
      <c r="V88" s="661"/>
      <c r="W88" s="155"/>
      <c r="X88" s="155"/>
      <c r="Y88" s="155"/>
      <c r="Z88" s="155"/>
      <c r="AA88" s="155"/>
      <c r="AB88" s="155"/>
      <c r="AC88" s="155"/>
      <c r="AD88" s="155"/>
      <c r="AE88" s="155"/>
      <c r="AF88" s="155"/>
      <c r="AG88" s="155"/>
      <c r="AH88" s="155"/>
      <c r="AI88" s="155"/>
      <c r="AJ88" s="155"/>
      <c r="AK88" s="155"/>
      <c r="AL88" s="155"/>
      <c r="AM88" s="155"/>
      <c r="AN88" s="155"/>
      <c r="AO88" s="155"/>
      <c r="AP88" s="155"/>
      <c r="AQ88" s="155"/>
      <c r="AR88" s="155"/>
      <c r="AS88" s="155"/>
      <c r="AT88" s="155"/>
      <c r="AU88" s="155"/>
      <c r="AV88" s="155"/>
      <c r="AW88" s="155"/>
      <c r="AX88" s="155"/>
      <c r="AY88" s="155"/>
      <c r="AZ88" s="155"/>
      <c r="BA88" s="155"/>
      <c r="BB88" s="155"/>
      <c r="BC88" s="15"/>
      <c r="BD88" s="9"/>
      <c r="BE88" s="9"/>
      <c r="BF88" s="9"/>
      <c r="BI88" s="9"/>
      <c r="BJ88" s="10"/>
      <c r="BK88" s="9"/>
      <c r="DE88" s="95"/>
    </row>
    <row r="89" spans="1:109" ht="27" customHeight="1">
      <c r="A89" s="207"/>
      <c r="B89" s="221"/>
      <c r="C89" s="222"/>
      <c r="D89" s="210"/>
      <c r="E89" s="210"/>
      <c r="F89" s="198"/>
      <c r="G89" s="198"/>
      <c r="H89" s="180"/>
      <c r="I89" s="176"/>
      <c r="J89" s="216"/>
      <c r="K89" s="216"/>
      <c r="L89" s="216"/>
      <c r="M89" s="216"/>
      <c r="N89" s="216"/>
      <c r="O89" s="216"/>
      <c r="P89" s="216"/>
      <c r="Q89" s="216"/>
      <c r="R89" s="216"/>
      <c r="S89" s="216"/>
      <c r="T89" s="178"/>
      <c r="U89" s="178"/>
      <c r="V89" s="661"/>
      <c r="W89" s="223"/>
      <c r="X89" s="198"/>
      <c r="Y89" s="224"/>
      <c r="Z89" s="198"/>
      <c r="AA89" s="198"/>
      <c r="AB89" s="198"/>
      <c r="AC89" s="225"/>
      <c r="AD89" s="198"/>
      <c r="AE89" s="198"/>
      <c r="AF89" s="224"/>
      <c r="AG89" s="198"/>
      <c r="AH89" s="198"/>
      <c r="AI89" s="198"/>
      <c r="AJ89" s="198"/>
      <c r="AK89" s="224"/>
      <c r="AL89" s="198"/>
      <c r="AM89" s="198"/>
      <c r="AN89" s="224"/>
      <c r="AO89" s="198"/>
      <c r="AP89" s="198"/>
      <c r="AQ89" s="224"/>
      <c r="AR89" s="224"/>
      <c r="AS89" s="224"/>
      <c r="AT89" s="224"/>
      <c r="AU89" s="224"/>
      <c r="AV89" s="224"/>
      <c r="AW89" s="224"/>
      <c r="AX89" s="224"/>
      <c r="AY89" s="224"/>
      <c r="AZ89" s="224"/>
      <c r="BA89" s="154"/>
      <c r="BB89" s="154"/>
      <c r="BC89" s="15"/>
      <c r="BD89" s="9"/>
      <c r="BE89" s="9"/>
      <c r="BF89" s="9"/>
      <c r="BI89" s="9"/>
      <c r="BJ89" s="10"/>
      <c r="BK89" s="9"/>
      <c r="DE89" s="95"/>
    </row>
    <row r="90" spans="1:109" ht="27" customHeight="1">
      <c r="A90" s="207"/>
      <c r="B90" s="221"/>
      <c r="C90" s="222"/>
      <c r="D90" s="210"/>
      <c r="E90" s="210"/>
      <c r="F90" s="198"/>
      <c r="G90" s="198"/>
      <c r="H90" s="180"/>
      <c r="I90" s="176"/>
      <c r="J90" s="216"/>
      <c r="K90" s="216"/>
      <c r="L90" s="216"/>
      <c r="M90" s="216"/>
      <c r="N90" s="216"/>
      <c r="O90" s="216"/>
      <c r="P90" s="216"/>
      <c r="Q90" s="216"/>
      <c r="R90" s="216"/>
      <c r="S90" s="216"/>
      <c r="T90" s="178"/>
      <c r="U90" s="178"/>
      <c r="V90" s="661"/>
      <c r="W90" s="198"/>
      <c r="X90" s="198"/>
      <c r="Y90" s="196"/>
      <c r="Z90" s="198"/>
      <c r="AA90" s="198"/>
      <c r="AB90" s="198"/>
      <c r="AC90" s="186"/>
      <c r="AD90" s="158"/>
      <c r="AE90" s="186"/>
      <c r="AF90" s="186"/>
      <c r="AG90" s="158"/>
      <c r="AH90" s="186"/>
      <c r="AI90" s="186"/>
      <c r="AJ90" s="186"/>
      <c r="AK90" s="186"/>
      <c r="AL90" s="158"/>
      <c r="AM90" s="186"/>
      <c r="AN90" s="186"/>
      <c r="AO90" s="158"/>
      <c r="AP90" s="175"/>
      <c r="AQ90" s="226"/>
      <c r="AR90" s="226"/>
      <c r="AS90" s="158"/>
      <c r="AT90" s="226"/>
      <c r="AU90" s="226"/>
      <c r="AV90" s="226"/>
      <c r="AW90" s="226"/>
      <c r="AX90" s="226"/>
      <c r="AY90" s="226"/>
      <c r="AZ90" s="158"/>
      <c r="BA90" s="152"/>
      <c r="BB90" s="152"/>
      <c r="BC90" s="15"/>
      <c r="BD90" s="9"/>
      <c r="BE90" s="9"/>
      <c r="BF90" s="9"/>
      <c r="BI90" s="9"/>
      <c r="BJ90" s="10"/>
      <c r="BK90" s="9"/>
      <c r="DE90" s="95"/>
    </row>
    <row r="91" spans="1:109" ht="27" customHeight="1">
      <c r="A91" s="207"/>
      <c r="B91" s="221"/>
      <c r="C91" s="222"/>
      <c r="D91" s="198"/>
      <c r="E91" s="198"/>
      <c r="F91" s="198"/>
      <c r="G91" s="198"/>
      <c r="H91" s="179"/>
      <c r="I91" s="176"/>
      <c r="J91" s="216"/>
      <c r="K91" s="216"/>
      <c r="L91" s="216"/>
      <c r="M91" s="216"/>
      <c r="N91" s="216"/>
      <c r="O91" s="216"/>
      <c r="P91" s="216"/>
      <c r="Q91" s="216"/>
      <c r="R91" s="216"/>
      <c r="S91" s="216"/>
      <c r="T91" s="178"/>
      <c r="U91" s="178"/>
      <c r="V91" s="661"/>
      <c r="W91" s="198"/>
      <c r="X91" s="198"/>
      <c r="Y91" s="196"/>
      <c r="Z91" s="198"/>
      <c r="AA91" s="198"/>
      <c r="AB91" s="198"/>
      <c r="AC91" s="186"/>
      <c r="AD91" s="158"/>
      <c r="AE91" s="186"/>
      <c r="AF91" s="186"/>
      <c r="AG91" s="158"/>
      <c r="AH91" s="186"/>
      <c r="AI91" s="186"/>
      <c r="AJ91" s="186"/>
      <c r="AK91" s="186"/>
      <c r="AL91" s="158"/>
      <c r="AM91" s="186"/>
      <c r="AN91" s="186"/>
      <c r="AO91" s="158"/>
      <c r="AP91" s="175"/>
      <c r="AQ91" s="226"/>
      <c r="AR91" s="226"/>
      <c r="AS91" s="158"/>
      <c r="AT91" s="226"/>
      <c r="AU91" s="226"/>
      <c r="AV91" s="226"/>
      <c r="AW91" s="226"/>
      <c r="AX91" s="226"/>
      <c r="AY91" s="226"/>
      <c r="AZ91" s="158"/>
      <c r="BA91" s="152"/>
      <c r="BB91" s="152"/>
      <c r="BC91" s="15"/>
      <c r="BD91" s="9"/>
      <c r="BE91" s="9"/>
      <c r="BF91" s="9"/>
      <c r="BI91" s="9"/>
      <c r="BJ91" s="10"/>
      <c r="BK91" s="9"/>
      <c r="DE91" s="95"/>
    </row>
    <row r="92" spans="1:109" ht="27" customHeight="1">
      <c r="A92" s="207"/>
      <c r="B92" s="221"/>
      <c r="C92" s="222"/>
      <c r="D92" s="198"/>
      <c r="E92" s="198"/>
      <c r="F92" s="198"/>
      <c r="G92" s="198"/>
      <c r="H92" s="180"/>
      <c r="I92" s="176"/>
      <c r="J92" s="216"/>
      <c r="K92" s="216"/>
      <c r="L92" s="216"/>
      <c r="M92" s="216"/>
      <c r="N92" s="216"/>
      <c r="O92" s="216"/>
      <c r="P92" s="216"/>
      <c r="Q92" s="216"/>
      <c r="R92" s="216"/>
      <c r="S92" s="216"/>
      <c r="T92" s="178"/>
      <c r="U92" s="178"/>
      <c r="V92" s="661"/>
      <c r="W92" s="198"/>
      <c r="X92" s="198"/>
      <c r="Y92" s="196"/>
      <c r="Z92" s="198"/>
      <c r="AA92" s="198"/>
      <c r="AB92" s="198"/>
      <c r="AC92" s="186"/>
      <c r="AD92" s="158"/>
      <c r="AE92" s="186"/>
      <c r="AF92" s="186"/>
      <c r="AG92" s="158"/>
      <c r="AH92" s="186"/>
      <c r="AI92" s="186"/>
      <c r="AJ92" s="186"/>
      <c r="AK92" s="186"/>
      <c r="AL92" s="158"/>
      <c r="AM92" s="186"/>
      <c r="AN92" s="186"/>
      <c r="AO92" s="158"/>
      <c r="AP92" s="175"/>
      <c r="AQ92" s="226"/>
      <c r="AR92" s="226"/>
      <c r="AS92" s="158"/>
      <c r="AT92" s="226"/>
      <c r="AU92" s="226"/>
      <c r="AV92" s="226"/>
      <c r="AW92" s="226"/>
      <c r="AX92" s="226"/>
      <c r="AY92" s="226"/>
      <c r="AZ92" s="158"/>
      <c r="BA92" s="152"/>
      <c r="BB92" s="152"/>
      <c r="BC92" s="15"/>
      <c r="BD92" s="9"/>
      <c r="BE92" s="9"/>
      <c r="BF92" s="9"/>
      <c r="BI92" s="9"/>
      <c r="BJ92" s="10"/>
      <c r="BK92" s="9"/>
      <c r="DE92" s="95"/>
    </row>
    <row r="93" spans="1:109" ht="27" customHeight="1">
      <c r="A93" s="207"/>
      <c r="B93" s="221"/>
      <c r="C93" s="219"/>
      <c r="D93" s="219"/>
      <c r="E93" s="219"/>
      <c r="F93" s="219"/>
      <c r="G93" s="219"/>
      <c r="H93" s="219"/>
      <c r="I93" s="219"/>
      <c r="J93" s="178"/>
      <c r="K93" s="178"/>
      <c r="L93" s="178"/>
      <c r="M93" s="178"/>
      <c r="N93" s="178"/>
      <c r="O93" s="178"/>
      <c r="P93" s="178"/>
      <c r="Q93" s="178"/>
      <c r="R93" s="178"/>
      <c r="S93" s="178"/>
      <c r="T93" s="178"/>
      <c r="U93" s="178"/>
      <c r="V93" s="661"/>
      <c r="W93" s="198"/>
      <c r="X93" s="198"/>
      <c r="Y93" s="196"/>
      <c r="Z93" s="198"/>
      <c r="AA93" s="198"/>
      <c r="AB93" s="198"/>
      <c r="AC93" s="186"/>
      <c r="AD93" s="158"/>
      <c r="AE93" s="186"/>
      <c r="AF93" s="186"/>
      <c r="AG93" s="158"/>
      <c r="AH93" s="186"/>
      <c r="AI93" s="186"/>
      <c r="AJ93" s="186"/>
      <c r="AK93" s="186"/>
      <c r="AL93" s="158"/>
      <c r="AM93" s="186"/>
      <c r="AN93" s="186"/>
      <c r="AO93" s="158"/>
      <c r="AP93" s="175"/>
      <c r="AQ93" s="226"/>
      <c r="AR93" s="226"/>
      <c r="AS93" s="158"/>
      <c r="AT93" s="226"/>
      <c r="AU93" s="226"/>
      <c r="AV93" s="226"/>
      <c r="AW93" s="226"/>
      <c r="AX93" s="226"/>
      <c r="AY93" s="226"/>
      <c r="AZ93" s="158"/>
      <c r="BA93" s="152"/>
      <c r="BB93" s="152"/>
      <c r="BC93" s="15"/>
      <c r="BD93" s="9"/>
      <c r="BE93" s="9"/>
      <c r="BF93" s="9"/>
      <c r="BI93" s="9"/>
      <c r="BJ93" s="10"/>
      <c r="BK93" s="9"/>
      <c r="DE93" s="95"/>
    </row>
    <row r="94" spans="1:109" ht="27" customHeight="1">
      <c r="A94" s="155"/>
      <c r="B94" s="155"/>
      <c r="C94" s="155"/>
      <c r="D94" s="155"/>
      <c r="E94" s="155"/>
      <c r="F94" s="155"/>
      <c r="G94" s="155"/>
      <c r="H94" s="155"/>
      <c r="I94" s="155"/>
      <c r="J94" s="155"/>
      <c r="K94" s="155"/>
      <c r="L94" s="155"/>
      <c r="M94" s="155"/>
      <c r="N94" s="155"/>
      <c r="O94" s="155"/>
      <c r="P94" s="155"/>
      <c r="Q94" s="155"/>
      <c r="R94" s="155"/>
      <c r="S94" s="155"/>
      <c r="T94" s="155"/>
      <c r="U94" s="155"/>
      <c r="V94" s="664"/>
      <c r="W94" s="198"/>
      <c r="X94" s="198"/>
      <c r="Y94" s="196"/>
      <c r="Z94" s="198"/>
      <c r="AA94" s="198"/>
      <c r="AB94" s="198"/>
      <c r="AC94" s="186"/>
      <c r="AD94" s="158"/>
      <c r="AE94" s="186"/>
      <c r="AF94" s="186"/>
      <c r="AG94" s="158"/>
      <c r="AH94" s="186"/>
      <c r="AI94" s="186"/>
      <c r="AJ94" s="186"/>
      <c r="AK94" s="186"/>
      <c r="AL94" s="158"/>
      <c r="AM94" s="186"/>
      <c r="AN94" s="186"/>
      <c r="AO94" s="158"/>
      <c r="AP94" s="175"/>
      <c r="AQ94" s="226"/>
      <c r="AR94" s="226"/>
      <c r="AS94" s="158"/>
      <c r="AT94" s="226"/>
      <c r="AU94" s="226"/>
      <c r="AV94" s="226"/>
      <c r="AW94" s="226"/>
      <c r="AX94" s="226"/>
      <c r="AY94" s="226"/>
      <c r="AZ94" s="158"/>
      <c r="BA94" s="152"/>
      <c r="BB94" s="152"/>
      <c r="BC94" s="15"/>
      <c r="BD94" s="9"/>
      <c r="BE94" s="9"/>
      <c r="BF94" s="9"/>
      <c r="BI94" s="9"/>
      <c r="BJ94" s="10"/>
      <c r="BK94" s="9"/>
      <c r="DE94" s="95"/>
    </row>
    <row r="95" spans="1:109">
      <c r="DE95" s="95"/>
    </row>
    <row r="96" spans="1:109">
      <c r="DE96" s="95"/>
    </row>
    <row r="97" spans="109:109">
      <c r="DE97" s="95"/>
    </row>
    <row r="98" spans="109:109">
      <c r="DE98" s="95"/>
    </row>
    <row r="99" spans="109:109">
      <c r="DE99" s="95"/>
    </row>
    <row r="100" spans="109:109">
      <c r="DE100" s="95"/>
    </row>
  </sheetData>
  <sheetProtection algorithmName="SHA-512" hashValue="8TJMbHBvTlFa+cvNZ/T9QEj61ZmiUwqYWu6dXAClvVnV9M5f6LMCEYnoGzCJBmPFreIEGfTy8XD9asK3ExwgKA==" saltValue="jglSaDRo3ayj3cc/w5bk3w==" spinCount="100000" sheet="1" selectLockedCells="1"/>
  <mergeCells count="878">
    <mergeCell ref="CC14:CE14"/>
    <mergeCell ref="CT6:CV6"/>
    <mergeCell ref="CT12:CV12"/>
    <mergeCell ref="A21:A29"/>
    <mergeCell ref="BY3:BY21"/>
    <mergeCell ref="BY22:BY35"/>
    <mergeCell ref="BC21:BC29"/>
    <mergeCell ref="W3:W21"/>
    <mergeCell ref="CK7:CM7"/>
    <mergeCell ref="CN7:CP7"/>
    <mergeCell ref="CT3:CV3"/>
    <mergeCell ref="CH6:CJ6"/>
    <mergeCell ref="CK6:CM6"/>
    <mergeCell ref="CH9:CJ9"/>
    <mergeCell ref="CH8:CJ8"/>
    <mergeCell ref="CK8:CM8"/>
    <mergeCell ref="CN8:CP8"/>
    <mergeCell ref="CH5:CJ5"/>
    <mergeCell ref="CK14:CM14"/>
    <mergeCell ref="CT34:CV34"/>
    <mergeCell ref="CN14:CP14"/>
    <mergeCell ref="CT17:CV17"/>
    <mergeCell ref="CT4:CV4"/>
    <mergeCell ref="CQ12:CS12"/>
    <mergeCell ref="CQ4:CS4"/>
    <mergeCell ref="CQ7:CS7"/>
    <mergeCell ref="CQ13:CS13"/>
    <mergeCell ref="CQ5:CS5"/>
    <mergeCell ref="BZ1:CD2"/>
    <mergeCell ref="CE1:CL2"/>
    <mergeCell ref="CM1:CQ2"/>
    <mergeCell ref="CR1:CY2"/>
    <mergeCell ref="CQ3:CS3"/>
    <mergeCell ref="CC7:CE7"/>
    <mergeCell ref="CQ8:CS8"/>
    <mergeCell ref="CT8:CV8"/>
    <mergeCell ref="CN6:CP6"/>
    <mergeCell ref="CT7:CV7"/>
    <mergeCell ref="AR4:AT4"/>
    <mergeCell ref="AR5:AT5"/>
    <mergeCell ref="Y1:AC2"/>
    <mergeCell ref="AD1:AK2"/>
    <mergeCell ref="AM1:AQ2"/>
    <mergeCell ref="AR1:AY2"/>
    <mergeCell ref="CH18:CJ18"/>
    <mergeCell ref="CN18:CP18"/>
    <mergeCell ref="CQ18:CS18"/>
    <mergeCell ref="AR6:AT6"/>
    <mergeCell ref="AR7:AT7"/>
    <mergeCell ref="AU3:AW3"/>
    <mergeCell ref="AU4:AW4"/>
    <mergeCell ref="AU5:AW5"/>
    <mergeCell ref="AU6:AW6"/>
    <mergeCell ref="AO6:AQ6"/>
    <mergeCell ref="AO5:AQ5"/>
    <mergeCell ref="AO7:AQ7"/>
    <mergeCell ref="AL6:AN6"/>
    <mergeCell ref="AL7:AN7"/>
    <mergeCell ref="AF7:AH7"/>
    <mergeCell ref="AI7:AK7"/>
    <mergeCell ref="AI6:AK6"/>
    <mergeCell ref="AA6:AC6"/>
    <mergeCell ref="CT19:CV19"/>
    <mergeCell ref="CT20:CV20"/>
    <mergeCell ref="CT18:CV18"/>
    <mergeCell ref="CT5:CV5"/>
    <mergeCell ref="CH7:CJ7"/>
    <mergeCell ref="CT16:CV16"/>
    <mergeCell ref="CQ15:CS15"/>
    <mergeCell ref="CT13:CV13"/>
    <mergeCell ref="CY31:CY32"/>
    <mergeCell ref="CW31:CW32"/>
    <mergeCell ref="CX31:CX32"/>
    <mergeCell ref="CH27:CJ27"/>
    <mergeCell ref="CK27:CM27"/>
    <mergeCell ref="CN27:CP27"/>
    <mergeCell ref="CQ27:CS27"/>
    <mergeCell ref="CQ16:CS16"/>
    <mergeCell ref="CQ6:CS6"/>
    <mergeCell ref="CH33:CJ33"/>
    <mergeCell ref="CK33:CM33"/>
    <mergeCell ref="CN33:CP33"/>
    <mergeCell ref="CQ33:CS33"/>
    <mergeCell ref="CT33:CV33"/>
    <mergeCell ref="CT24:CV24"/>
    <mergeCell ref="CT22:CV22"/>
    <mergeCell ref="CQ21:CS21"/>
    <mergeCell ref="CT23:CV23"/>
    <mergeCell ref="CT21:CV21"/>
    <mergeCell ref="CN21:CP21"/>
    <mergeCell ref="CT26:CV26"/>
    <mergeCell ref="CT31:CV32"/>
    <mergeCell ref="CQ31:CS32"/>
    <mergeCell ref="CK31:CM32"/>
    <mergeCell ref="CN31:CP32"/>
    <mergeCell ref="CH31:CJ32"/>
    <mergeCell ref="CH28:CJ28"/>
    <mergeCell ref="CK28:CM28"/>
    <mergeCell ref="CN28:CP28"/>
    <mergeCell ref="CT27:CV27"/>
    <mergeCell ref="CZ1:DD1"/>
    <mergeCell ref="CZ2:DA2"/>
    <mergeCell ref="A3:D3"/>
    <mergeCell ref="E3:M3"/>
    <mergeCell ref="AI3:AK3"/>
    <mergeCell ref="AL3:AN3"/>
    <mergeCell ref="A1:M2"/>
    <mergeCell ref="BC3:BF3"/>
    <mergeCell ref="BG3:BO3"/>
    <mergeCell ref="AR3:AT3"/>
    <mergeCell ref="AO3:AQ3"/>
    <mergeCell ref="BZ3:CE3"/>
    <mergeCell ref="CG3:CG4"/>
    <mergeCell ref="CH3:CJ3"/>
    <mergeCell ref="AO4:AQ4"/>
    <mergeCell ref="A4:D4"/>
    <mergeCell ref="AA4:AC4"/>
    <mergeCell ref="BC1:BO2"/>
    <mergeCell ref="BP1:BQ2"/>
    <mergeCell ref="AF4:AH4"/>
    <mergeCell ref="BR1:BW2"/>
    <mergeCell ref="CK3:CM3"/>
    <mergeCell ref="CN3:CP3"/>
    <mergeCell ref="X3:AC3"/>
    <mergeCell ref="CZ10:DA10"/>
    <mergeCell ref="AA11:AC11"/>
    <mergeCell ref="AF11:AH11"/>
    <mergeCell ref="AA10:AC10"/>
    <mergeCell ref="AF10:AH10"/>
    <mergeCell ref="AI11:AK11"/>
    <mergeCell ref="AL9:AN9"/>
    <mergeCell ref="AL10:AN10"/>
    <mergeCell ref="CN10:CP10"/>
    <mergeCell ref="CQ10:CS10"/>
    <mergeCell ref="CT10:CV10"/>
    <mergeCell ref="CK9:CM9"/>
    <mergeCell ref="CN9:CP9"/>
    <mergeCell ref="CQ9:CS9"/>
    <mergeCell ref="CT9:CV9"/>
    <mergeCell ref="CK10:CM10"/>
    <mergeCell ref="CQ11:CS11"/>
    <mergeCell ref="CT11:CV11"/>
    <mergeCell ref="AA9:AC9"/>
    <mergeCell ref="AF9:AH9"/>
    <mergeCell ref="AI9:AK9"/>
    <mergeCell ref="AI10:AK10"/>
    <mergeCell ref="CC11:CE11"/>
    <mergeCell ref="AO10:AQ10"/>
    <mergeCell ref="AL4:AN4"/>
    <mergeCell ref="AL5:AN5"/>
    <mergeCell ref="AF21:AH21"/>
    <mergeCell ref="AF19:AH19"/>
    <mergeCell ref="AI18:AK18"/>
    <mergeCell ref="AI19:AK19"/>
    <mergeCell ref="AA12:AC12"/>
    <mergeCell ref="AF12:AH12"/>
    <mergeCell ref="AI17:AK17"/>
    <mergeCell ref="AA13:AC13"/>
    <mergeCell ref="AF13:AH13"/>
    <mergeCell ref="AI14:AK14"/>
    <mergeCell ref="AA15:AC15"/>
    <mergeCell ref="AE3:AE4"/>
    <mergeCell ref="AF3:AH3"/>
    <mergeCell ref="AI4:AK4"/>
    <mergeCell ref="AI5:AK5"/>
    <mergeCell ref="AA5:AC5"/>
    <mergeCell ref="AF5:AH5"/>
    <mergeCell ref="AA8:AC8"/>
    <mergeCell ref="AF8:AH8"/>
    <mergeCell ref="AA7:AC7"/>
    <mergeCell ref="AF6:AH6"/>
    <mergeCell ref="AL18:AN18"/>
    <mergeCell ref="J21:K21"/>
    <mergeCell ref="P24:Q24"/>
    <mergeCell ref="J23:K23"/>
    <mergeCell ref="AI24:AK24"/>
    <mergeCell ref="AI23:AK23"/>
    <mergeCell ref="AI21:AK21"/>
    <mergeCell ref="Y21:AE21"/>
    <mergeCell ref="Y24:AC24"/>
    <mergeCell ref="R24:S24"/>
    <mergeCell ref="T24:U24"/>
    <mergeCell ref="A5:U7"/>
    <mergeCell ref="B14:F14"/>
    <mergeCell ref="B15:F15"/>
    <mergeCell ref="G15:P15"/>
    <mergeCell ref="T8:T10"/>
    <mergeCell ref="A8:S10"/>
    <mergeCell ref="Y23:AC23"/>
    <mergeCell ref="J24:K24"/>
    <mergeCell ref="AF23:AH23"/>
    <mergeCell ref="AF22:AH22"/>
    <mergeCell ref="X4:X21"/>
    <mergeCell ref="E4:K4"/>
    <mergeCell ref="M4:P4"/>
    <mergeCell ref="P21:Q21"/>
    <mergeCell ref="R21:S21"/>
    <mergeCell ref="T21:U21"/>
    <mergeCell ref="T23:U23"/>
    <mergeCell ref="R23:S23"/>
    <mergeCell ref="B21:G22"/>
    <mergeCell ref="I21:I22"/>
    <mergeCell ref="B23:B29"/>
    <mergeCell ref="C23:G23"/>
    <mergeCell ref="AF24:AH24"/>
    <mergeCell ref="Y26:AC26"/>
    <mergeCell ref="AF14:AH14"/>
    <mergeCell ref="AO12:AQ12"/>
    <mergeCell ref="AL14:AN14"/>
    <mergeCell ref="AL16:AN16"/>
    <mergeCell ref="AA20:AC20"/>
    <mergeCell ref="AA18:AC18"/>
    <mergeCell ref="AA19:AC19"/>
    <mergeCell ref="AL19:AN19"/>
    <mergeCell ref="AL17:AN17"/>
    <mergeCell ref="AF20:AH20"/>
    <mergeCell ref="AF16:AH16"/>
    <mergeCell ref="AF15:AH15"/>
    <mergeCell ref="AA14:AC14"/>
    <mergeCell ref="C25:G25"/>
    <mergeCell ref="J32:K32"/>
    <mergeCell ref="J28:K28"/>
    <mergeCell ref="C24:G24"/>
    <mergeCell ref="J25:K25"/>
    <mergeCell ref="AF31:AH31"/>
    <mergeCell ref="C26:G26"/>
    <mergeCell ref="C29:H29"/>
    <mergeCell ref="C28:G28"/>
    <mergeCell ref="C27:G27"/>
    <mergeCell ref="P30:Q30"/>
    <mergeCell ref="AF29:AH29"/>
    <mergeCell ref="AF27:AH27"/>
    <mergeCell ref="P25:Q25"/>
    <mergeCell ref="R25:S25"/>
    <mergeCell ref="P27:Q27"/>
    <mergeCell ref="R27:S27"/>
    <mergeCell ref="T26:U26"/>
    <mergeCell ref="Y25:AC25"/>
    <mergeCell ref="Y27:AC27"/>
    <mergeCell ref="Y28:AC28"/>
    <mergeCell ref="Y29:AC29"/>
    <mergeCell ref="T29:U29"/>
    <mergeCell ref="P29:Q29"/>
    <mergeCell ref="AF25:AH25"/>
    <mergeCell ref="AF26:AH26"/>
    <mergeCell ref="Y33:AC33"/>
    <mergeCell ref="Y35:AE35"/>
    <mergeCell ref="J35:K35"/>
    <mergeCell ref="Y31:AC31"/>
    <mergeCell ref="X22:X35"/>
    <mergeCell ref="R22:S22"/>
    <mergeCell ref="T22:U22"/>
    <mergeCell ref="Y22:AC22"/>
    <mergeCell ref="J26:K26"/>
    <mergeCell ref="P26:Q26"/>
    <mergeCell ref="P28:Q28"/>
    <mergeCell ref="R29:S29"/>
    <mergeCell ref="R32:S32"/>
    <mergeCell ref="Y32:AC32"/>
    <mergeCell ref="R28:S28"/>
    <mergeCell ref="R26:S26"/>
    <mergeCell ref="W22:W35"/>
    <mergeCell ref="P23:Q23"/>
    <mergeCell ref="T25:U25"/>
    <mergeCell ref="T32:U32"/>
    <mergeCell ref="J29:K29"/>
    <mergeCell ref="J27:K27"/>
    <mergeCell ref="T27:U27"/>
    <mergeCell ref="P33:Q33"/>
    <mergeCell ref="T34:U34"/>
    <mergeCell ref="R33:S33"/>
    <mergeCell ref="J30:K30"/>
    <mergeCell ref="T33:U33"/>
    <mergeCell ref="T30:U30"/>
    <mergeCell ref="P31:Q31"/>
    <mergeCell ref="P34:Q34"/>
    <mergeCell ref="R30:S30"/>
    <mergeCell ref="T28:U28"/>
    <mergeCell ref="D30:G30"/>
    <mergeCell ref="D32:G32"/>
    <mergeCell ref="J46:K46"/>
    <mergeCell ref="P46:Q46"/>
    <mergeCell ref="P37:Q37"/>
    <mergeCell ref="P41:Q41"/>
    <mergeCell ref="R41:S41"/>
    <mergeCell ref="T41:U41"/>
    <mergeCell ref="P38:Q38"/>
    <mergeCell ref="T35:U35"/>
    <mergeCell ref="P35:Q35"/>
    <mergeCell ref="R35:S35"/>
    <mergeCell ref="P40:Q40"/>
    <mergeCell ref="R39:S39"/>
    <mergeCell ref="R38:S38"/>
    <mergeCell ref="T40:U40"/>
    <mergeCell ref="P39:Q39"/>
    <mergeCell ref="P36:Q36"/>
    <mergeCell ref="D43:G43"/>
    <mergeCell ref="D37:G37"/>
    <mergeCell ref="J37:K37"/>
    <mergeCell ref="D39:G39"/>
    <mergeCell ref="J39:K39"/>
    <mergeCell ref="J38:K38"/>
    <mergeCell ref="D31:G31"/>
    <mergeCell ref="R34:S34"/>
    <mergeCell ref="J31:K31"/>
    <mergeCell ref="T31:U31"/>
    <mergeCell ref="R31:S31"/>
    <mergeCell ref="AF35:AH35"/>
    <mergeCell ref="AL39:AN39"/>
    <mergeCell ref="AI42:AK42"/>
    <mergeCell ref="AL42:AN42"/>
    <mergeCell ref="W38:W39"/>
    <mergeCell ref="X39:AE39"/>
    <mergeCell ref="AF38:AH38"/>
    <mergeCell ref="AI39:AK39"/>
    <mergeCell ref="W36:W37"/>
    <mergeCell ref="R36:S36"/>
    <mergeCell ref="T36:U36"/>
    <mergeCell ref="D34:G34"/>
    <mergeCell ref="J34:K34"/>
    <mergeCell ref="D38:G38"/>
    <mergeCell ref="P32:Q32"/>
    <mergeCell ref="D42:G42"/>
    <mergeCell ref="D35:G35"/>
    <mergeCell ref="D33:G33"/>
    <mergeCell ref="J33:K33"/>
    <mergeCell ref="AF32:AH32"/>
    <mergeCell ref="AI31:AK31"/>
    <mergeCell ref="AI32:AK32"/>
    <mergeCell ref="AL32:AN32"/>
    <mergeCell ref="AL31:AN31"/>
    <mergeCell ref="Y34:AC34"/>
    <mergeCell ref="Y30:AC30"/>
    <mergeCell ref="AL38:AN38"/>
    <mergeCell ref="AL33:AN33"/>
    <mergeCell ref="AF30:AH30"/>
    <mergeCell ref="AF34:AH34"/>
    <mergeCell ref="AF36:AH36"/>
    <mergeCell ref="AF37:AH37"/>
    <mergeCell ref="X37:AE37"/>
    <mergeCell ref="X36:AE36"/>
    <mergeCell ref="AR35:AT35"/>
    <mergeCell ref="AI35:AK35"/>
    <mergeCell ref="AO36:AQ36"/>
    <mergeCell ref="AO34:AQ34"/>
    <mergeCell ref="AO35:AQ35"/>
    <mergeCell ref="AO30:AQ30"/>
    <mergeCell ref="R46:S46"/>
    <mergeCell ref="T44:U44"/>
    <mergeCell ref="T37:U37"/>
    <mergeCell ref="R45:S45"/>
    <mergeCell ref="T42:U42"/>
    <mergeCell ref="T38:U38"/>
    <mergeCell ref="AF39:AH39"/>
    <mergeCell ref="T39:U39"/>
    <mergeCell ref="X38:AE38"/>
    <mergeCell ref="R44:S44"/>
    <mergeCell ref="T45:U45"/>
    <mergeCell ref="T46:U46"/>
    <mergeCell ref="AC42:AE42"/>
    <mergeCell ref="AF42:AH42"/>
    <mergeCell ref="T43:U43"/>
    <mergeCell ref="R40:S40"/>
    <mergeCell ref="AO39:AQ39"/>
    <mergeCell ref="AO42:AQ42"/>
    <mergeCell ref="AO38:AQ38"/>
    <mergeCell ref="AO37:AQ37"/>
    <mergeCell ref="AI34:AK34"/>
    <mergeCell ref="AI37:AK37"/>
    <mergeCell ref="AL37:AN37"/>
    <mergeCell ref="AL34:AN34"/>
    <mergeCell ref="AI38:AK38"/>
    <mergeCell ref="AI36:AK36"/>
    <mergeCell ref="AL35:AN35"/>
    <mergeCell ref="AL36:AN36"/>
    <mergeCell ref="AL29:AN29"/>
    <mergeCell ref="AO29:AQ29"/>
    <mergeCell ref="AO31:AQ31"/>
    <mergeCell ref="AO32:AQ32"/>
    <mergeCell ref="AI30:AK30"/>
    <mergeCell ref="AI25:AK25"/>
    <mergeCell ref="AI20:AK20"/>
    <mergeCell ref="AO24:AQ24"/>
    <mergeCell ref="AO25:AQ25"/>
    <mergeCell ref="AL20:AN20"/>
    <mergeCell ref="AI27:AK27"/>
    <mergeCell ref="AI26:AK26"/>
    <mergeCell ref="AI28:AK28"/>
    <mergeCell ref="AI29:AK29"/>
    <mergeCell ref="AL30:AN30"/>
    <mergeCell ref="AR24:AT24"/>
    <mergeCell ref="AL26:AN26"/>
    <mergeCell ref="AL27:AN27"/>
    <mergeCell ref="AL25:AN25"/>
    <mergeCell ref="AR25:AT25"/>
    <mergeCell ref="AR23:AT23"/>
    <mergeCell ref="AL23:AN23"/>
    <mergeCell ref="AL24:AN24"/>
    <mergeCell ref="AL21:AN21"/>
    <mergeCell ref="BT21:BU21"/>
    <mergeCell ref="BV21:BW21"/>
    <mergeCell ref="BZ4:BZ21"/>
    <mergeCell ref="BL24:BM24"/>
    <mergeCell ref="BL25:BM25"/>
    <mergeCell ref="BR26:BS26"/>
    <mergeCell ref="BC17:BW20"/>
    <mergeCell ref="BK21:BK22"/>
    <mergeCell ref="BD23:BD29"/>
    <mergeCell ref="BD21:BI22"/>
    <mergeCell ref="BE28:BI28"/>
    <mergeCell ref="BL28:BM28"/>
    <mergeCell ref="BE29:BJ29"/>
    <mergeCell ref="BE26:BI26"/>
    <mergeCell ref="BR21:BS21"/>
    <mergeCell ref="BT25:BU25"/>
    <mergeCell ref="BE27:BI27"/>
    <mergeCell ref="BE25:BI25"/>
    <mergeCell ref="BC4:BF4"/>
    <mergeCell ref="BG4:BH4"/>
    <mergeCell ref="BL22:BM22"/>
    <mergeCell ref="BT24:BU24"/>
    <mergeCell ref="BR23:BS23"/>
    <mergeCell ref="BL23:BM23"/>
    <mergeCell ref="BV31:BW31"/>
    <mergeCell ref="BT32:BU32"/>
    <mergeCell ref="BV32:BW32"/>
    <mergeCell ref="BT28:BU28"/>
    <mergeCell ref="BV28:BW28"/>
    <mergeCell ref="BT22:BU22"/>
    <mergeCell ref="BR28:BS28"/>
    <mergeCell ref="BV25:BW25"/>
    <mergeCell ref="BL30:BM30"/>
    <mergeCell ref="BL27:BM27"/>
    <mergeCell ref="BR27:BS27"/>
    <mergeCell ref="BT27:BU27"/>
    <mergeCell ref="BL29:BM29"/>
    <mergeCell ref="BR30:BS30"/>
    <mergeCell ref="BT30:BU30"/>
    <mergeCell ref="BT31:BU31"/>
    <mergeCell ref="BL31:BM31"/>
    <mergeCell ref="BR31:BS31"/>
    <mergeCell ref="BR29:BS29"/>
    <mergeCell ref="BT29:BU29"/>
    <mergeCell ref="BV29:BW29"/>
    <mergeCell ref="BP3:BW3"/>
    <mergeCell ref="CC13:CE13"/>
    <mergeCell ref="CH13:CJ13"/>
    <mergeCell ref="CK13:CM13"/>
    <mergeCell ref="CN13:CP13"/>
    <mergeCell ref="CH10:CJ10"/>
    <mergeCell ref="CK11:CM11"/>
    <mergeCell ref="CN11:CP11"/>
    <mergeCell ref="CC8:CE8"/>
    <mergeCell ref="CC10:CE10"/>
    <mergeCell ref="CH12:CJ12"/>
    <mergeCell ref="CK12:CM12"/>
    <mergeCell ref="CN12:CP12"/>
    <mergeCell ref="CC4:CE4"/>
    <mergeCell ref="CH4:CJ4"/>
    <mergeCell ref="CN4:CP4"/>
    <mergeCell ref="CC9:CE9"/>
    <mergeCell ref="CC12:CE12"/>
    <mergeCell ref="CC5:CE5"/>
    <mergeCell ref="CC6:CE6"/>
    <mergeCell ref="CH11:CJ11"/>
    <mergeCell ref="CK5:CM5"/>
    <mergeCell ref="CN5:CP5"/>
    <mergeCell ref="CK4:CM4"/>
    <mergeCell ref="CC20:CE20"/>
    <mergeCell ref="CC17:CE17"/>
    <mergeCell ref="CA22:CE22"/>
    <mergeCell ref="CA23:CE23"/>
    <mergeCell ref="CC16:CE16"/>
    <mergeCell ref="CK23:CM23"/>
    <mergeCell ref="CK15:CM15"/>
    <mergeCell ref="CN15:CP15"/>
    <mergeCell ref="CN17:CP17"/>
    <mergeCell ref="CK17:CM17"/>
    <mergeCell ref="CA21:CG21"/>
    <mergeCell ref="CC19:CE19"/>
    <mergeCell ref="CH19:CJ19"/>
    <mergeCell ref="CK19:CM19"/>
    <mergeCell ref="CN19:CP19"/>
    <mergeCell ref="CK16:CM16"/>
    <mergeCell ref="CC15:CE15"/>
    <mergeCell ref="CH15:CJ15"/>
    <mergeCell ref="CN16:CP16"/>
    <mergeCell ref="CK20:CM20"/>
    <mergeCell ref="CN20:CP20"/>
    <mergeCell ref="CC18:CE18"/>
    <mergeCell ref="CH23:CJ23"/>
    <mergeCell ref="CH16:CJ16"/>
    <mergeCell ref="CT35:CV35"/>
    <mergeCell ref="CQ14:CS14"/>
    <mergeCell ref="CT14:CV14"/>
    <mergeCell ref="CH22:CJ22"/>
    <mergeCell ref="CK22:CM22"/>
    <mergeCell ref="CH21:CJ21"/>
    <mergeCell ref="CK21:CM21"/>
    <mergeCell ref="CH17:CJ17"/>
    <mergeCell ref="CH35:CJ35"/>
    <mergeCell ref="CQ35:CS35"/>
    <mergeCell ref="CH24:CJ24"/>
    <mergeCell ref="CQ19:CS19"/>
    <mergeCell ref="CN23:CP23"/>
    <mergeCell ref="CQ23:CS23"/>
    <mergeCell ref="CN22:CP22"/>
    <mergeCell ref="CQ22:CS22"/>
    <mergeCell ref="CK18:CM18"/>
    <mergeCell ref="CH20:CJ20"/>
    <mergeCell ref="CT15:CV15"/>
    <mergeCell ref="CH34:CJ34"/>
    <mergeCell ref="CK34:CM34"/>
    <mergeCell ref="CN34:CP34"/>
    <mergeCell ref="CN35:CP35"/>
    <mergeCell ref="CH14:CJ14"/>
    <mergeCell ref="CA33:CE33"/>
    <mergeCell ref="CA32:CE32"/>
    <mergeCell ref="CH25:CJ25"/>
    <mergeCell ref="CK25:CM25"/>
    <mergeCell ref="CN25:CP25"/>
    <mergeCell ref="CK35:CM35"/>
    <mergeCell ref="CQ34:CS34"/>
    <mergeCell ref="BZ22:BZ35"/>
    <mergeCell ref="BE23:BI23"/>
    <mergeCell ref="BE24:BI24"/>
    <mergeCell ref="CA26:CE26"/>
    <mergeCell ref="CA27:CE27"/>
    <mergeCell ref="CA24:CE24"/>
    <mergeCell ref="CA25:CE25"/>
    <mergeCell ref="BV35:BW35"/>
    <mergeCell ref="BV33:BW33"/>
    <mergeCell ref="BR22:BS22"/>
    <mergeCell ref="BR25:BS25"/>
    <mergeCell ref="BV22:BW22"/>
    <mergeCell ref="BT23:BU23"/>
    <mergeCell ref="BV23:BW23"/>
    <mergeCell ref="BV24:BW24"/>
    <mergeCell ref="BL26:BM26"/>
    <mergeCell ref="BR24:BS24"/>
    <mergeCell ref="BZ36:CG36"/>
    <mergeCell ref="BZ37:CG37"/>
    <mergeCell ref="BL37:BM37"/>
    <mergeCell ref="BZ38:CG38"/>
    <mergeCell ref="BZ39:CG39"/>
    <mergeCell ref="BR38:BS38"/>
    <mergeCell ref="BT38:BU38"/>
    <mergeCell ref="CQ28:CS28"/>
    <mergeCell ref="CQ17:CS17"/>
    <mergeCell ref="CQ20:CS20"/>
    <mergeCell ref="BV30:BW30"/>
    <mergeCell ref="CK24:CM24"/>
    <mergeCell ref="CN24:CP24"/>
    <mergeCell ref="CQ24:CS24"/>
    <mergeCell ref="CA35:CG35"/>
    <mergeCell ref="CA31:CE31"/>
    <mergeCell ref="CG31:CG32"/>
    <mergeCell ref="CA28:CE28"/>
    <mergeCell ref="CF31:CF32"/>
    <mergeCell ref="CA30:CE30"/>
    <mergeCell ref="BV26:BW26"/>
    <mergeCell ref="BV27:BW27"/>
    <mergeCell ref="BV34:BW34"/>
    <mergeCell ref="CA34:CE34"/>
    <mergeCell ref="CT36:CV36"/>
    <mergeCell ref="BV37:BW37"/>
    <mergeCell ref="CK38:CM38"/>
    <mergeCell ref="CN38:CP38"/>
    <mergeCell ref="CQ38:CS38"/>
    <mergeCell ref="CT39:CV39"/>
    <mergeCell ref="CT38:CV38"/>
    <mergeCell ref="CT37:CV37"/>
    <mergeCell ref="BL36:BM36"/>
    <mergeCell ref="BR36:BS36"/>
    <mergeCell ref="BT36:BU36"/>
    <mergeCell ref="BV36:BW36"/>
    <mergeCell ref="CH36:CJ36"/>
    <mergeCell ref="CK36:CM36"/>
    <mergeCell ref="CN36:CP36"/>
    <mergeCell ref="CQ36:CS36"/>
    <mergeCell ref="BY38:BY39"/>
    <mergeCell ref="CH37:CJ37"/>
    <mergeCell ref="CK37:CM37"/>
    <mergeCell ref="CN37:CP37"/>
    <mergeCell ref="CQ37:CS37"/>
    <mergeCell ref="CH38:CJ38"/>
    <mergeCell ref="BY36:BY37"/>
    <mergeCell ref="BR37:BS37"/>
    <mergeCell ref="DC47:DD47"/>
    <mergeCell ref="DC40:DD40"/>
    <mergeCell ref="BV40:BW40"/>
    <mergeCell ref="BT39:BU39"/>
    <mergeCell ref="BV39:BW39"/>
    <mergeCell ref="CH39:CJ39"/>
    <mergeCell ref="CK39:CM39"/>
    <mergeCell ref="CN39:CP39"/>
    <mergeCell ref="BR39:BS39"/>
    <mergeCell ref="CQ39:CS39"/>
    <mergeCell ref="BV47:BW47"/>
    <mergeCell ref="BR47:BS47"/>
    <mergeCell ref="BT47:BU47"/>
    <mergeCell ref="BV46:BW46"/>
    <mergeCell ref="BV43:BW43"/>
    <mergeCell ref="BV44:BW44"/>
    <mergeCell ref="BJ55:BK55"/>
    <mergeCell ref="AR36:AT36"/>
    <mergeCell ref="AR39:AT39"/>
    <mergeCell ref="BV42:BW42"/>
    <mergeCell ref="BF42:BI42"/>
    <mergeCell ref="BF41:BI41"/>
    <mergeCell ref="BV41:BW41"/>
    <mergeCell ref="BV38:BW38"/>
    <mergeCell ref="BT37:BU37"/>
    <mergeCell ref="AR38:AT38"/>
    <mergeCell ref="AR37:AT37"/>
    <mergeCell ref="AR42:AU42"/>
    <mergeCell ref="BL39:BM39"/>
    <mergeCell ref="AX36:AZ36"/>
    <mergeCell ref="AX37:AZ37"/>
    <mergeCell ref="AX38:AZ38"/>
    <mergeCell ref="AX39:AZ39"/>
    <mergeCell ref="AU36:AW36"/>
    <mergeCell ref="AU37:AW37"/>
    <mergeCell ref="BE39:BE46"/>
    <mergeCell ref="BF46:BI46"/>
    <mergeCell ref="BE47:BJ47"/>
    <mergeCell ref="BF45:BI45"/>
    <mergeCell ref="BV45:BW45"/>
    <mergeCell ref="AX33:AZ33"/>
    <mergeCell ref="AX34:AZ34"/>
    <mergeCell ref="BE30:BE38"/>
    <mergeCell ref="BD30:BD47"/>
    <mergeCell ref="BC30:BC47"/>
    <mergeCell ref="BL47:BM47"/>
    <mergeCell ref="BF36:BI36"/>
    <mergeCell ref="BR33:BS33"/>
    <mergeCell ref="BF39:BI39"/>
    <mergeCell ref="BR34:BS34"/>
    <mergeCell ref="BF31:BI31"/>
    <mergeCell ref="BF30:BI30"/>
    <mergeCell ref="BF33:BI33"/>
    <mergeCell ref="BL33:BM33"/>
    <mergeCell ref="BF35:BI35"/>
    <mergeCell ref="BR32:BS32"/>
    <mergeCell ref="BF43:BI43"/>
    <mergeCell ref="BF44:BI44"/>
    <mergeCell ref="BL35:BM35"/>
    <mergeCell ref="BF37:BI37"/>
    <mergeCell ref="BF38:BI38"/>
    <mergeCell ref="BL38:BM38"/>
    <mergeCell ref="BR35:BS35"/>
    <mergeCell ref="BF40:BI40"/>
    <mergeCell ref="BT33:BU33"/>
    <mergeCell ref="BT34:BU34"/>
    <mergeCell ref="BT35:BU35"/>
    <mergeCell ref="BF32:BI32"/>
    <mergeCell ref="BL32:BM32"/>
    <mergeCell ref="BF34:BI34"/>
    <mergeCell ref="BL34:BM34"/>
    <mergeCell ref="N1:U3"/>
    <mergeCell ref="CT28:CV28"/>
    <mergeCell ref="CH29:CJ29"/>
    <mergeCell ref="CK29:CM29"/>
    <mergeCell ref="CN29:CP29"/>
    <mergeCell ref="CQ29:CS29"/>
    <mergeCell ref="CT29:CV29"/>
    <mergeCell ref="CH30:CJ30"/>
    <mergeCell ref="CK30:CM30"/>
    <mergeCell ref="CN30:CP30"/>
    <mergeCell ref="CQ30:CS30"/>
    <mergeCell ref="CT30:CV30"/>
    <mergeCell ref="CT25:CV25"/>
    <mergeCell ref="CH26:CJ26"/>
    <mergeCell ref="CK26:CM26"/>
    <mergeCell ref="CN26:CP26"/>
    <mergeCell ref="CQ26:CS26"/>
    <mergeCell ref="CA29:CE29"/>
    <mergeCell ref="BT26:BU26"/>
    <mergeCell ref="CQ25:CS25"/>
    <mergeCell ref="D60:I60"/>
    <mergeCell ref="D61:I61"/>
    <mergeCell ref="D62:I62"/>
    <mergeCell ref="D63:I63"/>
    <mergeCell ref="D65:G65"/>
    <mergeCell ref="Y43:AB43"/>
    <mergeCell ref="Y44:AB44"/>
    <mergeCell ref="W41:AA41"/>
    <mergeCell ref="W42:X42"/>
    <mergeCell ref="Y42:AB42"/>
    <mergeCell ref="J44:K44"/>
    <mergeCell ref="D45:G45"/>
    <mergeCell ref="P43:Q43"/>
    <mergeCell ref="R43:S43"/>
    <mergeCell ref="J42:K42"/>
    <mergeCell ref="P42:Q42"/>
    <mergeCell ref="J41:K41"/>
    <mergeCell ref="P45:Q45"/>
    <mergeCell ref="P44:Q44"/>
    <mergeCell ref="D50:I50"/>
    <mergeCell ref="D51:I51"/>
    <mergeCell ref="D52:I52"/>
    <mergeCell ref="D53:I53"/>
    <mergeCell ref="D41:G41"/>
    <mergeCell ref="D54:I54"/>
    <mergeCell ref="D55:I55"/>
    <mergeCell ref="D57:G57"/>
    <mergeCell ref="D58:I58"/>
    <mergeCell ref="D59:I59"/>
    <mergeCell ref="AX3:AZ3"/>
    <mergeCell ref="AX4:AZ4"/>
    <mergeCell ref="AU21:AW21"/>
    <mergeCell ref="AX21:AZ21"/>
    <mergeCell ref="AU7:AW7"/>
    <mergeCell ref="AU8:AW8"/>
    <mergeCell ref="AU9:AW9"/>
    <mergeCell ref="AU10:AW10"/>
    <mergeCell ref="AU11:AW11"/>
    <mergeCell ref="AU12:AW12"/>
    <mergeCell ref="AU13:AW13"/>
    <mergeCell ref="AU14:AW14"/>
    <mergeCell ref="AU15:AW15"/>
    <mergeCell ref="AU24:AW24"/>
    <mergeCell ref="AU25:AW25"/>
    <mergeCell ref="AU26:AW26"/>
    <mergeCell ref="AU38:AW38"/>
    <mergeCell ref="AU39:AW39"/>
    <mergeCell ref="AX35:AZ35"/>
    <mergeCell ref="AU35:AW35"/>
    <mergeCell ref="AR33:AT33"/>
    <mergeCell ref="AR34:AT34"/>
    <mergeCell ref="AL22:AN22"/>
    <mergeCell ref="AI22:AK22"/>
    <mergeCell ref="J22:K22"/>
    <mergeCell ref="P22:Q22"/>
    <mergeCell ref="AU22:AW22"/>
    <mergeCell ref="AU23:AW23"/>
    <mergeCell ref="AU30:AW30"/>
    <mergeCell ref="AU33:AW33"/>
    <mergeCell ref="AU34:AW34"/>
    <mergeCell ref="AF33:AH33"/>
    <mergeCell ref="AI33:AK33"/>
    <mergeCell ref="AF28:AH28"/>
    <mergeCell ref="AO33:AQ33"/>
    <mergeCell ref="AU28:AW28"/>
    <mergeCell ref="AR22:AT22"/>
    <mergeCell ref="AR30:AT30"/>
    <mergeCell ref="AL28:AN28"/>
    <mergeCell ref="AO28:AQ28"/>
    <mergeCell ref="AR19:AT19"/>
    <mergeCell ref="AR20:AT20"/>
    <mergeCell ref="Q12:S12"/>
    <mergeCell ref="Q13:S13"/>
    <mergeCell ref="AO17:AQ17"/>
    <mergeCell ref="AO18:AQ18"/>
    <mergeCell ref="AU16:AW16"/>
    <mergeCell ref="AU17:AW17"/>
    <mergeCell ref="AU18:AW18"/>
    <mergeCell ref="Q14:S14"/>
    <mergeCell ref="AR18:AT18"/>
    <mergeCell ref="AF18:AH18"/>
    <mergeCell ref="AI13:AK13"/>
    <mergeCell ref="AA16:AC16"/>
    <mergeCell ref="A18:U20"/>
    <mergeCell ref="B17:F17"/>
    <mergeCell ref="G17:P17"/>
    <mergeCell ref="Q17:S17"/>
    <mergeCell ref="A12:A17"/>
    <mergeCell ref="AL12:AN12"/>
    <mergeCell ref="AI12:AK12"/>
    <mergeCell ref="Q15:S15"/>
    <mergeCell ref="B12:F12"/>
    <mergeCell ref="B13:F13"/>
    <mergeCell ref="AO8:AQ8"/>
    <mergeCell ref="AO9:AQ9"/>
    <mergeCell ref="AI15:AK15"/>
    <mergeCell ref="AI16:AK16"/>
    <mergeCell ref="AL15:AN15"/>
    <mergeCell ref="AL13:AN13"/>
    <mergeCell ref="AO13:AQ13"/>
    <mergeCell ref="AO14:AQ14"/>
    <mergeCell ref="AO15:AQ15"/>
    <mergeCell ref="AO16:AQ16"/>
    <mergeCell ref="AL8:AN8"/>
    <mergeCell ref="AI8:AK8"/>
    <mergeCell ref="AO11:AQ11"/>
    <mergeCell ref="AL11:AN11"/>
    <mergeCell ref="AR8:AT8"/>
    <mergeCell ref="AR9:AT9"/>
    <mergeCell ref="AR10:AT10"/>
    <mergeCell ref="AR11:AT11"/>
    <mergeCell ref="AR12:AT12"/>
    <mergeCell ref="AR13:AT13"/>
    <mergeCell ref="AR17:AT17"/>
    <mergeCell ref="AR14:AT14"/>
    <mergeCell ref="AR15:AT15"/>
    <mergeCell ref="AR16:AT16"/>
    <mergeCell ref="B30:B47"/>
    <mergeCell ref="A11:P11"/>
    <mergeCell ref="C30:C38"/>
    <mergeCell ref="C39:C46"/>
    <mergeCell ref="D46:G46"/>
    <mergeCell ref="C47:H47"/>
    <mergeCell ref="T47:U47"/>
    <mergeCell ref="J47:K47"/>
    <mergeCell ref="P47:Q47"/>
    <mergeCell ref="R47:S47"/>
    <mergeCell ref="R42:S42"/>
    <mergeCell ref="G12:P12"/>
    <mergeCell ref="G13:P13"/>
    <mergeCell ref="G14:P14"/>
    <mergeCell ref="Q11:S11"/>
    <mergeCell ref="A30:A47"/>
    <mergeCell ref="R37:S37"/>
    <mergeCell ref="D36:G36"/>
    <mergeCell ref="J36:K36"/>
    <mergeCell ref="J45:K45"/>
    <mergeCell ref="D44:G44"/>
    <mergeCell ref="D40:G40"/>
    <mergeCell ref="J40:K40"/>
    <mergeCell ref="J43:K43"/>
    <mergeCell ref="AR31:AT31"/>
    <mergeCell ref="AR32:AT32"/>
    <mergeCell ref="AU31:AW31"/>
    <mergeCell ref="AU32:AW32"/>
    <mergeCell ref="AX31:AZ31"/>
    <mergeCell ref="AX32:AZ32"/>
    <mergeCell ref="AU27:AW27"/>
    <mergeCell ref="AU29:AW29"/>
    <mergeCell ref="AX28:AZ28"/>
    <mergeCell ref="AX29:AZ29"/>
    <mergeCell ref="AX30:AZ30"/>
    <mergeCell ref="AR29:AT29"/>
    <mergeCell ref="AR28:AT28"/>
    <mergeCell ref="AR27:AT27"/>
    <mergeCell ref="AX22:AZ22"/>
    <mergeCell ref="AX23:AZ23"/>
    <mergeCell ref="AX24:AZ24"/>
    <mergeCell ref="AX25:AZ25"/>
    <mergeCell ref="AX26:AZ26"/>
    <mergeCell ref="AX27:AZ27"/>
    <mergeCell ref="BS16:BU16"/>
    <mergeCell ref="B16:F16"/>
    <mergeCell ref="G16:P16"/>
    <mergeCell ref="Q16:S16"/>
    <mergeCell ref="BL21:BM21"/>
    <mergeCell ref="AU19:AW19"/>
    <mergeCell ref="AA17:AC17"/>
    <mergeCell ref="AF17:AH17"/>
    <mergeCell ref="AU20:AW20"/>
    <mergeCell ref="AO21:AQ21"/>
    <mergeCell ref="AO23:AQ23"/>
    <mergeCell ref="AO26:AQ26"/>
    <mergeCell ref="AR26:AT26"/>
    <mergeCell ref="AO27:AQ27"/>
    <mergeCell ref="AO19:AQ19"/>
    <mergeCell ref="AO20:AQ20"/>
    <mergeCell ref="AO22:AQ22"/>
    <mergeCell ref="AR21:AT21"/>
    <mergeCell ref="BC5:BW7"/>
    <mergeCell ref="BC8:BU10"/>
    <mergeCell ref="BV8:BV10"/>
    <mergeCell ref="BC11:BR11"/>
    <mergeCell ref="BS11:BU11"/>
    <mergeCell ref="BC12:BC16"/>
    <mergeCell ref="BD12:BH12"/>
    <mergeCell ref="BI12:BR12"/>
    <mergeCell ref="BS12:BU12"/>
    <mergeCell ref="BD13:BH13"/>
    <mergeCell ref="BI13:BR13"/>
    <mergeCell ref="BS13:BU13"/>
    <mergeCell ref="BD14:BH14"/>
    <mergeCell ref="BI14:BR14"/>
    <mergeCell ref="BS14:BU14"/>
    <mergeCell ref="BD15:BH15"/>
    <mergeCell ref="BI15:BR15"/>
    <mergeCell ref="BS15:BU15"/>
    <mergeCell ref="BD16:BH16"/>
    <mergeCell ref="BI16:BR16"/>
  </mergeCells>
  <phoneticPr fontId="2"/>
  <conditionalFormatting sqref="H38:S38">
    <cfRule type="expression" dxfId="65" priority="12">
      <formula>$U$9=TRUE</formula>
    </cfRule>
  </conditionalFormatting>
  <conditionalFormatting sqref="I23 BK23">
    <cfRule type="expression" dxfId="64" priority="180">
      <formula>$T$23="人数を再確認！"</formula>
    </cfRule>
  </conditionalFormatting>
  <conditionalFormatting sqref="I24 BK24">
    <cfRule type="expression" dxfId="63" priority="179">
      <formula>$T$24="人数を再確認！"</formula>
    </cfRule>
  </conditionalFormatting>
  <conditionalFormatting sqref="I25 BK25">
    <cfRule type="expression" dxfId="62" priority="178">
      <formula>$T$25="人数を再確認！"</formula>
    </cfRule>
  </conditionalFormatting>
  <conditionalFormatting sqref="I26:I28 BK26:BK28">
    <cfRule type="expression" dxfId="61" priority="177">
      <formula>$T$26="人数を再確認！"</formula>
    </cfRule>
  </conditionalFormatting>
  <conditionalFormatting sqref="I29 BK29">
    <cfRule type="expression" dxfId="60" priority="172">
      <formula>$T$29="人数を再確認！"</formula>
    </cfRule>
  </conditionalFormatting>
  <conditionalFormatting sqref="I30 BK30">
    <cfRule type="expression" dxfId="59" priority="176">
      <formula>$T$30="人数を再確認！"</formula>
    </cfRule>
  </conditionalFormatting>
  <conditionalFormatting sqref="I31 BK31">
    <cfRule type="expression" dxfId="58" priority="175">
      <formula>$T$31="人数を再確認！"</formula>
    </cfRule>
  </conditionalFormatting>
  <conditionalFormatting sqref="I32 BK32">
    <cfRule type="expression" dxfId="57" priority="174">
      <formula>$T$32="人数を再確認！"</formula>
    </cfRule>
  </conditionalFormatting>
  <conditionalFormatting sqref="I33:I37 BK33:BK37">
    <cfRule type="expression" dxfId="56" priority="173">
      <formula>$T$33="人数を再確認！"</formula>
    </cfRule>
  </conditionalFormatting>
  <conditionalFormatting sqref="I38:I39 BK38:BK39">
    <cfRule type="expression" dxfId="55" priority="170">
      <formula>$T$38="人数を再確認！"</formula>
    </cfRule>
  </conditionalFormatting>
  <conditionalFormatting sqref="I39:I40 BK39:BK40">
    <cfRule type="expression" dxfId="54" priority="169">
      <formula>$T$39="人数を再確認！"</formula>
    </cfRule>
  </conditionalFormatting>
  <conditionalFormatting sqref="I40:I41 BK40:BK41">
    <cfRule type="expression" dxfId="53" priority="168">
      <formula>$T$40="人数を再確認！"</formula>
    </cfRule>
  </conditionalFormatting>
  <conditionalFormatting sqref="I41:I42 BK41:BK42">
    <cfRule type="expression" dxfId="52" priority="167">
      <formula>$T$41="人数を再確認！"</formula>
    </cfRule>
  </conditionalFormatting>
  <conditionalFormatting sqref="I45:I46 BK45:BK46">
    <cfRule type="expression" dxfId="51" priority="166">
      <formula>$T$45="人数を再確認！"</formula>
    </cfRule>
  </conditionalFormatting>
  <conditionalFormatting sqref="I46:I47 T46:T47 BK46:BK47 BV46:BV47">
    <cfRule type="expression" dxfId="50" priority="165">
      <formula>$T$46="人数を再確認！"</formula>
    </cfRule>
  </conditionalFormatting>
  <conditionalFormatting sqref="J23:K23 BL23:BM23">
    <cfRule type="expression" priority="262" stopIfTrue="1">
      <formula>$H$4&lt;=12</formula>
    </cfRule>
  </conditionalFormatting>
  <conditionalFormatting sqref="J23:S28 J38:R39 E3:E4 M4 R4 T4 AF5:AK10 CH5:CM10 AL5:AL20 AO5:AO20 AR5:AR20 AU5:AU20 AX5:AZ20 CN5:CN20 CQ5:CQ20 CT5:CT20 CW5:CX20 G11:G17 Q11:Q17 AF11:AI20 CH11:CK20 BL38:BU46 J40:J47 L40:P47 R40:R47">
    <cfRule type="containsBlanks" dxfId="49" priority="371" stopIfTrue="1">
      <formula>LEN(TRIM(E3))=0</formula>
    </cfRule>
  </conditionalFormatting>
  <conditionalFormatting sqref="T12">
    <cfRule type="expression" dxfId="48" priority="20" stopIfTrue="1">
      <formula>U$12=TRUE</formula>
    </cfRule>
    <cfRule type="expression" dxfId="47" priority="18" stopIfTrue="1">
      <formula>$U12=TRUE</formula>
    </cfRule>
    <cfRule type="expression" dxfId="46" priority="25">
      <formula>$U$12=TRUE</formula>
    </cfRule>
  </conditionalFormatting>
  <conditionalFormatting sqref="T13">
    <cfRule type="expression" dxfId="45" priority="26">
      <formula>$U$13=TRUE</formula>
    </cfRule>
  </conditionalFormatting>
  <conditionalFormatting sqref="T14">
    <cfRule type="expression" priority="29">
      <formula>$U$14=TRUE</formula>
    </cfRule>
    <cfRule type="expression" dxfId="44" priority="31" stopIfTrue="1">
      <formula>$U$14=TRUE</formula>
    </cfRule>
  </conditionalFormatting>
  <conditionalFormatting sqref="T15">
    <cfRule type="expression" dxfId="43" priority="23">
      <formula>$U$15=TRUE</formula>
    </cfRule>
  </conditionalFormatting>
  <conditionalFormatting sqref="T16:T17">
    <cfRule type="expression" dxfId="42" priority="28">
      <formula>$U$16=TRUE</formula>
    </cfRule>
  </conditionalFormatting>
  <conditionalFormatting sqref="T22 BV22 AE23:AE24 CG23:CG24 AF35 AI35 AL35 AO35 AR35 CH35 CK35 CN35 CQ35 CT35 AZ41 CA41:CH41 CJ41:CM41 CO41:CP41 CR41:CS41 CU41:CX41 AC41:AC42 AF41:AF42 AI41:AI42 AL41:AL42 AO41:AO42 AR41:AR42 Y42 CI42 CL42 CO42 AD42:AD44 AG42:AG44 AJ42:AJ44 AM42:AM44 AP42:AP44 X42:X47 BZ42:BZ47 CC42:CC47 CF42:CF47 CD43:CE47 CH43:CI47 CK43:CL47 CN43:CO47 CR43:CR47 CS44:CS47 AA45:AD47 AF45:AG47 AI45:AJ47 AL45:AM47 AP45:AQ47">
    <cfRule type="cellIs" dxfId="41" priority="350" stopIfTrue="1" operator="between">
      <formula>0</formula>
      <formula>0</formula>
    </cfRule>
  </conditionalFormatting>
  <conditionalFormatting sqref="T45:T46">
    <cfRule type="containsText" dxfId="40" priority="32" operator="containsText" text="人数を再確認！">
      <formula>NOT(ISERROR(SEARCH("人数を再確認！",T45)))</formula>
    </cfRule>
  </conditionalFormatting>
  <conditionalFormatting sqref="T23:U39 BV23:BW39 T40:T42 BV40:BV42">
    <cfRule type="cellIs" dxfId="39" priority="186" operator="equal">
      <formula>"人数を再確認！"</formula>
    </cfRule>
  </conditionalFormatting>
  <conditionalFormatting sqref="AE5:AE20">
    <cfRule type="expression" dxfId="38" priority="158">
      <formula>BA5="人数を再確認！"</formula>
    </cfRule>
  </conditionalFormatting>
  <conditionalFormatting sqref="AF36:AZ36 CH36:CY36 AF38:AZ38 CH38:CX38">
    <cfRule type="cellIs" dxfId="37" priority="137" stopIfTrue="1" operator="equal">
      <formula>0</formula>
    </cfRule>
  </conditionalFormatting>
  <conditionalFormatting sqref="AF37:AZ37 CH37:CX37">
    <cfRule type="cellIs" dxfId="36" priority="131" operator="equal">
      <formula>0</formula>
    </cfRule>
  </conditionalFormatting>
  <conditionalFormatting sqref="AU35 AX35 CW35:CX35">
    <cfRule type="cellIs" dxfId="35" priority="130" operator="equal">
      <formula>0</formula>
    </cfRule>
  </conditionalFormatting>
  <conditionalFormatting sqref="BA5:BB20 CY5:CY20">
    <cfRule type="expression" dxfId="34" priority="163">
      <formula>BA5="人数を再確認！"</formula>
    </cfRule>
  </conditionalFormatting>
  <conditionalFormatting sqref="BA21:BB21 CY21">
    <cfRule type="expression" dxfId="33" priority="162">
      <formula>$BA$21="人数を再確認！"</formula>
    </cfRule>
  </conditionalFormatting>
  <conditionalFormatting sqref="BA35:BB35 CY35">
    <cfRule type="expression" dxfId="32" priority="159">
      <formula>$BA$35="数量を再確認！"</formula>
    </cfRule>
  </conditionalFormatting>
  <conditionalFormatting sqref="BI11:BI16 BS11:BS16">
    <cfRule type="containsBlanks" dxfId="31" priority="11" stopIfTrue="1">
      <formula>LEN(TRIM(BI11))=0</formula>
    </cfRule>
  </conditionalFormatting>
  <conditionalFormatting sqref="BL23:BU28 AF22:AU24 CH22:CX24 AX22:AX34 CH25:CH30 CK25:CK30 CN25:CN30 CQ25:CQ30 CT25:CT30 CW25:CX30 AF25:AF32 AI25:AI32 AL25:AL32 AO25:AO32 AR25:AR32 AU25:AU32 J30:S37 BL30:BU37 CH31:CX34 AF33:AU34">
    <cfRule type="containsBlanks" dxfId="30" priority="384">
      <formula>LEN(TRIM(J22))=0</formula>
    </cfRule>
  </conditionalFormatting>
  <conditionalFormatting sqref="BV12">
    <cfRule type="expression" dxfId="29" priority="5">
      <formula>$U$12=TRUE</formula>
    </cfRule>
    <cfRule type="expression" dxfId="28" priority="3" stopIfTrue="1">
      <formula>BW$12=TRUE</formula>
    </cfRule>
    <cfRule type="expression" dxfId="27" priority="2" stopIfTrue="1">
      <formula>$U12=TRUE</formula>
    </cfRule>
  </conditionalFormatting>
  <conditionalFormatting sqref="BV13">
    <cfRule type="expression" dxfId="26" priority="6">
      <formula>$U$13=TRUE</formula>
    </cfRule>
  </conditionalFormatting>
  <conditionalFormatting sqref="BV14">
    <cfRule type="expression" dxfId="25" priority="10" stopIfTrue="1">
      <formula>$U$14=TRUE</formula>
    </cfRule>
    <cfRule type="expression" priority="8">
      <formula>$U$14=TRUE</formula>
    </cfRule>
  </conditionalFormatting>
  <conditionalFormatting sqref="BV15">
    <cfRule type="expression" dxfId="24" priority="4">
      <formula>$U$15=TRUE</formula>
    </cfRule>
  </conditionalFormatting>
  <conditionalFormatting sqref="BV16">
    <cfRule type="expression" dxfId="23" priority="7">
      <formula>$U$16=TRUE</formula>
    </cfRule>
  </conditionalFormatting>
  <conditionalFormatting sqref="BV45:BV46">
    <cfRule type="containsText" dxfId="22" priority="1" operator="containsText" text="人数を再確認！">
      <formula>NOT(ISERROR(SEARCH("人数を再確認！",BV45)))</formula>
    </cfRule>
  </conditionalFormatting>
  <conditionalFormatting sqref="CG5:CG20">
    <cfRule type="expression" dxfId="21" priority="101">
      <formula>CY5="人数を再確認！"</formula>
    </cfRule>
  </conditionalFormatting>
  <conditionalFormatting sqref="CS40:CT41 CO43:CO47 AM45:AM47 AQ40:AR40">
    <cfRule type="cellIs" dxfId="20" priority="358" stopIfTrue="1" operator="equal">
      <formula>0</formula>
    </cfRule>
  </conditionalFormatting>
  <conditionalFormatting sqref="CV41:CW41 CS43:CS47 AQ45:AQ47 BA21:BB21 CH21:CY21 AF21:AU21 AX21 J29:P29 R29 BL29:BU29 AF39:AZ39 CH39:CX39">
    <cfRule type="cellIs" dxfId="19" priority="357" stopIfTrue="1" operator="equal">
      <formula>0</formula>
    </cfRule>
  </conditionalFormatting>
  <dataValidations xWindow="194" yWindow="407" count="18">
    <dataValidation type="list" allowBlank="1" showInputMessage="1" showErrorMessage="1" sqref="C73:G74" xr:uid="{00000000-0002-0000-0700-000000000000}">
      <formula1>$DG$25:$DG$27</formula1>
    </dataValidation>
    <dataValidation type="list" allowBlank="1" showInputMessage="1" showErrorMessage="1" sqref="AD80" xr:uid="{00000000-0002-0000-0700-000001000000}">
      <formula1>$DA$12:$DA$13</formula1>
    </dataValidation>
    <dataValidation type="whole" operator="equal" allowBlank="1" showInputMessage="1" showErrorMessage="1" errorTitle="引率割引適用者の人数が多すぎます！" error="引率割引の適応は生徒数の２０％までとなっております。【利用者名簿】を修正してください。" sqref="BX31" xr:uid="{00000000-0002-0000-0700-000002000000}">
      <formula1>0</formula1>
    </dataValidation>
    <dataValidation type="custom" allowBlank="1" showInputMessage="1" showErrorMessage="1" sqref="AA5:AC5 CC5:CE5" xr:uid="{00000000-0002-0000-0700-000003000000}">
      <formula1>I30*0.2&gt;J31+L31+M31+N31+O31+P31+R31</formula1>
    </dataValidation>
    <dataValidation type="whole" operator="lessThanOrEqual" allowBlank="1" showInputMessage="1" showErrorMessage="1" errorTitle="引率者の人数が多すぎます！！" error="引率割引は、全生徒数の20％（小数点以下切り捨て）までとなっております。残りは、一般料金区分となりますので、【利用者名簿】と【本紙】を修正してください。" sqref="BN31" xr:uid="{A31DFF7D-946F-48B5-B0C8-17F8E1FE8F45}">
      <formula1>BK30*0.2</formula1>
    </dataValidation>
    <dataValidation type="whole" operator="lessThanOrEqual" allowBlank="1" showInputMessage="1" showErrorMessage="1" errorTitle="引率者の人数が多すぎます！！" error="引率割引は、全生徒数の20％（小数点以下切り捨て）までとなっております。残りは、一般料金区分となりますので、【利用者名簿】と【本紙】を修正してください。" sqref="BO31" xr:uid="{1CE327D5-9BE9-4F37-BDF0-358C730457F4}">
      <formula1>BK30*0.2</formula1>
    </dataValidation>
    <dataValidation type="whole" operator="lessThanOrEqual" allowBlank="1" showInputMessage="1" showErrorMessage="1" errorTitle="引率者の人数が多すぎます！！" error="引率割引は、全生徒数の20％（小数点以下切り捨て）までとなっております。残りは、一般料金区分となりますので、【利用者名簿】と【本紙】を修正してください。" sqref="BP31" xr:uid="{CF1D08EE-EBC6-450B-AED1-C2C9564C1D55}">
      <formula1>BK$30*0.2</formula1>
    </dataValidation>
    <dataValidation type="whole" operator="lessThanOrEqual" allowBlank="1" showInputMessage="1" showErrorMessage="1" errorTitle="引率者の人数が多すぎます！！" error="引率割引は、全生徒数の20％（小数点以下切り捨て）までとなっております。残りは、一般料金区分となりますので、【利用者名簿】と【本紙】を修正してください。" sqref="BQ31" xr:uid="{2AEB1D13-D921-4D21-A78E-3B1D158628A1}">
      <formula1>BK$30*0.2</formula1>
    </dataValidation>
    <dataValidation type="whole" operator="lessThanOrEqual" allowBlank="1" showInputMessage="1" showErrorMessage="1" errorTitle="引率者の人数が多すぎます！！" error="引率割引は、全生徒数の20％（小数点以下切り捨て）までとなっております。残りは、一般料金区分となりますので、【利用者名簿】と【本紙】を修正してください。" sqref="BR31:BS31" xr:uid="{68363C3E-7ACF-45B3-B42C-396E24D0AFCC}">
      <formula1>BK$30*0.2</formula1>
    </dataValidation>
    <dataValidation type="whole" operator="lessThanOrEqual" allowBlank="1" showInputMessage="1" showErrorMessage="1" errorTitle="引率者の人数が多すぎます！！" error="引率割引は、全生徒数の20％（小数点以下切り捨て）までとなっております。残りは、一般料金区分となりますので、【利用者名簿】と【本紙】を修正してください。" sqref="BT31:BU31" xr:uid="{FA09078C-A8D6-4E7A-B46D-0D6E546771AE}">
      <formula1>BK$30*0.2</formula1>
    </dataValidation>
    <dataValidation type="whole" operator="lessThanOrEqual" allowBlank="1" showInputMessage="1" showErrorMessage="1" errorTitle="引率者の人数が多すぎます！！" error="引率割引は、全生徒数の20％（小数点以下切り捨て）までとなっております。残りは、一般料金区分となりますので、【利用者名簿】と【本紙】を修正してください。" sqref="BL40:BU40" xr:uid="{6C610500-E768-44C0-88C4-A030E685EDE6}">
      <formula1>$I$38*0.2</formula1>
    </dataValidation>
    <dataValidation type="list" allowBlank="1" showInputMessage="1" showErrorMessage="1" prompt="団体利用者の中で、小・中学生以上の人数が２０名を超える場合【団体】を選択してください" sqref="C71:G72" xr:uid="{00000000-0002-0000-0700-00000D000000}">
      <formula1>#REF!</formula1>
    </dataValidation>
    <dataValidation type="whole" operator="lessThanOrEqual" allowBlank="1" showInputMessage="1" showErrorMessage="1" errorTitle="引率者割引の人数が多すぎます！！" error="引率割引は、全生徒数の20％（小数点以下切り捨て）までとなっております。残りは、一般料金区分となりますので、【利用者名簿】と【本紙】を修正してください。" sqref="BL31:BM31" xr:uid="{01E638DF-B5AA-4BD5-9C54-DDA4DAB48351}">
      <formula1>BK30*0.2</formula1>
    </dataValidation>
    <dataValidation type="list" allowBlank="1" showInputMessage="1" showErrorMessage="1" sqref="Y72:AC73" xr:uid="{00000000-0002-0000-0700-00000E000000}">
      <formula1>$DG$3:$DG$15</formula1>
    </dataValidation>
    <dataValidation type="list" allowBlank="1" showInputMessage="1" showErrorMessage="1" sqref="CA23:CE24 Y23:AC24" xr:uid="{96063BCC-E3C6-458E-91FB-5E773AFB4BA7}">
      <formula1>$DG$3:$DG$14</formula1>
    </dataValidation>
    <dataValidation type="list" allowBlank="1" showInputMessage="1" showErrorMessage="1" sqref="C26:G27 BE26:BI27" xr:uid="{F18301C6-E310-4F92-AF37-8AC70D77DC9F}">
      <formula1>$CZ$24:$CZ$26</formula1>
    </dataValidation>
    <dataValidation type="list" allowBlank="1" showInputMessage="1" showErrorMessage="1" prompt="団体の小・中学生以上の人数が２０名を超える場合【団体】を選択してください" sqref="C24:G25 BE24:BI25" xr:uid="{E3FB2500-8D8F-4C1E-9CF7-F05F83D53037}">
      <formula1>$CZ$19:$CZ$23</formula1>
    </dataValidation>
    <dataValidation operator="equal" allowBlank="1" showInputMessage="1" showErrorMessage="1" errorTitle="引率割引適用者の人数が多すぎます！" error="引率割引の適応は生徒数の２０％までとなっております。【利用者名簿】を修正してください。" sqref="V31" xr:uid="{F201E306-864A-4679-8F7D-00CB7936D266}"/>
  </dataValidations>
  <printOptions horizontalCentered="1" verticalCentered="1"/>
  <pageMargins left="0" right="0" top="0" bottom="0" header="0" footer="0"/>
  <pageSetup paperSize="9" scale="41" fitToWidth="0" orientation="landscape" r:id="rId1"/>
  <headerFooter>
    <oddFooter>&amp;R&amp;D &amp;T</oddFooter>
  </headerFooter>
  <colBreaks count="1" manualBreakCount="1">
    <brk id="54" max="76" man="1"/>
  </colBreaks>
  <drawing r:id="rId2"/>
  <legacyDrawing r:id="rId3"/>
  <mc:AlternateContent xmlns:mc="http://schemas.openxmlformats.org/markup-compatibility/2006">
    <mc:Choice Requires="x14">
      <controls>
        <mc:AlternateContent xmlns:mc="http://schemas.openxmlformats.org/markup-compatibility/2006">
          <mc:Choice Requires="x14">
            <control shapeId="39567" r:id="rId4" name="Check Box 2703">
              <controlPr defaultSize="0" autoFill="0" autoLine="0" autoPict="0" macro="[0]!チェック2695_Click">
                <anchor moveWithCells="1">
                  <from>
                    <xdr:col>74</xdr:col>
                    <xdr:colOff>104775</xdr:colOff>
                    <xdr:row>8</xdr:row>
                    <xdr:rowOff>304800</xdr:rowOff>
                  </from>
                  <to>
                    <xdr:col>75</xdr:col>
                    <xdr:colOff>123825</xdr:colOff>
                    <xdr:row>10</xdr:row>
                    <xdr:rowOff>66675</xdr:rowOff>
                  </to>
                </anchor>
              </controlPr>
            </control>
          </mc:Choice>
        </mc:AlternateContent>
        <mc:AlternateContent xmlns:mc="http://schemas.openxmlformats.org/markup-compatibility/2006">
          <mc:Choice Requires="x14">
            <control shapeId="39568" r:id="rId5" name="Check Box 2704">
              <controlPr defaultSize="0" autoFill="0" autoLine="0" autoPict="0">
                <anchor moveWithCells="1">
                  <from>
                    <xdr:col>74</xdr:col>
                    <xdr:colOff>104775</xdr:colOff>
                    <xdr:row>9</xdr:row>
                    <xdr:rowOff>304800</xdr:rowOff>
                  </from>
                  <to>
                    <xdr:col>75</xdr:col>
                    <xdr:colOff>123825</xdr:colOff>
                    <xdr:row>11</xdr:row>
                    <xdr:rowOff>66675</xdr:rowOff>
                  </to>
                </anchor>
              </controlPr>
            </control>
          </mc:Choice>
        </mc:AlternateContent>
        <mc:AlternateContent xmlns:mc="http://schemas.openxmlformats.org/markup-compatibility/2006">
          <mc:Choice Requires="x14">
            <control shapeId="39569" r:id="rId6" name="Check Box 2705">
              <controlPr defaultSize="0" autoFill="0" autoLine="0" autoPict="0">
                <anchor moveWithCells="1">
                  <from>
                    <xdr:col>74</xdr:col>
                    <xdr:colOff>95250</xdr:colOff>
                    <xdr:row>10</xdr:row>
                    <xdr:rowOff>295275</xdr:rowOff>
                  </from>
                  <to>
                    <xdr:col>75</xdr:col>
                    <xdr:colOff>104775</xdr:colOff>
                    <xdr:row>12</xdr:row>
                    <xdr:rowOff>57150</xdr:rowOff>
                  </to>
                </anchor>
              </controlPr>
            </control>
          </mc:Choice>
        </mc:AlternateContent>
        <mc:AlternateContent xmlns:mc="http://schemas.openxmlformats.org/markup-compatibility/2006">
          <mc:Choice Requires="x14">
            <control shapeId="39570" r:id="rId7" name="Check Box 2706">
              <controlPr defaultSize="0" autoFill="0" autoLine="0" autoPict="0">
                <anchor moveWithCells="1">
                  <from>
                    <xdr:col>74</xdr:col>
                    <xdr:colOff>104775</xdr:colOff>
                    <xdr:row>11</xdr:row>
                    <xdr:rowOff>314325</xdr:rowOff>
                  </from>
                  <to>
                    <xdr:col>75</xdr:col>
                    <xdr:colOff>123825</xdr:colOff>
                    <xdr:row>13</xdr:row>
                    <xdr:rowOff>76200</xdr:rowOff>
                  </to>
                </anchor>
              </controlPr>
            </control>
          </mc:Choice>
        </mc:AlternateContent>
        <mc:AlternateContent xmlns:mc="http://schemas.openxmlformats.org/markup-compatibility/2006">
          <mc:Choice Requires="x14">
            <control shapeId="39571" r:id="rId8" name="Check Box 2707">
              <controlPr defaultSize="0" autoFill="0" autoLine="0" autoPict="0" macro="[0]!チェック2701_Click">
                <anchor moveWithCells="1">
                  <from>
                    <xdr:col>74</xdr:col>
                    <xdr:colOff>95250</xdr:colOff>
                    <xdr:row>12</xdr:row>
                    <xdr:rowOff>304800</xdr:rowOff>
                  </from>
                  <to>
                    <xdr:col>75</xdr:col>
                    <xdr:colOff>104775</xdr:colOff>
                    <xdr:row>14</xdr:row>
                    <xdr:rowOff>47625</xdr:rowOff>
                  </to>
                </anchor>
              </controlPr>
            </control>
          </mc:Choice>
        </mc:AlternateContent>
        <mc:AlternateContent xmlns:mc="http://schemas.openxmlformats.org/markup-compatibility/2006">
          <mc:Choice Requires="x14">
            <control shapeId="39572" r:id="rId9" name="Check Box 2708">
              <controlPr defaultSize="0" autoFill="0" autoLine="0" autoPict="0" macro="[0]!チェック2695_Click">
                <anchor moveWithCells="1">
                  <from>
                    <xdr:col>74</xdr:col>
                    <xdr:colOff>114300</xdr:colOff>
                    <xdr:row>9</xdr:row>
                    <xdr:rowOff>57150</xdr:rowOff>
                  </from>
                  <to>
                    <xdr:col>75</xdr:col>
                    <xdr:colOff>0</xdr:colOff>
                    <xdr:row>9</xdr:row>
                    <xdr:rowOff>304800</xdr:rowOff>
                  </to>
                </anchor>
              </controlPr>
            </control>
          </mc:Choice>
        </mc:AlternateContent>
        <mc:AlternateContent xmlns:mc="http://schemas.openxmlformats.org/markup-compatibility/2006">
          <mc:Choice Requires="x14">
            <control shapeId="39606" r:id="rId10" name="Check Box 2742">
              <controlPr defaultSize="0" autoFill="0" autoLine="0" autoPict="0">
                <anchor moveWithCells="1">
                  <from>
                    <xdr:col>19</xdr:col>
                    <xdr:colOff>276225</xdr:colOff>
                    <xdr:row>10</xdr:row>
                    <xdr:rowOff>342900</xdr:rowOff>
                  </from>
                  <to>
                    <xdr:col>19</xdr:col>
                    <xdr:colOff>638175</xdr:colOff>
                    <xdr:row>11</xdr:row>
                    <xdr:rowOff>333375</xdr:rowOff>
                  </to>
                </anchor>
              </controlPr>
            </control>
          </mc:Choice>
        </mc:AlternateContent>
        <mc:AlternateContent xmlns:mc="http://schemas.openxmlformats.org/markup-compatibility/2006">
          <mc:Choice Requires="x14">
            <control shapeId="39607" r:id="rId11" name="Check Box 2743">
              <controlPr defaultSize="0" autoFill="0" autoLine="0" autoPict="0">
                <anchor moveWithCells="1">
                  <from>
                    <xdr:col>19</xdr:col>
                    <xdr:colOff>276225</xdr:colOff>
                    <xdr:row>12</xdr:row>
                    <xdr:rowOff>19050</xdr:rowOff>
                  </from>
                  <to>
                    <xdr:col>19</xdr:col>
                    <xdr:colOff>742950</xdr:colOff>
                    <xdr:row>13</xdr:row>
                    <xdr:rowOff>47625</xdr:rowOff>
                  </to>
                </anchor>
              </controlPr>
            </control>
          </mc:Choice>
        </mc:AlternateContent>
        <mc:AlternateContent xmlns:mc="http://schemas.openxmlformats.org/markup-compatibility/2006">
          <mc:Choice Requires="x14">
            <control shapeId="39608" r:id="rId12" name="Check Box 2744">
              <controlPr defaultSize="0" autoFill="0" autoLine="0" autoPict="0">
                <anchor moveWithCells="1">
                  <from>
                    <xdr:col>19</xdr:col>
                    <xdr:colOff>257175</xdr:colOff>
                    <xdr:row>12</xdr:row>
                    <xdr:rowOff>314325</xdr:rowOff>
                  </from>
                  <to>
                    <xdr:col>19</xdr:col>
                    <xdr:colOff>762000</xdr:colOff>
                    <xdr:row>14</xdr:row>
                    <xdr:rowOff>76200</xdr:rowOff>
                  </to>
                </anchor>
              </controlPr>
            </control>
          </mc:Choice>
        </mc:AlternateContent>
        <mc:AlternateContent xmlns:mc="http://schemas.openxmlformats.org/markup-compatibility/2006">
          <mc:Choice Requires="x14">
            <control shapeId="39609" r:id="rId13" name="Check Box 2745">
              <controlPr defaultSize="0" autoFill="0" autoLine="0" autoPict="0">
                <anchor moveWithCells="1">
                  <from>
                    <xdr:col>19</xdr:col>
                    <xdr:colOff>266700</xdr:colOff>
                    <xdr:row>13</xdr:row>
                    <xdr:rowOff>342900</xdr:rowOff>
                  </from>
                  <to>
                    <xdr:col>19</xdr:col>
                    <xdr:colOff>733425</xdr:colOff>
                    <xdr:row>15</xdr:row>
                    <xdr:rowOff>47625</xdr:rowOff>
                  </to>
                </anchor>
              </controlPr>
            </control>
          </mc:Choice>
        </mc:AlternateContent>
        <mc:AlternateContent xmlns:mc="http://schemas.openxmlformats.org/markup-compatibility/2006">
          <mc:Choice Requires="x14">
            <control shapeId="39610" r:id="rId14" name="Check Box 2746">
              <controlPr defaultSize="0" autoFill="0" autoLine="0" autoPict="0">
                <anchor moveWithCells="1">
                  <from>
                    <xdr:col>19</xdr:col>
                    <xdr:colOff>238125</xdr:colOff>
                    <xdr:row>14</xdr:row>
                    <xdr:rowOff>323850</xdr:rowOff>
                  </from>
                  <to>
                    <xdr:col>20</xdr:col>
                    <xdr:colOff>28575</xdr:colOff>
                    <xdr:row>16</xdr:row>
                    <xdr:rowOff>47625</xdr:rowOff>
                  </to>
                </anchor>
              </controlPr>
            </control>
          </mc:Choice>
        </mc:AlternateContent>
        <mc:AlternateContent xmlns:mc="http://schemas.openxmlformats.org/markup-compatibility/2006">
          <mc:Choice Requires="x14">
            <control shapeId="39611" r:id="rId15" name="Check Box 2747">
              <controlPr defaultSize="0" autoFill="0" autoLine="0" autoPict="0">
                <anchor moveWithCells="1">
                  <from>
                    <xdr:col>19</xdr:col>
                    <xdr:colOff>133350</xdr:colOff>
                    <xdr:row>7</xdr:row>
                    <xdr:rowOff>180975</xdr:rowOff>
                  </from>
                  <to>
                    <xdr:col>20</xdr:col>
                    <xdr:colOff>352425</xdr:colOff>
                    <xdr:row>9</xdr:row>
                    <xdr:rowOff>200025</xdr:rowOff>
                  </to>
                </anchor>
              </controlPr>
            </control>
          </mc:Choice>
        </mc:AlternateContent>
        <mc:AlternateContent xmlns:mc="http://schemas.openxmlformats.org/markup-compatibility/2006">
          <mc:Choice Requires="x14">
            <control shapeId="39612" r:id="rId16" name="Check Box 2748">
              <controlPr defaultSize="0" autoFill="0" autoLine="0" autoPict="0">
                <anchor moveWithCells="1">
                  <from>
                    <xdr:col>73</xdr:col>
                    <xdr:colOff>276225</xdr:colOff>
                    <xdr:row>10</xdr:row>
                    <xdr:rowOff>342900</xdr:rowOff>
                  </from>
                  <to>
                    <xdr:col>74</xdr:col>
                    <xdr:colOff>104775</xdr:colOff>
                    <xdr:row>11</xdr:row>
                    <xdr:rowOff>333375</xdr:rowOff>
                  </to>
                </anchor>
              </controlPr>
            </control>
          </mc:Choice>
        </mc:AlternateContent>
        <mc:AlternateContent xmlns:mc="http://schemas.openxmlformats.org/markup-compatibility/2006">
          <mc:Choice Requires="x14">
            <control shapeId="39613" r:id="rId17" name="Check Box 2749">
              <controlPr defaultSize="0" autoFill="0" autoLine="0" autoPict="0">
                <anchor moveWithCells="1">
                  <from>
                    <xdr:col>73</xdr:col>
                    <xdr:colOff>276225</xdr:colOff>
                    <xdr:row>12</xdr:row>
                    <xdr:rowOff>19050</xdr:rowOff>
                  </from>
                  <to>
                    <xdr:col>74</xdr:col>
                    <xdr:colOff>209550</xdr:colOff>
                    <xdr:row>13</xdr:row>
                    <xdr:rowOff>47625</xdr:rowOff>
                  </to>
                </anchor>
              </controlPr>
            </control>
          </mc:Choice>
        </mc:AlternateContent>
        <mc:AlternateContent xmlns:mc="http://schemas.openxmlformats.org/markup-compatibility/2006">
          <mc:Choice Requires="x14">
            <control shapeId="39614" r:id="rId18" name="Check Box 2750">
              <controlPr defaultSize="0" autoFill="0" autoLine="0" autoPict="0">
                <anchor moveWithCells="1">
                  <from>
                    <xdr:col>73</xdr:col>
                    <xdr:colOff>257175</xdr:colOff>
                    <xdr:row>12</xdr:row>
                    <xdr:rowOff>314325</xdr:rowOff>
                  </from>
                  <to>
                    <xdr:col>74</xdr:col>
                    <xdr:colOff>228600</xdr:colOff>
                    <xdr:row>14</xdr:row>
                    <xdr:rowOff>76200</xdr:rowOff>
                  </to>
                </anchor>
              </controlPr>
            </control>
          </mc:Choice>
        </mc:AlternateContent>
        <mc:AlternateContent xmlns:mc="http://schemas.openxmlformats.org/markup-compatibility/2006">
          <mc:Choice Requires="x14">
            <control shapeId="39615" r:id="rId19" name="Check Box 2751">
              <controlPr defaultSize="0" autoFill="0" autoLine="0" autoPict="0">
                <anchor moveWithCells="1">
                  <from>
                    <xdr:col>73</xdr:col>
                    <xdr:colOff>266700</xdr:colOff>
                    <xdr:row>13</xdr:row>
                    <xdr:rowOff>342900</xdr:rowOff>
                  </from>
                  <to>
                    <xdr:col>74</xdr:col>
                    <xdr:colOff>200025</xdr:colOff>
                    <xdr:row>15</xdr:row>
                    <xdr:rowOff>47625</xdr:rowOff>
                  </to>
                </anchor>
              </controlPr>
            </control>
          </mc:Choice>
        </mc:AlternateContent>
        <mc:AlternateContent xmlns:mc="http://schemas.openxmlformats.org/markup-compatibility/2006">
          <mc:Choice Requires="x14">
            <control shapeId="39616" r:id="rId20" name="Check Box 2752">
              <controlPr defaultSize="0" autoFill="0" autoLine="0" autoPict="0">
                <anchor moveWithCells="1">
                  <from>
                    <xdr:col>73</xdr:col>
                    <xdr:colOff>238125</xdr:colOff>
                    <xdr:row>14</xdr:row>
                    <xdr:rowOff>323850</xdr:rowOff>
                  </from>
                  <to>
                    <xdr:col>74</xdr:col>
                    <xdr:colOff>323850</xdr:colOff>
                    <xdr:row>16</xdr:row>
                    <xdr:rowOff>47625</xdr:rowOff>
                  </to>
                </anchor>
              </controlPr>
            </control>
          </mc:Choice>
        </mc:AlternateContent>
        <mc:AlternateContent xmlns:mc="http://schemas.openxmlformats.org/markup-compatibility/2006">
          <mc:Choice Requires="x14">
            <control shapeId="39617" r:id="rId21" name="Check Box 2753">
              <controlPr defaultSize="0" autoFill="0" autoLine="0" autoPict="0">
                <anchor moveWithCells="1">
                  <from>
                    <xdr:col>73</xdr:col>
                    <xdr:colOff>19050</xdr:colOff>
                    <xdr:row>7</xdr:row>
                    <xdr:rowOff>228600</xdr:rowOff>
                  </from>
                  <to>
                    <xdr:col>74</xdr:col>
                    <xdr:colOff>95250</xdr:colOff>
                    <xdr:row>9</xdr:row>
                    <xdr:rowOff>76200</xdr:rowOff>
                  </to>
                </anchor>
              </controlPr>
            </control>
          </mc:Choice>
        </mc:AlternateContent>
        <mc:AlternateContent xmlns:mc="http://schemas.openxmlformats.org/markup-compatibility/2006">
          <mc:Choice Requires="x14">
            <control shapeId="39619" r:id="rId22" name="Check Box 2755">
              <controlPr defaultSize="0" autoFill="0" autoLine="0" autoPict="0">
                <anchor moveWithCells="1">
                  <from>
                    <xdr:col>19</xdr:col>
                    <xdr:colOff>238125</xdr:colOff>
                    <xdr:row>15</xdr:row>
                    <xdr:rowOff>323850</xdr:rowOff>
                  </from>
                  <to>
                    <xdr:col>20</xdr:col>
                    <xdr:colOff>28575</xdr:colOff>
                    <xdr:row>17</xdr:row>
                    <xdr:rowOff>47625</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tabColor theme="9" tint="0.59999389629810485"/>
  </sheetPr>
  <dimension ref="A1:BF128"/>
  <sheetViews>
    <sheetView showZeros="0" view="pageBreakPreview" zoomScaleNormal="78" zoomScaleSheetLayoutView="100" workbookViewId="0">
      <selection activeCell="L44" sqref="L44:P45"/>
    </sheetView>
  </sheetViews>
  <sheetFormatPr defaultRowHeight="13.5"/>
  <cols>
    <col min="1" max="21" width="3.625" customWidth="1"/>
    <col min="22" max="22" width="5.625" customWidth="1"/>
    <col min="23" max="23" width="3.625" customWidth="1"/>
    <col min="24" max="24" width="5.625" customWidth="1"/>
    <col min="25" max="52" width="3.625" customWidth="1"/>
  </cols>
  <sheetData>
    <row r="1" spans="1:58" ht="14.25" customHeight="1">
      <c r="A1" s="2123"/>
      <c r="B1" s="2124"/>
      <c r="C1" s="2124"/>
      <c r="D1" s="2124"/>
      <c r="E1" s="2124"/>
      <c r="F1" s="2124"/>
      <c r="G1" s="2124"/>
      <c r="H1" s="2124"/>
      <c r="I1" s="2124"/>
      <c r="J1" s="2124"/>
      <c r="K1" s="2124"/>
      <c r="L1" s="2124"/>
      <c r="M1" s="2124"/>
      <c r="N1" s="2124"/>
      <c r="O1" s="2124"/>
      <c r="P1" s="2124"/>
      <c r="Q1" s="2124"/>
      <c r="R1" s="2124"/>
      <c r="S1" s="2124"/>
      <c r="T1" s="2124"/>
      <c r="U1" s="2124"/>
      <c r="V1" s="2124"/>
      <c r="W1" s="2124"/>
      <c r="X1" s="2124"/>
      <c r="Y1" s="2124"/>
      <c r="Z1" s="2125"/>
      <c r="AA1" s="2126"/>
      <c r="AB1" s="2127"/>
      <c r="AC1" s="2127"/>
      <c r="AD1" s="2127"/>
      <c r="AE1" s="2127"/>
      <c r="AF1" s="2127"/>
      <c r="AG1" s="2127"/>
      <c r="AH1" s="2127"/>
      <c r="AI1" s="2127"/>
      <c r="AJ1" s="2127"/>
      <c r="AK1" s="2127"/>
      <c r="AL1" s="2127"/>
      <c r="AM1" s="2127"/>
      <c r="AN1" s="2127"/>
      <c r="AO1" s="2127"/>
      <c r="AP1" s="2127"/>
      <c r="AQ1" s="2127"/>
      <c r="AR1" s="2127"/>
      <c r="AS1" s="2127"/>
      <c r="AT1" s="2127"/>
      <c r="AU1" s="2127"/>
      <c r="AV1" s="2127"/>
      <c r="AW1" s="2127"/>
      <c r="AX1" s="2127"/>
      <c r="AY1" s="2127"/>
      <c r="AZ1" s="2128"/>
    </row>
    <row r="2" spans="1:58" ht="23.25">
      <c r="A2" s="2129" t="s">
        <v>190</v>
      </c>
      <c r="B2" s="2130"/>
      <c r="C2" s="2130"/>
      <c r="D2" s="2130"/>
      <c r="E2" s="2130"/>
      <c r="F2" s="2130"/>
      <c r="G2" s="2130"/>
      <c r="H2" s="2130"/>
      <c r="I2" s="2130"/>
      <c r="J2" s="2130"/>
      <c r="K2" s="2130"/>
      <c r="L2" s="2130"/>
      <c r="M2" s="2130"/>
      <c r="N2" s="2130"/>
      <c r="O2" s="2130"/>
      <c r="P2" s="2130"/>
      <c r="Q2" s="2130"/>
      <c r="R2" s="2130"/>
      <c r="S2" s="2130"/>
      <c r="T2" s="2130"/>
      <c r="U2" s="2130"/>
      <c r="V2" s="2130"/>
      <c r="W2" s="2130"/>
      <c r="X2" s="2130"/>
      <c r="Y2" s="2130"/>
      <c r="Z2" s="2131"/>
      <c r="AA2" s="2129" t="s">
        <v>190</v>
      </c>
      <c r="AB2" s="2130"/>
      <c r="AC2" s="2130"/>
      <c r="AD2" s="2130"/>
      <c r="AE2" s="2130"/>
      <c r="AF2" s="2130"/>
      <c r="AG2" s="2130"/>
      <c r="AH2" s="2130"/>
      <c r="AI2" s="2130"/>
      <c r="AJ2" s="2130"/>
      <c r="AK2" s="2130"/>
      <c r="AL2" s="2130"/>
      <c r="AM2" s="2130"/>
      <c r="AN2" s="2130"/>
      <c r="AO2" s="2130"/>
      <c r="AP2" s="2130"/>
      <c r="AQ2" s="2130"/>
      <c r="AR2" s="2130"/>
      <c r="AS2" s="2130"/>
      <c r="AT2" s="2130"/>
      <c r="AU2" s="2130"/>
      <c r="AV2" s="2130"/>
      <c r="AW2" s="2130"/>
      <c r="AX2" s="2130"/>
      <c r="AY2" s="2130"/>
      <c r="AZ2" s="2131"/>
      <c r="BB2" s="198" t="s">
        <v>788</v>
      </c>
      <c r="BC2">
        <v>1</v>
      </c>
      <c r="BE2" s="2141" t="s">
        <v>470</v>
      </c>
      <c r="BF2" s="2142"/>
    </row>
    <row r="3" spans="1:58" ht="14.25" customHeight="1">
      <c r="A3" s="2132"/>
      <c r="B3" s="2133"/>
      <c r="C3" s="2133"/>
      <c r="D3" s="2133"/>
      <c r="E3" s="2133"/>
      <c r="F3" s="2133"/>
      <c r="G3" s="2133"/>
      <c r="H3" s="2133"/>
      <c r="I3" s="2133"/>
      <c r="J3" s="2133"/>
      <c r="K3" s="2133"/>
      <c r="L3" s="2133"/>
      <c r="M3" s="2133"/>
      <c r="N3" s="2133"/>
      <c r="O3" s="2133"/>
      <c r="P3" s="2133"/>
      <c r="Q3" s="2133"/>
      <c r="R3" s="2133"/>
      <c r="S3" s="2133"/>
      <c r="T3" s="2133"/>
      <c r="U3" s="2133"/>
      <c r="V3" s="2133"/>
      <c r="W3" s="2133"/>
      <c r="X3" s="2133"/>
      <c r="Y3" s="2133"/>
      <c r="Z3" s="2134"/>
      <c r="AA3" s="2132"/>
      <c r="AB3" s="2133"/>
      <c r="AC3" s="2133"/>
      <c r="AD3" s="2133"/>
      <c r="AE3" s="2133"/>
      <c r="AF3" s="2133"/>
      <c r="AG3" s="2133"/>
      <c r="AH3" s="2133"/>
      <c r="AI3" s="2133"/>
      <c r="AJ3" s="2133"/>
      <c r="AK3" s="2133"/>
      <c r="AL3" s="2133"/>
      <c r="AM3" s="2133"/>
      <c r="AN3" s="2133"/>
      <c r="AO3" s="2133"/>
      <c r="AP3" s="2133"/>
      <c r="AQ3" s="2133"/>
      <c r="AR3" s="2133"/>
      <c r="AS3" s="2133"/>
      <c r="AT3" s="2133"/>
      <c r="AU3" s="2133"/>
      <c r="AV3" s="2133"/>
      <c r="AW3" s="2133"/>
      <c r="AX3" s="2133"/>
      <c r="AY3" s="2133"/>
      <c r="AZ3" s="2134"/>
      <c r="BB3" s="198" t="s">
        <v>800</v>
      </c>
      <c r="BC3">
        <v>2</v>
      </c>
      <c r="BE3" s="251" t="s">
        <v>464</v>
      </c>
      <c r="BF3" s="250" t="str">
        <f>IF(COUNTIF(L40:P51,"*準*"),"●","")</f>
        <v/>
      </c>
    </row>
    <row r="4" spans="1:58" ht="28.5" customHeight="1">
      <c r="A4" s="409"/>
      <c r="B4" s="410"/>
      <c r="C4" s="410"/>
      <c r="D4" s="410"/>
      <c r="E4" s="410"/>
      <c r="F4" s="410"/>
      <c r="G4" s="410"/>
      <c r="H4" s="410"/>
      <c r="I4" s="410"/>
      <c r="J4" s="410"/>
      <c r="K4" s="410"/>
      <c r="L4" s="410"/>
      <c r="M4" s="410"/>
      <c r="N4" s="410"/>
      <c r="O4" s="410"/>
      <c r="P4" s="410"/>
      <c r="Q4" s="410"/>
      <c r="R4" s="2140"/>
      <c r="S4" s="2140"/>
      <c r="T4" s="2140"/>
      <c r="U4" s="411" t="s">
        <v>13</v>
      </c>
      <c r="V4" s="483"/>
      <c r="W4" s="411" t="s">
        <v>12</v>
      </c>
      <c r="X4" s="483"/>
      <c r="Y4" s="411" t="s">
        <v>105</v>
      </c>
      <c r="Z4" s="412"/>
      <c r="AA4" s="2138" t="s">
        <v>788</v>
      </c>
      <c r="AB4" s="2139"/>
      <c r="AC4" s="2139"/>
      <c r="AD4" s="2139"/>
      <c r="AE4" s="2139"/>
      <c r="AF4" s="2139"/>
      <c r="AG4" s="2139"/>
      <c r="AH4" s="2139"/>
      <c r="AI4" s="2139"/>
      <c r="AJ4" s="2139"/>
      <c r="AK4" s="2139"/>
      <c r="AL4" s="2139"/>
      <c r="AM4" s="2139"/>
      <c r="AN4" s="2139"/>
      <c r="AO4" s="2139"/>
      <c r="AP4" s="2139"/>
      <c r="AQ4" s="2139"/>
      <c r="AR4" s="2139"/>
      <c r="AS4" s="2139"/>
      <c r="AT4" s="2139"/>
      <c r="AU4" s="411" t="s">
        <v>13</v>
      </c>
      <c r="AV4" s="438">
        <v>9</v>
      </c>
      <c r="AW4" s="411" t="s">
        <v>12</v>
      </c>
      <c r="AX4" s="438">
        <v>8</v>
      </c>
      <c r="AY4" s="411" t="s">
        <v>105</v>
      </c>
      <c r="AZ4" s="412"/>
      <c r="BB4" s="198" t="s">
        <v>700</v>
      </c>
      <c r="BC4">
        <v>3</v>
      </c>
      <c r="BE4" s="251" t="s">
        <v>465</v>
      </c>
      <c r="BF4" s="250" t="str">
        <f>IF(COUNTIF(L40:P51,"*特*"),"●","")</f>
        <v/>
      </c>
    </row>
    <row r="5" spans="1:58" ht="14.25" customHeight="1">
      <c r="A5" s="2132"/>
      <c r="B5" s="2133"/>
      <c r="C5" s="2133"/>
      <c r="D5" s="2133"/>
      <c r="E5" s="2133"/>
      <c r="F5" s="2133"/>
      <c r="G5" s="2133"/>
      <c r="H5" s="2133"/>
      <c r="I5" s="2133"/>
      <c r="J5" s="2133"/>
      <c r="K5" s="2133"/>
      <c r="L5" s="2133"/>
      <c r="M5" s="2133"/>
      <c r="N5" s="2133"/>
      <c r="O5" s="2133"/>
      <c r="P5" s="2133"/>
      <c r="Q5" s="2133"/>
      <c r="R5" s="2133"/>
      <c r="S5" s="2133"/>
      <c r="T5" s="2133"/>
      <c r="U5" s="2133"/>
      <c r="V5" s="2133"/>
      <c r="W5" s="2133"/>
      <c r="X5" s="2133"/>
      <c r="Y5" s="2133"/>
      <c r="Z5" s="2134"/>
      <c r="AA5" s="2132"/>
      <c r="AB5" s="2133"/>
      <c r="AC5" s="2133"/>
      <c r="AD5" s="2133"/>
      <c r="AE5" s="2133"/>
      <c r="AF5" s="2133"/>
      <c r="AG5" s="2133"/>
      <c r="AH5" s="2133"/>
      <c r="AI5" s="2133"/>
      <c r="AJ5" s="2133"/>
      <c r="AK5" s="2133"/>
      <c r="AL5" s="2133"/>
      <c r="AM5" s="2133"/>
      <c r="AN5" s="2133"/>
      <c r="AO5" s="2133"/>
      <c r="AP5" s="2133"/>
      <c r="AQ5" s="2133"/>
      <c r="AR5" s="2133"/>
      <c r="AS5" s="2133"/>
      <c r="AT5" s="2133"/>
      <c r="AU5" s="2133"/>
      <c r="AV5" s="2133"/>
      <c r="AW5" s="2133"/>
      <c r="AX5" s="2133"/>
      <c r="AY5" s="2133"/>
      <c r="AZ5" s="2134"/>
      <c r="BB5" s="198"/>
      <c r="BC5">
        <v>4</v>
      </c>
      <c r="BE5" s="251" t="s">
        <v>466</v>
      </c>
      <c r="BF5" s="250" t="str">
        <f>IF(COUNTIF(L40:P51,"*身*"),"●","")</f>
        <v/>
      </c>
    </row>
    <row r="6" spans="1:58" ht="14.25" customHeight="1">
      <c r="A6" s="2135" t="s">
        <v>191</v>
      </c>
      <c r="B6" s="2136"/>
      <c r="C6" s="2136"/>
      <c r="D6" s="2136"/>
      <c r="E6" s="2136"/>
      <c r="F6" s="2136"/>
      <c r="G6" s="2136"/>
      <c r="H6" s="2136"/>
      <c r="I6" s="2136"/>
      <c r="J6" s="2136"/>
      <c r="K6" s="2136"/>
      <c r="L6" s="2136"/>
      <c r="M6" s="2136"/>
      <c r="N6" s="2136"/>
      <c r="O6" s="2136"/>
      <c r="P6" s="2136"/>
      <c r="Q6" s="2136"/>
      <c r="R6" s="2136"/>
      <c r="S6" s="2136"/>
      <c r="T6" s="2136"/>
      <c r="U6" s="2136"/>
      <c r="V6" s="2136"/>
      <c r="W6" s="2136"/>
      <c r="X6" s="2136"/>
      <c r="Y6" s="2136"/>
      <c r="Z6" s="2137"/>
      <c r="AA6" s="2135" t="s">
        <v>610</v>
      </c>
      <c r="AB6" s="2136"/>
      <c r="AC6" s="2136"/>
      <c r="AD6" s="2136"/>
      <c r="AE6" s="2136"/>
      <c r="AF6" s="2136"/>
      <c r="AG6" s="2136"/>
      <c r="AH6" s="2136"/>
      <c r="AI6" s="2136"/>
      <c r="AJ6" s="2136"/>
      <c r="AK6" s="2136"/>
      <c r="AL6" s="2136"/>
      <c r="AM6" s="2136"/>
      <c r="AN6" s="2136"/>
      <c r="AO6" s="2136"/>
      <c r="AP6" s="2136"/>
      <c r="AQ6" s="2136"/>
      <c r="AR6" s="2136"/>
      <c r="AS6" s="2136"/>
      <c r="AT6" s="2136"/>
      <c r="AU6" s="2136"/>
      <c r="AV6" s="2136"/>
      <c r="AW6" s="2136"/>
      <c r="AX6" s="2136"/>
      <c r="AY6" s="2136"/>
      <c r="AZ6" s="2137"/>
      <c r="BB6" s="198"/>
      <c r="BC6">
        <v>5</v>
      </c>
      <c r="BE6" s="251" t="s">
        <v>467</v>
      </c>
      <c r="BF6" s="250" t="str">
        <f>IF(COUNTIF(L40:P51,"*療*"),"●","")</f>
        <v/>
      </c>
    </row>
    <row r="7" spans="1:58" ht="14.25" customHeight="1">
      <c r="A7" s="2135" t="s">
        <v>192</v>
      </c>
      <c r="B7" s="2136"/>
      <c r="C7" s="2136"/>
      <c r="D7" s="2136"/>
      <c r="E7" s="2136"/>
      <c r="F7" s="2136"/>
      <c r="G7" s="2136"/>
      <c r="H7" s="2136"/>
      <c r="I7" s="2136"/>
      <c r="J7" s="2136"/>
      <c r="K7" s="2136"/>
      <c r="L7" s="2136"/>
      <c r="M7" s="2136"/>
      <c r="N7" s="2136"/>
      <c r="O7" s="2136"/>
      <c r="P7" s="2136"/>
      <c r="Q7" s="2136"/>
      <c r="R7" s="2136"/>
      <c r="S7" s="2136"/>
      <c r="T7" s="2136"/>
      <c r="U7" s="2136"/>
      <c r="V7" s="2136"/>
      <c r="W7" s="2136"/>
      <c r="X7" s="2136"/>
      <c r="Y7" s="2136"/>
      <c r="Z7" s="2137"/>
      <c r="AA7" s="2135" t="s">
        <v>192</v>
      </c>
      <c r="AB7" s="2136"/>
      <c r="AC7" s="2136"/>
      <c r="AD7" s="2136"/>
      <c r="AE7" s="2136"/>
      <c r="AF7" s="2136"/>
      <c r="AG7" s="2136"/>
      <c r="AH7" s="2136"/>
      <c r="AI7" s="2136"/>
      <c r="AJ7" s="2136"/>
      <c r="AK7" s="2136"/>
      <c r="AL7" s="2136"/>
      <c r="AM7" s="2136"/>
      <c r="AN7" s="2136"/>
      <c r="AO7" s="2136"/>
      <c r="AP7" s="2136"/>
      <c r="AQ7" s="2136"/>
      <c r="AR7" s="2136"/>
      <c r="AS7" s="2136"/>
      <c r="AT7" s="2136"/>
      <c r="AU7" s="2136"/>
      <c r="AV7" s="2136"/>
      <c r="AW7" s="2136"/>
      <c r="AX7" s="2136"/>
      <c r="AY7" s="2136"/>
      <c r="AZ7" s="2137"/>
      <c r="BC7">
        <v>6</v>
      </c>
      <c r="BE7" s="251" t="s">
        <v>468</v>
      </c>
      <c r="BF7" s="250" t="str">
        <f>IF(COUNTIF(L40:P51,"*精*"),"●","")</f>
        <v/>
      </c>
    </row>
    <row r="8" spans="1:58" ht="14.25" customHeight="1">
      <c r="A8" s="2135" t="s">
        <v>193</v>
      </c>
      <c r="B8" s="2136"/>
      <c r="C8" s="2136"/>
      <c r="D8" s="2136"/>
      <c r="E8" s="2136"/>
      <c r="F8" s="2136"/>
      <c r="G8" s="2136"/>
      <c r="H8" s="2136"/>
      <c r="I8" s="2136"/>
      <c r="J8" s="2136"/>
      <c r="K8" s="2136"/>
      <c r="L8" s="2136"/>
      <c r="M8" s="2136"/>
      <c r="N8" s="2136"/>
      <c r="O8" s="2136"/>
      <c r="P8" s="2136"/>
      <c r="Q8" s="2136"/>
      <c r="R8" s="2136"/>
      <c r="S8" s="2136"/>
      <c r="T8" s="2136"/>
      <c r="U8" s="2136"/>
      <c r="V8" s="2136"/>
      <c r="W8" s="2136"/>
      <c r="X8" s="2136"/>
      <c r="Y8" s="2136"/>
      <c r="Z8" s="2137"/>
      <c r="AA8" s="2135" t="s">
        <v>193</v>
      </c>
      <c r="AB8" s="2136"/>
      <c r="AC8" s="2136"/>
      <c r="AD8" s="2136"/>
      <c r="AE8" s="2136"/>
      <c r="AF8" s="2136"/>
      <c r="AG8" s="2136"/>
      <c r="AH8" s="2136"/>
      <c r="AI8" s="2136"/>
      <c r="AJ8" s="2136"/>
      <c r="AK8" s="2136"/>
      <c r="AL8" s="2136"/>
      <c r="AM8" s="2136"/>
      <c r="AN8" s="2136"/>
      <c r="AO8" s="2136"/>
      <c r="AP8" s="2136"/>
      <c r="AQ8" s="2136"/>
      <c r="AR8" s="2136"/>
      <c r="AS8" s="2136"/>
      <c r="AT8" s="2136"/>
      <c r="AU8" s="2136"/>
      <c r="AV8" s="2136"/>
      <c r="AW8" s="2136"/>
      <c r="AX8" s="2136"/>
      <c r="AY8" s="2136"/>
      <c r="AZ8" s="2137"/>
      <c r="BC8">
        <v>7</v>
      </c>
      <c r="BE8" s="251" t="s">
        <v>469</v>
      </c>
      <c r="BF8" s="250" t="str">
        <f>IF(COUNTIF(L40:P51,"*介添*"),"●","")</f>
        <v/>
      </c>
    </row>
    <row r="9" spans="1:58" ht="14.25" customHeight="1">
      <c r="A9" s="2135" t="s">
        <v>194</v>
      </c>
      <c r="B9" s="2136"/>
      <c r="C9" s="2136"/>
      <c r="D9" s="2136"/>
      <c r="E9" s="2136"/>
      <c r="F9" s="2136"/>
      <c r="G9" s="2136"/>
      <c r="H9" s="2136"/>
      <c r="I9" s="2136"/>
      <c r="J9" s="2136"/>
      <c r="K9" s="2136"/>
      <c r="L9" s="2136"/>
      <c r="M9" s="2136"/>
      <c r="N9" s="2136"/>
      <c r="O9" s="2136"/>
      <c r="P9" s="2136"/>
      <c r="Q9" s="2136"/>
      <c r="R9" s="2136"/>
      <c r="S9" s="2136"/>
      <c r="T9" s="2136"/>
      <c r="U9" s="2136"/>
      <c r="V9" s="2136"/>
      <c r="W9" s="2136"/>
      <c r="X9" s="2136"/>
      <c r="Y9" s="2136"/>
      <c r="Z9" s="2137"/>
      <c r="AA9" s="2135" t="s">
        <v>194</v>
      </c>
      <c r="AB9" s="2136"/>
      <c r="AC9" s="2136"/>
      <c r="AD9" s="2136"/>
      <c r="AE9" s="2136"/>
      <c r="AF9" s="2136"/>
      <c r="AG9" s="2136"/>
      <c r="AH9" s="2136"/>
      <c r="AI9" s="2136"/>
      <c r="AJ9" s="2136"/>
      <c r="AK9" s="2136"/>
      <c r="AL9" s="2136"/>
      <c r="AM9" s="2136"/>
      <c r="AN9" s="2136"/>
      <c r="AO9" s="2136"/>
      <c r="AP9" s="2136"/>
      <c r="AQ9" s="2136"/>
      <c r="AR9" s="2136"/>
      <c r="AS9" s="2136"/>
      <c r="AT9" s="2136"/>
      <c r="AU9" s="2136"/>
      <c r="AV9" s="2136"/>
      <c r="AW9" s="2136"/>
      <c r="AX9" s="2136"/>
      <c r="AY9" s="2136"/>
      <c r="AZ9" s="2137"/>
      <c r="BC9">
        <v>8</v>
      </c>
    </row>
    <row r="10" spans="1:58" ht="14.25" customHeight="1">
      <c r="A10" s="2135"/>
      <c r="B10" s="2136"/>
      <c r="C10" s="2136"/>
      <c r="D10" s="2136"/>
      <c r="E10" s="2136"/>
      <c r="F10" s="2136"/>
      <c r="G10" s="2136"/>
      <c r="H10" s="2136"/>
      <c r="I10" s="2136"/>
      <c r="J10" s="2136"/>
      <c r="K10" s="2136"/>
      <c r="L10" s="2136"/>
      <c r="M10" s="2136"/>
      <c r="N10" s="2136"/>
      <c r="O10" s="2136"/>
      <c r="P10" s="2136"/>
      <c r="Q10" s="2136"/>
      <c r="R10" s="2136"/>
      <c r="S10" s="2136"/>
      <c r="T10" s="2136"/>
      <c r="U10" s="2136"/>
      <c r="V10" s="2136"/>
      <c r="W10" s="2136"/>
      <c r="X10" s="2136"/>
      <c r="Y10" s="2136"/>
      <c r="Z10" s="2137"/>
      <c r="AA10" s="2135"/>
      <c r="AB10" s="2136"/>
      <c r="AC10" s="2136"/>
      <c r="AD10" s="2136"/>
      <c r="AE10" s="2136"/>
      <c r="AF10" s="2136"/>
      <c r="AG10" s="2136"/>
      <c r="AH10" s="2136"/>
      <c r="AI10" s="2136"/>
      <c r="AJ10" s="2136"/>
      <c r="AK10" s="2136"/>
      <c r="AL10" s="2136"/>
      <c r="AM10" s="2136"/>
      <c r="AN10" s="2136"/>
      <c r="AO10" s="2136"/>
      <c r="AP10" s="2136"/>
      <c r="AQ10" s="2136"/>
      <c r="AR10" s="2136"/>
      <c r="AS10" s="2136"/>
      <c r="AT10" s="2136"/>
      <c r="AU10" s="2136"/>
      <c r="AV10" s="2136"/>
      <c r="AW10" s="2136"/>
      <c r="AX10" s="2136"/>
      <c r="AY10" s="2136"/>
      <c r="AZ10" s="2137"/>
      <c r="BC10">
        <v>9</v>
      </c>
    </row>
    <row r="11" spans="1:58" ht="28.5" customHeight="1">
      <c r="A11" s="409"/>
      <c r="B11" s="410"/>
      <c r="C11" s="410"/>
      <c r="D11" s="410"/>
      <c r="E11" s="410"/>
      <c r="F11" s="297"/>
      <c r="G11" s="297"/>
      <c r="H11" s="297"/>
      <c r="I11" s="297"/>
      <c r="J11" s="297"/>
      <c r="K11" s="2133" t="s">
        <v>106</v>
      </c>
      <c r="L11" s="2133"/>
      <c r="M11" s="2133"/>
      <c r="N11" s="2150" t="str">
        <f>CONCATENATE('01 使用承認申請書'!D4)</f>
        <v/>
      </c>
      <c r="O11" s="2150"/>
      <c r="P11" s="2150"/>
      <c r="Q11" s="2150"/>
      <c r="R11" s="2150"/>
      <c r="S11" s="2150"/>
      <c r="T11" s="2150"/>
      <c r="U11" s="2150"/>
      <c r="V11" s="2150"/>
      <c r="W11" s="2150"/>
      <c r="X11" s="2150"/>
      <c r="Y11" s="2150"/>
      <c r="Z11" s="2151"/>
      <c r="AA11" s="409"/>
      <c r="AB11" s="410"/>
      <c r="AC11" s="410"/>
      <c r="AD11" s="410"/>
      <c r="AE11" s="410"/>
      <c r="AF11" s="410"/>
      <c r="AG11" s="410"/>
      <c r="AH11" s="410"/>
      <c r="AI11" s="410"/>
      <c r="AJ11" s="410"/>
      <c r="AK11" s="2133" t="s">
        <v>106</v>
      </c>
      <c r="AL11" s="2133"/>
      <c r="AM11" s="2133"/>
      <c r="AN11" s="2133"/>
      <c r="AO11" s="2133"/>
      <c r="AP11" s="2147" t="s">
        <v>540</v>
      </c>
      <c r="AQ11" s="2148"/>
      <c r="AR11" s="2148"/>
      <c r="AS11" s="2148"/>
      <c r="AT11" s="2148"/>
      <c r="AU11" s="2148"/>
      <c r="AV11" s="2148"/>
      <c r="AW11" s="2148"/>
      <c r="AX11" s="2148"/>
      <c r="AY11" s="2148"/>
      <c r="AZ11" s="2149"/>
      <c r="BC11">
        <v>10</v>
      </c>
    </row>
    <row r="12" spans="1:58" ht="28.5" customHeight="1">
      <c r="A12" s="409"/>
      <c r="B12" s="410"/>
      <c r="C12" s="410"/>
      <c r="D12" s="410"/>
      <c r="E12" s="410"/>
      <c r="F12" s="297"/>
      <c r="G12" s="297"/>
      <c r="H12" s="297"/>
      <c r="I12" s="297"/>
      <c r="J12" s="297"/>
      <c r="K12" s="2133" t="s">
        <v>195</v>
      </c>
      <c r="L12" s="2133"/>
      <c r="M12" s="2133"/>
      <c r="N12" s="2150" t="str">
        <f>CONCATENATE('01 使用承認申請書'!S6)</f>
        <v/>
      </c>
      <c r="O12" s="2150"/>
      <c r="P12" s="2150"/>
      <c r="Q12" s="2150"/>
      <c r="R12" s="2150"/>
      <c r="S12" s="2150"/>
      <c r="T12" s="2150"/>
      <c r="U12" s="2150"/>
      <c r="V12" s="2150"/>
      <c r="W12" s="2150"/>
      <c r="X12" s="2150"/>
      <c r="Y12" s="2150"/>
      <c r="Z12" s="2151"/>
      <c r="AA12" s="409"/>
      <c r="AB12" s="410"/>
      <c r="AC12" s="410"/>
      <c r="AD12" s="410"/>
      <c r="AE12" s="410"/>
      <c r="AF12" s="410"/>
      <c r="AG12" s="410"/>
      <c r="AH12" s="410"/>
      <c r="AI12" s="410"/>
      <c r="AJ12" s="410"/>
      <c r="AK12" s="2133" t="s">
        <v>195</v>
      </c>
      <c r="AL12" s="2133"/>
      <c r="AM12" s="2133"/>
      <c r="AN12" s="2133"/>
      <c r="AO12" s="2133"/>
      <c r="AP12" s="2147" t="s">
        <v>107</v>
      </c>
      <c r="AQ12" s="2147"/>
      <c r="AR12" s="2147"/>
      <c r="AS12" s="2147"/>
      <c r="AT12" s="2147"/>
      <c r="AU12" s="2147"/>
      <c r="AV12" s="2147"/>
      <c r="AW12" s="2147"/>
      <c r="AX12" s="2147"/>
      <c r="AY12" s="2147"/>
      <c r="AZ12" s="2152"/>
      <c r="BC12">
        <v>11</v>
      </c>
    </row>
    <row r="13" spans="1:58" ht="28.5" customHeight="1">
      <c r="A13" s="409"/>
      <c r="B13" s="410"/>
      <c r="C13" s="410"/>
      <c r="D13" s="410"/>
      <c r="E13" s="410"/>
      <c r="F13" s="297"/>
      <c r="G13" s="297"/>
      <c r="H13" s="297"/>
      <c r="I13" s="297"/>
      <c r="J13" s="297"/>
      <c r="K13" s="2133" t="s">
        <v>196</v>
      </c>
      <c r="L13" s="2133"/>
      <c r="M13" s="2133"/>
      <c r="N13" s="2150" t="str">
        <f>'01 使用承認申請書'!$E$8&amp;'01 使用承認申請書'!$R$8</f>
        <v/>
      </c>
      <c r="O13" s="2150"/>
      <c r="P13" s="2150"/>
      <c r="Q13" s="2150"/>
      <c r="R13" s="2150"/>
      <c r="S13" s="2150"/>
      <c r="T13" s="2150"/>
      <c r="U13" s="2150"/>
      <c r="V13" s="2150"/>
      <c r="W13" s="2150"/>
      <c r="X13" s="2150"/>
      <c r="Y13" s="2150"/>
      <c r="Z13" s="2151"/>
      <c r="AA13" s="409"/>
      <c r="AB13" s="410"/>
      <c r="AC13" s="410"/>
      <c r="AD13" s="410"/>
      <c r="AE13" s="410"/>
      <c r="AF13" s="410"/>
      <c r="AG13" s="410"/>
      <c r="AH13" s="410"/>
      <c r="AI13" s="410"/>
      <c r="AJ13" s="410"/>
      <c r="AK13" s="2133" t="s">
        <v>196</v>
      </c>
      <c r="AL13" s="2133"/>
      <c r="AM13" s="2133"/>
      <c r="AN13" s="2133"/>
      <c r="AO13" s="2133"/>
      <c r="AP13" s="2147" t="s">
        <v>53</v>
      </c>
      <c r="AQ13" s="2147"/>
      <c r="AR13" s="2147"/>
      <c r="AS13" s="2147"/>
      <c r="AT13" s="2147"/>
      <c r="AU13" s="2147"/>
      <c r="AV13" s="2147"/>
      <c r="AW13" s="2147"/>
      <c r="AX13" s="2147"/>
      <c r="AY13" s="2147"/>
      <c r="AZ13" s="2152"/>
      <c r="BC13">
        <v>12</v>
      </c>
    </row>
    <row r="14" spans="1:58" ht="28.5" customHeight="1">
      <c r="A14" s="409"/>
      <c r="B14" s="410"/>
      <c r="C14" s="410"/>
      <c r="D14" s="410"/>
      <c r="E14" s="410"/>
      <c r="F14" s="297"/>
      <c r="G14" s="297"/>
      <c r="H14" s="297"/>
      <c r="I14" s="297"/>
      <c r="J14" s="297"/>
      <c r="K14" s="2133" t="s">
        <v>197</v>
      </c>
      <c r="L14" s="2133"/>
      <c r="M14" s="2133"/>
      <c r="N14" s="2153" t="str">
        <f>CONCATENATE('01 使用承認申請書'!D9)</f>
        <v/>
      </c>
      <c r="O14" s="2153"/>
      <c r="P14" s="2153"/>
      <c r="Q14" s="2153"/>
      <c r="R14" s="2153"/>
      <c r="S14" s="2153"/>
      <c r="T14" s="2153"/>
      <c r="U14" s="2153"/>
      <c r="V14" s="2153"/>
      <c r="W14" s="2153"/>
      <c r="X14" s="2153"/>
      <c r="Y14" s="2153"/>
      <c r="Z14" s="2154"/>
      <c r="AA14" s="409"/>
      <c r="AB14" s="410"/>
      <c r="AC14" s="410"/>
      <c r="AD14" s="410"/>
      <c r="AE14" s="410"/>
      <c r="AF14" s="410"/>
      <c r="AG14" s="410"/>
      <c r="AH14" s="410"/>
      <c r="AI14" s="410"/>
      <c r="AJ14" s="410"/>
      <c r="AK14" s="2133" t="s">
        <v>197</v>
      </c>
      <c r="AL14" s="2133"/>
      <c r="AM14" s="2133"/>
      <c r="AN14" s="2133"/>
      <c r="AO14" s="2133"/>
      <c r="AP14" s="2146" t="s">
        <v>490</v>
      </c>
      <c r="AQ14" s="2146"/>
      <c r="AR14" s="2146"/>
      <c r="AS14" s="2146"/>
      <c r="AT14" s="2146"/>
      <c r="AU14" s="2146"/>
      <c r="AV14" s="2146"/>
      <c r="AW14" s="2146"/>
      <c r="AX14" s="2146"/>
      <c r="AY14" s="2146"/>
      <c r="AZ14" s="412"/>
      <c r="BC14">
        <v>13</v>
      </c>
    </row>
    <row r="15" spans="1:58" ht="14.25" customHeight="1">
      <c r="A15" s="2135"/>
      <c r="B15" s="2136"/>
      <c r="C15" s="2136"/>
      <c r="D15" s="2136"/>
      <c r="E15" s="2136"/>
      <c r="F15" s="2136"/>
      <c r="G15" s="2136"/>
      <c r="H15" s="2136"/>
      <c r="I15" s="2136"/>
      <c r="J15" s="2136"/>
      <c r="K15" s="2136"/>
      <c r="L15" s="2136"/>
      <c r="M15" s="2136"/>
      <c r="N15" s="2136"/>
      <c r="O15" s="2136"/>
      <c r="P15" s="2136"/>
      <c r="Q15" s="2136"/>
      <c r="R15" s="2136"/>
      <c r="S15" s="2136"/>
      <c r="T15" s="2136"/>
      <c r="U15" s="2136"/>
      <c r="V15" s="2136"/>
      <c r="W15" s="2136"/>
      <c r="X15" s="2136"/>
      <c r="Y15" s="2136"/>
      <c r="Z15" s="2137"/>
      <c r="AA15" s="2135"/>
      <c r="AB15" s="2136"/>
      <c r="AC15" s="2136"/>
      <c r="AD15" s="2136"/>
      <c r="AE15" s="2136"/>
      <c r="AF15" s="2136"/>
      <c r="AG15" s="2136"/>
      <c r="AH15" s="2136"/>
      <c r="AI15" s="2136"/>
      <c r="AJ15" s="2136"/>
      <c r="AK15" s="2136"/>
      <c r="AL15" s="2136"/>
      <c r="AM15" s="2136"/>
      <c r="AN15" s="2136"/>
      <c r="AO15" s="2136"/>
      <c r="AP15" s="2136"/>
      <c r="AQ15" s="2136"/>
      <c r="AR15" s="2136"/>
      <c r="AS15" s="2136"/>
      <c r="AT15" s="2136"/>
      <c r="AU15" s="2136"/>
      <c r="AV15" s="2136"/>
      <c r="AW15" s="2136"/>
      <c r="AX15" s="2136"/>
      <c r="AY15" s="2136"/>
      <c r="AZ15" s="2137"/>
      <c r="BC15">
        <v>14</v>
      </c>
    </row>
    <row r="16" spans="1:58" ht="14.25" customHeight="1">
      <c r="A16" s="2135" t="s">
        <v>198</v>
      </c>
      <c r="B16" s="2136"/>
      <c r="C16" s="2136"/>
      <c r="D16" s="2136"/>
      <c r="E16" s="2136"/>
      <c r="F16" s="2136"/>
      <c r="G16" s="2136"/>
      <c r="H16" s="2136"/>
      <c r="I16" s="2136"/>
      <c r="J16" s="2136"/>
      <c r="K16" s="2136"/>
      <c r="L16" s="2136"/>
      <c r="M16" s="2136"/>
      <c r="N16" s="2136"/>
      <c r="O16" s="2136"/>
      <c r="P16" s="2136"/>
      <c r="Q16" s="2136"/>
      <c r="R16" s="2136"/>
      <c r="S16" s="2136"/>
      <c r="T16" s="2136"/>
      <c r="U16" s="2136"/>
      <c r="V16" s="2136"/>
      <c r="W16" s="2136"/>
      <c r="X16" s="2136"/>
      <c r="Y16" s="2136"/>
      <c r="Z16" s="2137"/>
      <c r="AA16" s="2135" t="s">
        <v>198</v>
      </c>
      <c r="AB16" s="2136"/>
      <c r="AC16" s="2136"/>
      <c r="AD16" s="2136"/>
      <c r="AE16" s="2136"/>
      <c r="AF16" s="2136"/>
      <c r="AG16" s="2136"/>
      <c r="AH16" s="2136"/>
      <c r="AI16" s="2136"/>
      <c r="AJ16" s="2136"/>
      <c r="AK16" s="2136"/>
      <c r="AL16" s="2136"/>
      <c r="AM16" s="2136"/>
      <c r="AN16" s="2136"/>
      <c r="AO16" s="2136"/>
      <c r="AP16" s="2136"/>
      <c r="AQ16" s="2136"/>
      <c r="AR16" s="2136"/>
      <c r="AS16" s="2136"/>
      <c r="AT16" s="2136"/>
      <c r="AU16" s="2136"/>
      <c r="AV16" s="2136"/>
      <c r="AW16" s="2136"/>
      <c r="AX16" s="2136"/>
      <c r="AY16" s="2136"/>
      <c r="AZ16" s="2137"/>
      <c r="BC16">
        <v>15</v>
      </c>
    </row>
    <row r="17" spans="1:55" ht="14.25" customHeight="1">
      <c r="A17" s="2135" t="s">
        <v>199</v>
      </c>
      <c r="B17" s="2136"/>
      <c r="C17" s="2136"/>
      <c r="D17" s="2136"/>
      <c r="E17" s="2136"/>
      <c r="F17" s="2136"/>
      <c r="G17" s="2136"/>
      <c r="H17" s="2136"/>
      <c r="I17" s="2136"/>
      <c r="J17" s="2136"/>
      <c r="K17" s="2136"/>
      <c r="L17" s="2136"/>
      <c r="M17" s="2136"/>
      <c r="N17" s="2136"/>
      <c r="O17" s="2136"/>
      <c r="P17" s="2136"/>
      <c r="Q17" s="2136"/>
      <c r="R17" s="2136"/>
      <c r="S17" s="2136"/>
      <c r="T17" s="2136"/>
      <c r="U17" s="2136"/>
      <c r="V17" s="2136"/>
      <c r="W17" s="2136"/>
      <c r="X17" s="2136"/>
      <c r="Y17" s="2136"/>
      <c r="Z17" s="2137"/>
      <c r="AA17" s="2135" t="s">
        <v>199</v>
      </c>
      <c r="AB17" s="2136"/>
      <c r="AC17" s="2136"/>
      <c r="AD17" s="2136"/>
      <c r="AE17" s="2136"/>
      <c r="AF17" s="2136"/>
      <c r="AG17" s="2136"/>
      <c r="AH17" s="2136"/>
      <c r="AI17" s="2136"/>
      <c r="AJ17" s="2136"/>
      <c r="AK17" s="2136"/>
      <c r="AL17" s="2136"/>
      <c r="AM17" s="2136"/>
      <c r="AN17" s="2136"/>
      <c r="AO17" s="2136"/>
      <c r="AP17" s="2136"/>
      <c r="AQ17" s="2136"/>
      <c r="AR17" s="2136"/>
      <c r="AS17" s="2136"/>
      <c r="AT17" s="2136"/>
      <c r="AU17" s="2136"/>
      <c r="AV17" s="2136"/>
      <c r="AW17" s="2136"/>
      <c r="AX17" s="2136"/>
      <c r="AY17" s="2136"/>
      <c r="AZ17" s="2137"/>
      <c r="BC17">
        <v>16</v>
      </c>
    </row>
    <row r="18" spans="1:55" ht="14.25" customHeight="1">
      <c r="A18" s="2135"/>
      <c r="B18" s="2136"/>
      <c r="C18" s="2136"/>
      <c r="D18" s="2136"/>
      <c r="E18" s="2136"/>
      <c r="F18" s="2136"/>
      <c r="G18" s="2136"/>
      <c r="H18" s="2136"/>
      <c r="I18" s="2136"/>
      <c r="J18" s="2136"/>
      <c r="K18" s="2136"/>
      <c r="L18" s="2136"/>
      <c r="M18" s="2136"/>
      <c r="N18" s="2136"/>
      <c r="O18" s="2136"/>
      <c r="P18" s="2136"/>
      <c r="Q18" s="2136"/>
      <c r="R18" s="2136"/>
      <c r="S18" s="2136"/>
      <c r="T18" s="2136"/>
      <c r="U18" s="2136"/>
      <c r="V18" s="2136"/>
      <c r="W18" s="2136"/>
      <c r="X18" s="2136"/>
      <c r="Y18" s="2136"/>
      <c r="Z18" s="2137"/>
      <c r="AA18" s="2135"/>
      <c r="AB18" s="2136"/>
      <c r="AC18" s="2136"/>
      <c r="AD18" s="2136"/>
      <c r="AE18" s="2136"/>
      <c r="AF18" s="2136"/>
      <c r="AG18" s="2136"/>
      <c r="AH18" s="2136"/>
      <c r="AI18" s="2136"/>
      <c r="AJ18" s="2136"/>
      <c r="AK18" s="2136"/>
      <c r="AL18" s="2136"/>
      <c r="AM18" s="2136"/>
      <c r="AN18" s="2136"/>
      <c r="AO18" s="2136"/>
      <c r="AP18" s="2136"/>
      <c r="AQ18" s="2136"/>
      <c r="AR18" s="2136"/>
      <c r="AS18" s="2136"/>
      <c r="AT18" s="2136"/>
      <c r="AU18" s="2136"/>
      <c r="AV18" s="2136"/>
      <c r="AW18" s="2136"/>
      <c r="AX18" s="2136"/>
      <c r="AY18" s="2136"/>
      <c r="AZ18" s="2137"/>
      <c r="BC18">
        <v>17</v>
      </c>
    </row>
    <row r="19" spans="1:55" ht="26.1" customHeight="1">
      <c r="A19" s="409"/>
      <c r="B19" s="2143" t="s">
        <v>486</v>
      </c>
      <c r="C19" s="2144"/>
      <c r="D19" s="2144"/>
      <c r="E19" s="2144"/>
      <c r="F19" s="2144"/>
      <c r="G19" s="2145"/>
      <c r="H19" s="2143"/>
      <c r="I19" s="2144"/>
      <c r="J19" s="2144"/>
      <c r="K19" s="2162">
        <f>('01 使用承認申請書'!C14)</f>
        <v>0</v>
      </c>
      <c r="L19" s="2162"/>
      <c r="M19" s="2162"/>
      <c r="N19" s="2162"/>
      <c r="O19" s="2162"/>
      <c r="P19" s="2162"/>
      <c r="Q19" s="2161" t="s">
        <v>30</v>
      </c>
      <c r="R19" s="2161"/>
      <c r="S19" s="2163">
        <f>('01 使用承認申請書'!C16)</f>
        <v>0</v>
      </c>
      <c r="T19" s="2163"/>
      <c r="U19" s="2163"/>
      <c r="V19" s="2163"/>
      <c r="W19" s="2163"/>
      <c r="X19" s="2163"/>
      <c r="Y19" s="2164"/>
      <c r="Z19" s="414"/>
      <c r="AA19" s="409"/>
      <c r="AB19" s="2143" t="s">
        <v>486</v>
      </c>
      <c r="AC19" s="2144"/>
      <c r="AD19" s="2144"/>
      <c r="AE19" s="2144"/>
      <c r="AF19" s="2144"/>
      <c r="AG19" s="2145"/>
      <c r="AH19" s="2143"/>
      <c r="AI19" s="2144"/>
      <c r="AJ19" s="2144"/>
      <c r="AK19" s="413"/>
      <c r="AL19" s="540"/>
      <c r="AM19" s="413" t="str">
        <f>CONCATENATE('[2]01 使用承認申請書'!AC14)</f>
        <v>10</v>
      </c>
      <c r="AN19" s="540" t="s">
        <v>12</v>
      </c>
      <c r="AO19" s="413">
        <v>13</v>
      </c>
      <c r="AP19" s="540" t="s">
        <v>11</v>
      </c>
      <c r="AQ19" s="2161" t="s">
        <v>30</v>
      </c>
      <c r="AR19" s="2161"/>
      <c r="AS19" s="413" t="str">
        <f>CONCATENATE('[2]01 使用承認申請書'!AC16)</f>
        <v>10</v>
      </c>
      <c r="AT19" s="540" t="s">
        <v>12</v>
      </c>
      <c r="AU19" s="413">
        <v>14</v>
      </c>
      <c r="AV19" s="540" t="s">
        <v>11</v>
      </c>
      <c r="AW19" s="2144"/>
      <c r="AX19" s="2144"/>
      <c r="AY19" s="2145"/>
      <c r="AZ19" s="414"/>
      <c r="BC19">
        <v>18</v>
      </c>
    </row>
    <row r="20" spans="1:55" ht="26.1" customHeight="1">
      <c r="A20" s="409"/>
      <c r="B20" s="2143" t="s">
        <v>487</v>
      </c>
      <c r="C20" s="2144"/>
      <c r="D20" s="2144"/>
      <c r="E20" s="2144"/>
      <c r="F20" s="2144"/>
      <c r="G20" s="2145"/>
      <c r="H20" s="2155"/>
      <c r="I20" s="2156"/>
      <c r="J20" s="2156"/>
      <c r="K20" s="2156"/>
      <c r="L20" s="2156"/>
      <c r="M20" s="2156"/>
      <c r="N20" s="2156"/>
      <c r="O20" s="2156"/>
      <c r="P20" s="2156"/>
      <c r="Q20" s="2156"/>
      <c r="R20" s="2156"/>
      <c r="S20" s="2156"/>
      <c r="T20" s="2156"/>
      <c r="U20" s="2156"/>
      <c r="V20" s="2156"/>
      <c r="W20" s="2156"/>
      <c r="X20" s="2156"/>
      <c r="Y20" s="2157"/>
      <c r="Z20" s="414"/>
      <c r="AA20" s="409"/>
      <c r="AB20" s="2143" t="s">
        <v>487</v>
      </c>
      <c r="AC20" s="2144"/>
      <c r="AD20" s="2144"/>
      <c r="AE20" s="2144"/>
      <c r="AF20" s="2144"/>
      <c r="AG20" s="2145"/>
      <c r="AH20" s="2155"/>
      <c r="AI20" s="2156"/>
      <c r="AJ20" s="2156"/>
      <c r="AK20" s="2156"/>
      <c r="AL20" s="2156"/>
      <c r="AM20" s="2156"/>
      <c r="AN20" s="2156"/>
      <c r="AO20" s="2156"/>
      <c r="AP20" s="2156"/>
      <c r="AQ20" s="2156"/>
      <c r="AR20" s="2156"/>
      <c r="AS20" s="2156"/>
      <c r="AT20" s="2156"/>
      <c r="AU20" s="2156"/>
      <c r="AV20" s="2156"/>
      <c r="AW20" s="2156"/>
      <c r="AX20" s="2156"/>
      <c r="AY20" s="2157"/>
      <c r="AZ20" s="414"/>
      <c r="BC20">
        <v>19</v>
      </c>
    </row>
    <row r="21" spans="1:55" ht="26.1" customHeight="1">
      <c r="A21" s="409"/>
      <c r="B21" s="2143" t="s">
        <v>488</v>
      </c>
      <c r="C21" s="2144"/>
      <c r="D21" s="2144"/>
      <c r="E21" s="2144"/>
      <c r="F21" s="2144"/>
      <c r="G21" s="2145"/>
      <c r="H21" s="2158"/>
      <c r="I21" s="2159"/>
      <c r="J21" s="2159"/>
      <c r="K21" s="2159"/>
      <c r="L21" s="2159"/>
      <c r="M21" s="2159"/>
      <c r="N21" s="2159"/>
      <c r="O21" s="2160"/>
      <c r="P21" s="2160"/>
      <c r="Q21" s="539" t="s">
        <v>27</v>
      </c>
      <c r="R21" s="2144"/>
      <c r="S21" s="2144"/>
      <c r="T21" s="2144"/>
      <c r="U21" s="2144"/>
      <c r="V21" s="2144"/>
      <c r="W21" s="2144"/>
      <c r="X21" s="2144"/>
      <c r="Y21" s="2145"/>
      <c r="Z21" s="414"/>
      <c r="AA21" s="409"/>
      <c r="AB21" s="2143" t="s">
        <v>488</v>
      </c>
      <c r="AC21" s="2144"/>
      <c r="AD21" s="2144"/>
      <c r="AE21" s="2144"/>
      <c r="AF21" s="2144"/>
      <c r="AG21" s="2145"/>
      <c r="AH21" s="2158"/>
      <c r="AI21" s="2159"/>
      <c r="AJ21" s="2159"/>
      <c r="AK21" s="2159"/>
      <c r="AL21" s="2159"/>
      <c r="AM21" s="2159"/>
      <c r="AN21" s="2159"/>
      <c r="AO21" s="2160"/>
      <c r="AP21" s="2160"/>
      <c r="AQ21" s="539" t="s">
        <v>27</v>
      </c>
      <c r="AR21" s="2144"/>
      <c r="AS21" s="2144"/>
      <c r="AT21" s="2144"/>
      <c r="AU21" s="2144"/>
      <c r="AV21" s="2144"/>
      <c r="AW21" s="2144"/>
      <c r="AX21" s="2144"/>
      <c r="AY21" s="2145"/>
      <c r="AZ21" s="414"/>
      <c r="BC21">
        <v>20</v>
      </c>
    </row>
    <row r="22" spans="1:55" ht="26.1" customHeight="1">
      <c r="A22" s="409"/>
      <c r="B22" s="2123" t="s">
        <v>489</v>
      </c>
      <c r="C22" s="2124"/>
      <c r="D22" s="2124"/>
      <c r="E22" s="2124"/>
      <c r="F22" s="2124"/>
      <c r="G22" s="2125"/>
      <c r="H22" s="575"/>
      <c r="I22" s="2168" t="s">
        <v>601</v>
      </c>
      <c r="J22" s="2168"/>
      <c r="K22" s="2168"/>
      <c r="L22" s="2168"/>
      <c r="M22" s="2168"/>
      <c r="N22" s="2168"/>
      <c r="O22" s="2168"/>
      <c r="P22" s="2168"/>
      <c r="Q22" s="2168"/>
      <c r="R22" s="2168"/>
      <c r="S22" s="2168"/>
      <c r="T22" s="2168"/>
      <c r="U22" s="2168"/>
      <c r="V22" s="2168"/>
      <c r="W22" s="2168"/>
      <c r="X22" s="2168"/>
      <c r="Y22" s="2169"/>
      <c r="Z22" s="415"/>
      <c r="AA22" s="409"/>
      <c r="AB22" s="2123" t="s">
        <v>489</v>
      </c>
      <c r="AC22" s="2124"/>
      <c r="AD22" s="2124"/>
      <c r="AE22" s="2124"/>
      <c r="AF22" s="2124"/>
      <c r="AG22" s="2125"/>
      <c r="AH22" s="575"/>
      <c r="AI22" s="2168" t="s">
        <v>601</v>
      </c>
      <c r="AJ22" s="2168"/>
      <c r="AK22" s="2168"/>
      <c r="AL22" s="2168"/>
      <c r="AM22" s="2168"/>
      <c r="AN22" s="2168"/>
      <c r="AO22" s="2168"/>
      <c r="AP22" s="2168"/>
      <c r="AQ22" s="2168"/>
      <c r="AR22" s="2168"/>
      <c r="AS22" s="2168"/>
      <c r="AT22" s="2168"/>
      <c r="AU22" s="2168"/>
      <c r="AV22" s="2168"/>
      <c r="AW22" s="2168"/>
      <c r="AX22" s="2168"/>
      <c r="AY22" s="2169"/>
      <c r="AZ22" s="414"/>
      <c r="BC22">
        <v>21</v>
      </c>
    </row>
    <row r="23" spans="1:55" ht="26.1" customHeight="1">
      <c r="A23" s="409"/>
      <c r="B23" s="2132"/>
      <c r="C23" s="2133"/>
      <c r="D23" s="2133"/>
      <c r="E23" s="2133"/>
      <c r="F23" s="2133"/>
      <c r="G23" s="2134"/>
      <c r="H23" s="575"/>
      <c r="I23" s="2168" t="s">
        <v>480</v>
      </c>
      <c r="J23" s="2168"/>
      <c r="K23" s="2168"/>
      <c r="L23" s="2168"/>
      <c r="M23" s="2168"/>
      <c r="N23" s="2168"/>
      <c r="O23" s="2168"/>
      <c r="P23" s="2168"/>
      <c r="Q23" s="2168"/>
      <c r="R23" s="2168"/>
      <c r="S23" s="2168"/>
      <c r="T23" s="2168"/>
      <c r="U23" s="2168"/>
      <c r="V23" s="2168"/>
      <c r="W23" s="2168"/>
      <c r="X23" s="2168"/>
      <c r="Y23" s="2169"/>
      <c r="Z23" s="415"/>
      <c r="AA23" s="409"/>
      <c r="AB23" s="2132"/>
      <c r="AC23" s="2133"/>
      <c r="AD23" s="2133"/>
      <c r="AE23" s="2133"/>
      <c r="AF23" s="2133"/>
      <c r="AG23" s="2134"/>
      <c r="AH23" s="575"/>
      <c r="AI23" s="2168" t="s">
        <v>480</v>
      </c>
      <c r="AJ23" s="2168"/>
      <c r="AK23" s="2168"/>
      <c r="AL23" s="2168"/>
      <c r="AM23" s="2168"/>
      <c r="AN23" s="2168"/>
      <c r="AO23" s="2168"/>
      <c r="AP23" s="2168"/>
      <c r="AQ23" s="2168"/>
      <c r="AR23" s="2168"/>
      <c r="AS23" s="2168"/>
      <c r="AT23" s="2168"/>
      <c r="AU23" s="2168"/>
      <c r="AV23" s="2168"/>
      <c r="AW23" s="2168"/>
      <c r="AX23" s="2168"/>
      <c r="AY23" s="2169"/>
      <c r="AZ23" s="414"/>
      <c r="BC23">
        <v>22</v>
      </c>
    </row>
    <row r="24" spans="1:55" ht="26.1" customHeight="1">
      <c r="A24" s="409"/>
      <c r="B24" s="2132"/>
      <c r="C24" s="2133"/>
      <c r="D24" s="2133"/>
      <c r="E24" s="2133"/>
      <c r="F24" s="2133"/>
      <c r="G24" s="2134"/>
      <c r="H24" s="575"/>
      <c r="I24" s="2168" t="s">
        <v>602</v>
      </c>
      <c r="J24" s="2168"/>
      <c r="K24" s="2168"/>
      <c r="L24" s="2168"/>
      <c r="M24" s="2168"/>
      <c r="N24" s="2168"/>
      <c r="O24" s="2168"/>
      <c r="P24" s="2168"/>
      <c r="Q24" s="2168"/>
      <c r="R24" s="2168"/>
      <c r="S24" s="2168"/>
      <c r="T24" s="2168"/>
      <c r="U24" s="2168"/>
      <c r="V24" s="2168"/>
      <c r="W24" s="2168"/>
      <c r="X24" s="2168"/>
      <c r="Y24" s="2169"/>
      <c r="Z24" s="415"/>
      <c r="AA24" s="409"/>
      <c r="AB24" s="2132"/>
      <c r="AC24" s="2133"/>
      <c r="AD24" s="2133"/>
      <c r="AE24" s="2133"/>
      <c r="AF24" s="2133"/>
      <c r="AG24" s="2134"/>
      <c r="AH24" s="575"/>
      <c r="AI24" s="2168" t="s">
        <v>602</v>
      </c>
      <c r="AJ24" s="2168"/>
      <c r="AK24" s="2168"/>
      <c r="AL24" s="2168"/>
      <c r="AM24" s="2168"/>
      <c r="AN24" s="2168"/>
      <c r="AO24" s="2168"/>
      <c r="AP24" s="2168"/>
      <c r="AQ24" s="2168"/>
      <c r="AR24" s="2168"/>
      <c r="AS24" s="2168"/>
      <c r="AT24" s="2168"/>
      <c r="AU24" s="2168"/>
      <c r="AV24" s="2168"/>
      <c r="AW24" s="2168"/>
      <c r="AX24" s="2168"/>
      <c r="AY24" s="2169"/>
      <c r="AZ24" s="414"/>
      <c r="BC24">
        <v>23</v>
      </c>
    </row>
    <row r="25" spans="1:55" ht="26.1" customHeight="1">
      <c r="A25" s="409"/>
      <c r="B25" s="2132"/>
      <c r="C25" s="2133"/>
      <c r="D25" s="2133"/>
      <c r="E25" s="2133"/>
      <c r="F25" s="2133"/>
      <c r="G25" s="2134"/>
      <c r="H25" s="575"/>
      <c r="I25" s="2168" t="s">
        <v>603</v>
      </c>
      <c r="J25" s="2168"/>
      <c r="K25" s="2168"/>
      <c r="L25" s="2168"/>
      <c r="M25" s="2168"/>
      <c r="N25" s="2168"/>
      <c r="O25" s="2168"/>
      <c r="P25" s="2168"/>
      <c r="Q25" s="2168"/>
      <c r="R25" s="2168"/>
      <c r="S25" s="2168"/>
      <c r="T25" s="2168"/>
      <c r="U25" s="2168"/>
      <c r="V25" s="2168"/>
      <c r="W25" s="2168"/>
      <c r="X25" s="2168"/>
      <c r="Y25" s="2169"/>
      <c r="Z25" s="415"/>
      <c r="AA25" s="409"/>
      <c r="AB25" s="2132"/>
      <c r="AC25" s="2133"/>
      <c r="AD25" s="2133"/>
      <c r="AE25" s="2133"/>
      <c r="AF25" s="2133"/>
      <c r="AG25" s="2134"/>
      <c r="AH25" s="575"/>
      <c r="AI25" s="2168" t="s">
        <v>603</v>
      </c>
      <c r="AJ25" s="2168"/>
      <c r="AK25" s="2168"/>
      <c r="AL25" s="2168"/>
      <c r="AM25" s="2168"/>
      <c r="AN25" s="2168"/>
      <c r="AO25" s="2168"/>
      <c r="AP25" s="2168"/>
      <c r="AQ25" s="2168"/>
      <c r="AR25" s="2168"/>
      <c r="AS25" s="2168"/>
      <c r="AT25" s="2168"/>
      <c r="AU25" s="2168"/>
      <c r="AV25" s="2168"/>
      <c r="AW25" s="2168"/>
      <c r="AX25" s="2168"/>
      <c r="AY25" s="2169"/>
      <c r="AZ25" s="414"/>
      <c r="BC25">
        <v>24</v>
      </c>
    </row>
    <row r="26" spans="1:55" ht="26.1" customHeight="1">
      <c r="A26" s="409"/>
      <c r="B26" s="2132"/>
      <c r="C26" s="2133"/>
      <c r="D26" s="2133"/>
      <c r="E26" s="2133"/>
      <c r="F26" s="2133"/>
      <c r="G26" s="2134"/>
      <c r="H26" s="575"/>
      <c r="I26" s="2168" t="s">
        <v>604</v>
      </c>
      <c r="J26" s="2168"/>
      <c r="K26" s="2168"/>
      <c r="L26" s="2168"/>
      <c r="M26" s="2168"/>
      <c r="N26" s="2168"/>
      <c r="O26" s="2168"/>
      <c r="P26" s="2168"/>
      <c r="Q26" s="2168"/>
      <c r="R26" s="2168"/>
      <c r="S26" s="2168"/>
      <c r="T26" s="2168"/>
      <c r="U26" s="2168"/>
      <c r="V26" s="2168"/>
      <c r="W26" s="2168"/>
      <c r="X26" s="2168"/>
      <c r="Y26" s="2169"/>
      <c r="Z26" s="415"/>
      <c r="AA26" s="409"/>
      <c r="AB26" s="2132"/>
      <c r="AC26" s="2133"/>
      <c r="AD26" s="2133"/>
      <c r="AE26" s="2133"/>
      <c r="AF26" s="2133"/>
      <c r="AG26" s="2134"/>
      <c r="AH26" s="575"/>
      <c r="AI26" s="2168" t="s">
        <v>604</v>
      </c>
      <c r="AJ26" s="2168"/>
      <c r="AK26" s="2168"/>
      <c r="AL26" s="2168"/>
      <c r="AM26" s="2168"/>
      <c r="AN26" s="2168"/>
      <c r="AO26" s="2168"/>
      <c r="AP26" s="2168"/>
      <c r="AQ26" s="2168"/>
      <c r="AR26" s="2168"/>
      <c r="AS26" s="2168"/>
      <c r="AT26" s="2168"/>
      <c r="AU26" s="2168"/>
      <c r="AV26" s="2168"/>
      <c r="AW26" s="2168"/>
      <c r="AX26" s="2168"/>
      <c r="AY26" s="2169"/>
      <c r="AZ26" s="414"/>
      <c r="BC26">
        <v>25</v>
      </c>
    </row>
    <row r="27" spans="1:55" ht="26.1" customHeight="1">
      <c r="A27" s="409"/>
      <c r="B27" s="2132"/>
      <c r="C27" s="2133"/>
      <c r="D27" s="2133"/>
      <c r="E27" s="2133"/>
      <c r="F27" s="2133"/>
      <c r="G27" s="2134"/>
      <c r="H27" s="575"/>
      <c r="I27" s="2168" t="s">
        <v>612</v>
      </c>
      <c r="J27" s="2168"/>
      <c r="K27" s="2168"/>
      <c r="L27" s="2168"/>
      <c r="M27" s="2168"/>
      <c r="N27" s="2168"/>
      <c r="O27" s="2168"/>
      <c r="P27" s="2168"/>
      <c r="Q27" s="2168"/>
      <c r="R27" s="2168"/>
      <c r="S27" s="2168"/>
      <c r="T27" s="2168"/>
      <c r="U27" s="2168"/>
      <c r="V27" s="2168"/>
      <c r="W27" s="2168"/>
      <c r="X27" s="2168"/>
      <c r="Y27" s="2169"/>
      <c r="Z27" s="415"/>
      <c r="AA27" s="409"/>
      <c r="AB27" s="2132"/>
      <c r="AC27" s="2133"/>
      <c r="AD27" s="2133"/>
      <c r="AE27" s="2133"/>
      <c r="AF27" s="2133"/>
      <c r="AG27" s="2134"/>
      <c r="AH27" s="575"/>
      <c r="AI27" s="2168" t="s">
        <v>612</v>
      </c>
      <c r="AJ27" s="2168"/>
      <c r="AK27" s="2168"/>
      <c r="AL27" s="2168"/>
      <c r="AM27" s="2168"/>
      <c r="AN27" s="2168"/>
      <c r="AO27" s="2168"/>
      <c r="AP27" s="2168"/>
      <c r="AQ27" s="2168"/>
      <c r="AR27" s="2168"/>
      <c r="AS27" s="2168"/>
      <c r="AT27" s="2168"/>
      <c r="AU27" s="2168"/>
      <c r="AV27" s="2168"/>
      <c r="AW27" s="2168"/>
      <c r="AX27" s="2168"/>
      <c r="AY27" s="2169"/>
      <c r="AZ27" s="414"/>
      <c r="BC27">
        <v>26</v>
      </c>
    </row>
    <row r="28" spans="1:55" ht="26.1" customHeight="1">
      <c r="A28" s="423"/>
      <c r="B28" s="2132"/>
      <c r="C28" s="2133"/>
      <c r="D28" s="2133"/>
      <c r="E28" s="2133"/>
      <c r="F28" s="2133"/>
      <c r="G28" s="2134"/>
      <c r="H28" s="575"/>
      <c r="I28" s="2168" t="s">
        <v>605</v>
      </c>
      <c r="J28" s="2168"/>
      <c r="K28" s="2168"/>
      <c r="L28" s="2168"/>
      <c r="M28" s="2168"/>
      <c r="N28" s="2168"/>
      <c r="O28" s="2168"/>
      <c r="P28" s="2168"/>
      <c r="Q28" s="2168"/>
      <c r="R28" s="2168"/>
      <c r="S28" s="2168"/>
      <c r="T28" s="2168"/>
      <c r="U28" s="2168"/>
      <c r="V28" s="2168"/>
      <c r="W28" s="2168"/>
      <c r="X28" s="2168"/>
      <c r="Y28" s="2169"/>
      <c r="Z28" s="423"/>
      <c r="AA28" s="409"/>
      <c r="AB28" s="2132"/>
      <c r="AC28" s="2133"/>
      <c r="AD28" s="2133"/>
      <c r="AE28" s="2133"/>
      <c r="AF28" s="2133"/>
      <c r="AG28" s="2134"/>
      <c r="AH28" s="575"/>
      <c r="AI28" s="2168" t="s">
        <v>605</v>
      </c>
      <c r="AJ28" s="2168"/>
      <c r="AK28" s="2168"/>
      <c r="AL28" s="2168"/>
      <c r="AM28" s="2168"/>
      <c r="AN28" s="2168"/>
      <c r="AO28" s="2168"/>
      <c r="AP28" s="2168"/>
      <c r="AQ28" s="2168"/>
      <c r="AR28" s="2168"/>
      <c r="AS28" s="2168"/>
      <c r="AT28" s="2168"/>
      <c r="AU28" s="2168"/>
      <c r="AV28" s="2168"/>
      <c r="AW28" s="2168"/>
      <c r="AX28" s="2168"/>
      <c r="AY28" s="2169"/>
      <c r="AZ28" s="414"/>
      <c r="BC28">
        <v>27</v>
      </c>
    </row>
    <row r="29" spans="1:55" ht="26.1" customHeight="1">
      <c r="A29" s="414"/>
      <c r="B29" s="2165"/>
      <c r="C29" s="2166"/>
      <c r="D29" s="2166"/>
      <c r="E29" s="2166"/>
      <c r="F29" s="2166"/>
      <c r="G29" s="2167"/>
      <c r="H29" s="575"/>
      <c r="I29" s="2168" t="s">
        <v>606</v>
      </c>
      <c r="J29" s="2168"/>
      <c r="K29" s="2168"/>
      <c r="L29" s="2168"/>
      <c r="M29" s="2168"/>
      <c r="N29" s="2168"/>
      <c r="O29" s="2168"/>
      <c r="P29" s="2168"/>
      <c r="Q29" s="2168"/>
      <c r="R29" s="2168"/>
      <c r="S29" s="2168"/>
      <c r="T29" s="2168"/>
      <c r="U29" s="2168"/>
      <c r="V29" s="2168"/>
      <c r="W29" s="2168"/>
      <c r="X29" s="2168"/>
      <c r="Y29" s="2169"/>
      <c r="Z29" s="409"/>
      <c r="AA29" s="414"/>
      <c r="AB29" s="2165"/>
      <c r="AC29" s="2166"/>
      <c r="AD29" s="2166"/>
      <c r="AE29" s="2166"/>
      <c r="AF29" s="2166"/>
      <c r="AG29" s="2167"/>
      <c r="AH29" s="575"/>
      <c r="AI29" s="2168" t="s">
        <v>606</v>
      </c>
      <c r="AJ29" s="2168"/>
      <c r="AK29" s="2168"/>
      <c r="AL29" s="2168"/>
      <c r="AM29" s="2168"/>
      <c r="AN29" s="2168"/>
      <c r="AO29" s="2168"/>
      <c r="AP29" s="2168"/>
      <c r="AQ29" s="2168"/>
      <c r="AR29" s="2168"/>
      <c r="AS29" s="2168"/>
      <c r="AT29" s="2168"/>
      <c r="AU29" s="2168"/>
      <c r="AV29" s="2168"/>
      <c r="AW29" s="2168"/>
      <c r="AX29" s="2168"/>
      <c r="AY29" s="2169"/>
      <c r="AZ29" s="409"/>
      <c r="BC29">
        <v>28</v>
      </c>
    </row>
    <row r="30" spans="1:55" ht="26.1" customHeight="1" thickBot="1">
      <c r="A30" s="576"/>
      <c r="B30" s="577"/>
      <c r="C30" s="577"/>
      <c r="D30" s="577"/>
      <c r="E30" s="577"/>
      <c r="F30" s="577"/>
      <c r="G30" s="577"/>
      <c r="H30" s="578"/>
      <c r="I30" s="579"/>
      <c r="J30" s="579"/>
      <c r="K30" s="579"/>
      <c r="L30" s="579"/>
      <c r="M30" s="579"/>
      <c r="N30" s="579"/>
      <c r="O30" s="579"/>
      <c r="P30" s="579"/>
      <c r="Q30" s="579"/>
      <c r="R30" s="579"/>
      <c r="S30" s="579"/>
      <c r="T30" s="579"/>
      <c r="U30" s="579"/>
      <c r="V30" s="579"/>
      <c r="W30" s="579"/>
      <c r="X30" s="579"/>
      <c r="Y30" s="579"/>
      <c r="Z30" s="576"/>
      <c r="AA30" s="577"/>
      <c r="AB30" s="583"/>
      <c r="AC30" s="583"/>
      <c r="AD30" s="583"/>
      <c r="AE30" s="583"/>
      <c r="AF30" s="583"/>
      <c r="AG30" s="583"/>
      <c r="AH30" s="583"/>
      <c r="AI30" s="583"/>
      <c r="AJ30" s="583"/>
      <c r="AK30" s="583"/>
      <c r="AL30" s="583"/>
      <c r="AM30" s="583"/>
      <c r="AN30" s="583"/>
      <c r="AO30" s="583"/>
      <c r="AP30" s="583"/>
      <c r="AQ30" s="583"/>
      <c r="AR30" s="583"/>
      <c r="AS30" s="583"/>
      <c r="AT30" s="583"/>
      <c r="AU30" s="583"/>
      <c r="AV30" s="583"/>
      <c r="AW30" s="583"/>
      <c r="AX30" s="583"/>
      <c r="AY30" s="583"/>
      <c r="AZ30" s="577"/>
    </row>
    <row r="31" spans="1:55" ht="14.25" customHeight="1" thickTop="1">
      <c r="A31" s="538"/>
      <c r="B31" s="537"/>
      <c r="C31" s="537"/>
      <c r="D31" s="537"/>
      <c r="E31" s="537"/>
      <c r="F31" s="537"/>
      <c r="G31" s="537"/>
      <c r="H31" s="537"/>
      <c r="I31" s="537"/>
      <c r="J31" s="537"/>
      <c r="K31" s="537"/>
      <c r="L31" s="537"/>
      <c r="M31" s="537"/>
      <c r="N31" s="537"/>
      <c r="O31" s="537"/>
      <c r="P31" s="537"/>
      <c r="Q31" s="537"/>
      <c r="R31" s="537"/>
      <c r="S31" s="537"/>
      <c r="T31" s="537"/>
      <c r="U31" s="537"/>
      <c r="V31" s="534">
        <f>H43</f>
        <v>0</v>
      </c>
      <c r="W31" s="537"/>
      <c r="X31" s="537"/>
      <c r="Y31" s="537"/>
      <c r="Z31" s="417"/>
      <c r="AA31" s="416"/>
      <c r="AB31" s="417"/>
      <c r="AC31" s="417"/>
      <c r="AD31" s="417"/>
      <c r="AE31" s="417"/>
      <c r="AF31" s="417"/>
      <c r="AG31" s="417"/>
      <c r="AH31" s="417"/>
      <c r="AI31" s="417"/>
      <c r="AJ31" s="417"/>
      <c r="AK31" s="417"/>
      <c r="AL31" s="417"/>
      <c r="AM31" s="417"/>
      <c r="AN31" s="417"/>
      <c r="AO31" s="417"/>
      <c r="AP31" s="417"/>
      <c r="AQ31" s="417"/>
      <c r="AR31" s="417"/>
      <c r="AS31" s="417"/>
      <c r="AT31" s="417"/>
      <c r="AU31" s="417"/>
      <c r="AV31" s="417"/>
      <c r="AW31" s="417"/>
      <c r="AX31" s="417"/>
      <c r="AY31" s="417"/>
      <c r="AZ31" s="427"/>
      <c r="BC31">
        <v>29</v>
      </c>
    </row>
    <row r="32" spans="1:55" ht="14.25" customHeight="1">
      <c r="A32" s="416"/>
      <c r="B32" s="417"/>
      <c r="C32" s="417"/>
      <c r="D32" s="417"/>
      <c r="E32" s="417"/>
      <c r="F32" s="417"/>
      <c r="G32" s="417"/>
      <c r="H32" s="417"/>
      <c r="I32" s="417"/>
      <c r="J32" s="417"/>
      <c r="K32" s="417"/>
      <c r="L32" s="417"/>
      <c r="M32" s="417"/>
      <c r="N32" s="417"/>
      <c r="O32" s="417"/>
      <c r="P32" s="417"/>
      <c r="Q32" s="417"/>
      <c r="R32" s="417"/>
      <c r="S32" s="417"/>
      <c r="T32" s="417"/>
      <c r="U32" s="417"/>
      <c r="V32" s="411">
        <f>H42</f>
        <v>0</v>
      </c>
      <c r="W32" s="417"/>
      <c r="X32" s="417"/>
      <c r="Y32" s="417"/>
      <c r="Z32" s="417"/>
      <c r="AA32" s="416"/>
      <c r="AB32" s="417"/>
      <c r="AC32" s="417"/>
      <c r="AD32" s="417"/>
      <c r="AE32" s="417"/>
      <c r="AF32" s="417"/>
      <c r="AG32" s="417"/>
      <c r="AH32" s="417"/>
      <c r="AI32" s="417"/>
      <c r="AJ32" s="417"/>
      <c r="AK32" s="417"/>
      <c r="AL32" s="417"/>
      <c r="AM32" s="417"/>
      <c r="AN32" s="417"/>
      <c r="AO32" s="417"/>
      <c r="AP32" s="417"/>
      <c r="AQ32" s="417"/>
      <c r="AR32" s="417"/>
      <c r="AS32" s="417"/>
      <c r="AV32" s="437">
        <v>7</v>
      </c>
      <c r="AW32" s="417"/>
      <c r="AX32" s="417"/>
      <c r="AY32" s="417"/>
      <c r="AZ32" s="427"/>
      <c r="BC32">
        <v>30</v>
      </c>
    </row>
    <row r="33" spans="1:55" ht="14.25" customHeight="1">
      <c r="A33" s="409"/>
      <c r="B33" s="410"/>
      <c r="C33" s="410"/>
      <c r="D33" s="410"/>
      <c r="E33" s="410"/>
      <c r="F33" s="410"/>
      <c r="G33" s="410"/>
      <c r="H33" s="410"/>
      <c r="I33" s="410"/>
      <c r="J33" s="410"/>
      <c r="K33" s="410"/>
      <c r="L33" s="410"/>
      <c r="M33" s="410"/>
      <c r="N33" s="410"/>
      <c r="O33" s="410"/>
      <c r="P33" s="410"/>
      <c r="Q33" s="410"/>
      <c r="R33" s="410"/>
      <c r="S33" s="410"/>
      <c r="T33" s="410"/>
      <c r="U33" s="410"/>
      <c r="V33" s="411">
        <f>H39</f>
        <v>0</v>
      </c>
      <c r="W33" s="410"/>
      <c r="X33" s="410"/>
      <c r="Y33" s="410"/>
      <c r="Z33" s="410"/>
      <c r="AA33" s="409"/>
      <c r="AB33" s="410"/>
      <c r="AC33" s="410"/>
      <c r="AD33" s="410"/>
      <c r="AE33" s="410"/>
      <c r="AF33" s="410"/>
      <c r="AG33" s="410"/>
      <c r="AH33" s="410"/>
      <c r="AI33" s="410"/>
      <c r="AJ33" s="410"/>
      <c r="AK33" s="410"/>
      <c r="AL33" s="410"/>
      <c r="AM33" s="410"/>
      <c r="AN33" s="410"/>
      <c r="AO33" s="410"/>
      <c r="AP33" s="410"/>
      <c r="AQ33" s="410"/>
      <c r="AR33" s="410"/>
      <c r="AS33" s="410"/>
      <c r="AV33" s="437">
        <v>2</v>
      </c>
      <c r="AW33" s="410"/>
      <c r="AX33" s="410"/>
      <c r="AY33" s="410"/>
      <c r="AZ33" s="414"/>
      <c r="BC33">
        <v>31</v>
      </c>
    </row>
    <row r="34" spans="1:55" ht="14.25" customHeight="1">
      <c r="A34" s="1038" t="s">
        <v>494</v>
      </c>
      <c r="B34" s="1039"/>
      <c r="C34" s="1039"/>
      <c r="D34" s="1039"/>
      <c r="E34" s="1039"/>
      <c r="F34" s="1039"/>
      <c r="G34" s="1039"/>
      <c r="H34" s="1039"/>
      <c r="I34" s="1039"/>
      <c r="J34" s="1039"/>
      <c r="K34" s="1039"/>
      <c r="L34" s="1039"/>
      <c r="M34" s="1039"/>
      <c r="N34" s="1039"/>
      <c r="O34" s="1039"/>
      <c r="P34" s="1039"/>
      <c r="Q34" s="1039"/>
      <c r="R34" s="1039"/>
      <c r="S34" s="1039"/>
      <c r="T34" s="1039"/>
      <c r="U34" s="323"/>
      <c r="V34" s="411">
        <f>H38</f>
        <v>0</v>
      </c>
      <c r="W34" s="1039" t="s">
        <v>607</v>
      </c>
      <c r="X34" s="1039"/>
      <c r="Y34" s="1039"/>
      <c r="Z34" s="323"/>
      <c r="AA34" s="2174" t="s">
        <v>529</v>
      </c>
      <c r="AB34" s="1007"/>
      <c r="AC34" s="1007"/>
      <c r="AD34" s="1007"/>
      <c r="AE34" s="1007"/>
      <c r="AF34" s="1007"/>
      <c r="AG34" s="1007"/>
      <c r="AH34" s="1007"/>
      <c r="AI34" s="1007"/>
      <c r="AJ34" s="1007"/>
      <c r="AK34" s="1007"/>
      <c r="AL34" s="1007"/>
      <c r="AM34" s="1007"/>
      <c r="AN34" s="1007"/>
      <c r="AO34" s="1007"/>
      <c r="AP34" s="1007"/>
      <c r="AQ34" s="1007"/>
      <c r="AR34" s="1007"/>
      <c r="AS34" s="1007"/>
      <c r="AT34" s="1007"/>
      <c r="AV34" s="323">
        <v>1</v>
      </c>
      <c r="AW34" s="1039" t="s">
        <v>479</v>
      </c>
      <c r="AX34" s="1039"/>
      <c r="AY34" s="1039"/>
      <c r="AZ34" s="415"/>
    </row>
    <row r="35" spans="1:55" ht="14.25" customHeight="1">
      <c r="A35" s="2135" t="s">
        <v>200</v>
      </c>
      <c r="B35" s="2136"/>
      <c r="C35" s="2136"/>
      <c r="D35" s="2136"/>
      <c r="E35" s="2136"/>
      <c r="F35" s="2136"/>
      <c r="G35" s="2136"/>
      <c r="H35" s="2136"/>
      <c r="I35" s="2136"/>
      <c r="J35" s="2136"/>
      <c r="K35" s="2136"/>
      <c r="L35" s="2136"/>
      <c r="M35" s="2136"/>
      <c r="N35" s="2136"/>
      <c r="O35" s="2136"/>
      <c r="P35" s="2136"/>
      <c r="Q35" s="2136"/>
      <c r="R35" s="2136"/>
      <c r="S35" s="410"/>
      <c r="T35" s="410"/>
      <c r="U35" s="410"/>
      <c r="V35" s="411">
        <f>H40</f>
        <v>0</v>
      </c>
      <c r="W35" s="410"/>
      <c r="X35" s="410"/>
      <c r="Y35" s="410"/>
      <c r="Z35" s="410"/>
      <c r="AA35" s="2135" t="s">
        <v>200</v>
      </c>
      <c r="AB35" s="2136"/>
      <c r="AC35" s="2136"/>
      <c r="AD35" s="2136"/>
      <c r="AE35" s="2136"/>
      <c r="AF35" s="2136"/>
      <c r="AG35" s="2136"/>
      <c r="AH35" s="2136"/>
      <c r="AI35" s="2136"/>
      <c r="AJ35" s="2136"/>
      <c r="AK35" s="2136"/>
      <c r="AL35" s="2136"/>
      <c r="AM35" s="2136"/>
      <c r="AN35" s="2136"/>
      <c r="AO35" s="410"/>
      <c r="AP35" s="410"/>
      <c r="AQ35" s="410"/>
      <c r="AR35" s="410"/>
      <c r="AS35" s="410"/>
      <c r="AV35" s="437">
        <v>4</v>
      </c>
      <c r="AW35" s="410"/>
      <c r="AX35" s="410"/>
      <c r="AY35" s="410"/>
      <c r="AZ35" s="414"/>
    </row>
    <row r="36" spans="1:55" ht="14.25" customHeight="1">
      <c r="A36" s="418"/>
      <c r="B36" s="580"/>
      <c r="C36" s="580"/>
      <c r="D36" s="580"/>
      <c r="E36" s="580"/>
      <c r="F36" s="580"/>
      <c r="G36" s="580"/>
      <c r="H36" s="580"/>
      <c r="I36" s="580"/>
      <c r="J36" s="580"/>
      <c r="K36" s="580"/>
      <c r="L36" s="323"/>
      <c r="M36" s="1039" t="s">
        <v>201</v>
      </c>
      <c r="N36" s="1039"/>
      <c r="O36" s="1039"/>
      <c r="P36" s="1039"/>
      <c r="Q36" s="1039"/>
      <c r="R36" s="323"/>
      <c r="S36" s="323"/>
      <c r="T36" s="323"/>
      <c r="U36" s="323"/>
      <c r="V36" s="411">
        <f>H41</f>
        <v>0</v>
      </c>
      <c r="W36" s="323"/>
      <c r="X36" s="323"/>
      <c r="Y36" s="323"/>
      <c r="Z36" s="323"/>
      <c r="AA36" s="409"/>
      <c r="AB36" s="323"/>
      <c r="AC36" s="323"/>
      <c r="AD36" s="323"/>
      <c r="AE36" s="323"/>
      <c r="AF36" s="323"/>
      <c r="AG36" s="323"/>
      <c r="AH36" s="323"/>
      <c r="AI36" s="323"/>
      <c r="AJ36" s="323"/>
      <c r="AK36" s="323"/>
      <c r="AL36" s="323"/>
      <c r="AM36" s="1039" t="s">
        <v>201</v>
      </c>
      <c r="AN36" s="1039"/>
      <c r="AO36" s="1039"/>
      <c r="AP36" s="1039"/>
      <c r="AQ36" s="1039"/>
      <c r="AR36" s="323"/>
      <c r="AS36" s="323"/>
      <c r="AT36" s="323"/>
      <c r="AU36" s="323"/>
      <c r="AV36" s="323">
        <f>AH41</f>
        <v>0</v>
      </c>
      <c r="AW36" s="323"/>
      <c r="AX36" s="323"/>
      <c r="AY36" s="323"/>
      <c r="AZ36" s="415"/>
    </row>
    <row r="37" spans="1:55" ht="14.25" customHeight="1">
      <c r="A37" s="418"/>
      <c r="B37" s="581"/>
      <c r="C37" s="581"/>
      <c r="D37" s="581"/>
      <c r="E37" s="581"/>
      <c r="F37" s="581"/>
      <c r="G37" s="581"/>
      <c r="H37" s="581"/>
      <c r="I37" s="581"/>
      <c r="J37" s="581"/>
      <c r="K37" s="580"/>
      <c r="L37" s="323"/>
      <c r="M37" s="1039"/>
      <c r="N37" s="1039"/>
      <c r="O37" s="1039"/>
      <c r="P37" s="1039"/>
      <c r="Q37" s="1039"/>
      <c r="R37" s="2170">
        <f>R40*W40+R42*W42+R44*W44+R46*W46+R48*W48+R50*W50+W52*R52</f>
        <v>0</v>
      </c>
      <c r="S37" s="2170"/>
      <c r="T37" s="2170"/>
      <c r="U37" s="2170"/>
      <c r="V37" s="2170"/>
      <c r="W37" s="2170"/>
      <c r="X37" s="2170"/>
      <c r="Y37" s="323"/>
      <c r="Z37" s="323"/>
      <c r="AA37" s="409"/>
      <c r="AB37" s="323"/>
      <c r="AC37" s="323"/>
      <c r="AD37" s="323"/>
      <c r="AE37" s="323"/>
      <c r="AF37" s="323"/>
      <c r="AG37" s="323"/>
      <c r="AH37" s="323"/>
      <c r="AI37" s="323"/>
      <c r="AJ37" s="323"/>
      <c r="AK37" s="323"/>
      <c r="AL37" s="323"/>
      <c r="AM37" s="1039"/>
      <c r="AN37" s="1039"/>
      <c r="AO37" s="1039"/>
      <c r="AP37" s="1039"/>
      <c r="AQ37" s="1039"/>
      <c r="AR37" s="2172">
        <f>AR40*AW40+AR42*AW42+AR44*AW44+AR46*AW46+AR48*AW48+AR50*AW50</f>
        <v>3630</v>
      </c>
      <c r="AS37" s="2172"/>
      <c r="AT37" s="2172"/>
      <c r="AU37" s="2172"/>
      <c r="AV37" s="2172"/>
      <c r="AW37" s="2172"/>
      <c r="AX37" s="2172"/>
      <c r="AY37" s="323"/>
      <c r="AZ37" s="415"/>
    </row>
    <row r="38" spans="1:55" ht="14.25" customHeight="1" thickBot="1">
      <c r="A38" s="418"/>
      <c r="B38" s="581"/>
      <c r="C38" s="581" t="s">
        <v>595</v>
      </c>
      <c r="D38" s="581">
        <f>IF(OR(H22="",H22=0),0,1)</f>
        <v>0</v>
      </c>
      <c r="E38" s="581"/>
      <c r="F38" s="581"/>
      <c r="G38" s="581">
        <v>1</v>
      </c>
      <c r="H38" s="581">
        <f t="shared" ref="H38:H43" si="0">LARGE($D$38:$D$45,ROW(A1))</f>
        <v>0</v>
      </c>
      <c r="I38" s="581"/>
      <c r="J38" s="581"/>
      <c r="K38" s="580"/>
      <c r="L38" s="323"/>
      <c r="M38" s="323"/>
      <c r="N38" s="323"/>
      <c r="O38" s="323"/>
      <c r="P38" s="323"/>
      <c r="Q38" s="323"/>
      <c r="R38" s="2171"/>
      <c r="S38" s="2171"/>
      <c r="T38" s="2171"/>
      <c r="U38" s="2171"/>
      <c r="V38" s="2171"/>
      <c r="W38" s="2171"/>
      <c r="X38" s="2171"/>
      <c r="Y38" s="419" t="s">
        <v>202</v>
      </c>
      <c r="Z38" s="323"/>
      <c r="AA38" s="409"/>
      <c r="AB38" s="323"/>
      <c r="AC38" s="323"/>
      <c r="AD38" s="323"/>
      <c r="AE38" s="323"/>
      <c r="AF38" s="323"/>
      <c r="AG38" s="323"/>
      <c r="AH38" s="323"/>
      <c r="AI38" s="323"/>
      <c r="AJ38" s="323"/>
      <c r="AK38" s="323"/>
      <c r="AL38" s="323"/>
      <c r="AM38" s="323"/>
      <c r="AN38" s="323"/>
      <c r="AO38" s="323"/>
      <c r="AP38" s="323"/>
      <c r="AQ38" s="323"/>
      <c r="AR38" s="2173"/>
      <c r="AS38" s="2173"/>
      <c r="AT38" s="2173"/>
      <c r="AU38" s="2173"/>
      <c r="AV38" s="2173"/>
      <c r="AW38" s="2173"/>
      <c r="AX38" s="2173"/>
      <c r="AY38" s="419" t="s">
        <v>202</v>
      </c>
      <c r="AZ38" s="415"/>
    </row>
    <row r="39" spans="1:55" ht="14.25" customHeight="1">
      <c r="A39" s="418"/>
      <c r="B39" s="581"/>
      <c r="C39" s="581" t="s">
        <v>596</v>
      </c>
      <c r="D39" s="581">
        <f>IF(OR(H23="",H23=0),0,2)</f>
        <v>0</v>
      </c>
      <c r="E39" s="581"/>
      <c r="F39" s="581"/>
      <c r="G39" s="581">
        <v>2</v>
      </c>
      <c r="H39" s="581">
        <f t="shared" si="0"/>
        <v>0</v>
      </c>
      <c r="I39" s="581"/>
      <c r="J39" s="581"/>
      <c r="K39" s="580"/>
      <c r="L39" s="323"/>
      <c r="M39" s="323"/>
      <c r="N39" s="1007" t="s">
        <v>203</v>
      </c>
      <c r="O39" s="1007"/>
      <c r="P39" s="1007"/>
      <c r="Q39" s="1007"/>
      <c r="R39" s="1007"/>
      <c r="S39" s="1007"/>
      <c r="T39" s="1007"/>
      <c r="U39" s="1007"/>
      <c r="V39" s="1007"/>
      <c r="W39" s="1007"/>
      <c r="X39" s="1007"/>
      <c r="Y39" s="1007"/>
      <c r="Z39" s="323"/>
      <c r="AA39" s="409"/>
      <c r="AB39" s="323"/>
      <c r="AC39" s="323"/>
      <c r="AD39" s="323"/>
      <c r="AE39" s="323"/>
      <c r="AF39" s="323"/>
      <c r="AG39" s="323"/>
      <c r="AH39" s="323"/>
      <c r="AI39" s="323"/>
      <c r="AJ39" s="323"/>
      <c r="AK39" s="323"/>
      <c r="AL39" s="323"/>
      <c r="AM39" s="323"/>
      <c r="AN39" s="1007" t="s">
        <v>203</v>
      </c>
      <c r="AO39" s="1007"/>
      <c r="AP39" s="1007"/>
      <c r="AQ39" s="1007"/>
      <c r="AR39" s="1007"/>
      <c r="AS39" s="1007"/>
      <c r="AT39" s="1007"/>
      <c r="AU39" s="1007"/>
      <c r="AV39" s="1007"/>
      <c r="AW39" s="1007"/>
      <c r="AX39" s="1007"/>
      <c r="AY39" s="1007"/>
      <c r="AZ39" s="415"/>
    </row>
    <row r="40" spans="1:55" ht="14.25" customHeight="1">
      <c r="A40" s="418"/>
      <c r="B40" s="581"/>
      <c r="C40" s="581" t="s">
        <v>608</v>
      </c>
      <c r="D40" s="581">
        <f>IF(OR(H24="",H24=0),0,3)</f>
        <v>0</v>
      </c>
      <c r="E40" s="581"/>
      <c r="F40" s="581"/>
      <c r="G40" s="581">
        <v>3</v>
      </c>
      <c r="H40" s="581">
        <f t="shared" si="0"/>
        <v>0</v>
      </c>
      <c r="I40" s="581"/>
      <c r="J40" s="581"/>
      <c r="K40" s="345"/>
      <c r="L40" s="2122"/>
      <c r="M40" s="2122"/>
      <c r="N40" s="2122"/>
      <c r="O40" s="2122"/>
      <c r="P40" s="2122"/>
      <c r="Q40" s="420"/>
      <c r="R40" s="2178"/>
      <c r="S40" s="2178"/>
      <c r="T40" s="2178"/>
      <c r="U40" s="323"/>
      <c r="V40" s="323"/>
      <c r="W40" s="2175"/>
      <c r="X40" s="2175"/>
      <c r="Y40" s="323"/>
      <c r="Z40" s="323"/>
      <c r="AA40" s="409"/>
      <c r="AB40" s="323"/>
      <c r="AC40" s="323"/>
      <c r="AD40" s="323"/>
      <c r="AE40" s="323"/>
      <c r="AF40" s="323"/>
      <c r="AG40" s="323"/>
      <c r="AH40" s="323"/>
      <c r="AI40" s="323"/>
      <c r="AJ40" s="323"/>
      <c r="AK40" s="323"/>
      <c r="AL40" s="2181" t="s">
        <v>491</v>
      </c>
      <c r="AM40" s="2181"/>
      <c r="AN40" s="2181"/>
      <c r="AO40" s="2181"/>
      <c r="AP40" s="2181"/>
      <c r="AQ40" s="420"/>
      <c r="AR40" s="2182">
        <v>330</v>
      </c>
      <c r="AS40" s="2182"/>
      <c r="AT40" s="2182"/>
      <c r="AU40" s="323"/>
      <c r="AV40" s="323"/>
      <c r="AW40" s="2182">
        <v>9</v>
      </c>
      <c r="AX40" s="2182"/>
      <c r="AY40" s="323"/>
      <c r="AZ40" s="415"/>
    </row>
    <row r="41" spans="1:55" ht="14.25" customHeight="1">
      <c r="A41" s="418"/>
      <c r="B41" s="581"/>
      <c r="C41" s="581" t="s">
        <v>332</v>
      </c>
      <c r="D41" s="581">
        <f>IF(OR(H25="",H25=0),0,4)</f>
        <v>0</v>
      </c>
      <c r="E41" s="581"/>
      <c r="F41" s="581"/>
      <c r="G41" s="581">
        <v>4</v>
      </c>
      <c r="H41" s="581">
        <f t="shared" si="0"/>
        <v>0</v>
      </c>
      <c r="I41" s="581"/>
      <c r="J41" s="581"/>
      <c r="K41" s="345"/>
      <c r="L41" s="2122"/>
      <c r="M41" s="2122"/>
      <c r="N41" s="2122"/>
      <c r="O41" s="2122"/>
      <c r="P41" s="2122"/>
      <c r="Q41" s="335" t="s">
        <v>204</v>
      </c>
      <c r="R41" s="2179"/>
      <c r="S41" s="2179"/>
      <c r="T41" s="2179"/>
      <c r="U41" s="335" t="s">
        <v>202</v>
      </c>
      <c r="V41" s="335" t="s">
        <v>100</v>
      </c>
      <c r="W41" s="2176"/>
      <c r="X41" s="2176"/>
      <c r="Y41" s="335" t="s">
        <v>27</v>
      </c>
      <c r="Z41" s="323"/>
      <c r="AA41" s="409"/>
      <c r="AB41" s="323"/>
      <c r="AC41" s="323"/>
      <c r="AD41" s="323"/>
      <c r="AE41" s="323"/>
      <c r="AF41" s="323"/>
      <c r="AG41" s="323"/>
      <c r="AH41" s="323"/>
      <c r="AI41" s="323"/>
      <c r="AJ41" s="323"/>
      <c r="AK41" s="323"/>
      <c r="AL41" s="2181"/>
      <c r="AM41" s="2181"/>
      <c r="AN41" s="2181"/>
      <c r="AO41" s="2181"/>
      <c r="AP41" s="2181"/>
      <c r="AQ41" s="335" t="s">
        <v>204</v>
      </c>
      <c r="AR41" s="2183"/>
      <c r="AS41" s="2183"/>
      <c r="AT41" s="2183"/>
      <c r="AU41" s="335" t="s">
        <v>202</v>
      </c>
      <c r="AV41" s="335" t="s">
        <v>100</v>
      </c>
      <c r="AW41" s="2183"/>
      <c r="AX41" s="2183"/>
      <c r="AY41" s="335" t="s">
        <v>27</v>
      </c>
      <c r="AZ41" s="415"/>
    </row>
    <row r="42" spans="1:55" ht="14.25" customHeight="1">
      <c r="A42" s="418"/>
      <c r="B42" s="581"/>
      <c r="C42" s="581" t="s">
        <v>333</v>
      </c>
      <c r="D42" s="581">
        <f>IF(OR(H26="",H26=0),0,5)</f>
        <v>0</v>
      </c>
      <c r="E42" s="581"/>
      <c r="F42" s="581"/>
      <c r="G42" s="581">
        <v>5</v>
      </c>
      <c r="H42" s="581">
        <f t="shared" si="0"/>
        <v>0</v>
      </c>
      <c r="I42" s="581"/>
      <c r="J42" s="581"/>
      <c r="K42" s="345"/>
      <c r="L42" s="2122"/>
      <c r="M42" s="2122"/>
      <c r="N42" s="2122"/>
      <c r="O42" s="2122"/>
      <c r="P42" s="2122"/>
      <c r="Q42" s="421"/>
      <c r="R42" s="2180"/>
      <c r="S42" s="2180"/>
      <c r="T42" s="2180"/>
      <c r="U42" s="421"/>
      <c r="V42" s="421"/>
      <c r="W42" s="2177"/>
      <c r="X42" s="2177"/>
      <c r="Y42" s="421"/>
      <c r="Z42" s="323"/>
      <c r="AA42" s="409"/>
      <c r="AB42" s="323"/>
      <c r="AC42" s="323"/>
      <c r="AD42" s="323"/>
      <c r="AE42" s="323"/>
      <c r="AF42" s="323"/>
      <c r="AG42" s="323"/>
      <c r="AH42" s="323"/>
      <c r="AI42" s="323"/>
      <c r="AJ42" s="323"/>
      <c r="AK42" s="323"/>
      <c r="AL42" s="2181" t="s">
        <v>492</v>
      </c>
      <c r="AM42" s="2181"/>
      <c r="AN42" s="2181"/>
      <c r="AO42" s="2181"/>
      <c r="AP42" s="2181"/>
      <c r="AQ42" s="421"/>
      <c r="AR42" s="2184">
        <v>330</v>
      </c>
      <c r="AS42" s="2184"/>
      <c r="AT42" s="2184"/>
      <c r="AU42" s="421"/>
      <c r="AV42" s="421"/>
      <c r="AW42" s="2184">
        <v>1</v>
      </c>
      <c r="AX42" s="2184"/>
      <c r="AY42" s="421"/>
      <c r="AZ42" s="415"/>
    </row>
    <row r="43" spans="1:55" ht="14.25" customHeight="1">
      <c r="A43" s="418"/>
      <c r="B43" s="581"/>
      <c r="C43" s="581" t="s">
        <v>549</v>
      </c>
      <c r="D43" s="581">
        <f>IF(OR(H27="",H27=0),0,6)</f>
        <v>0</v>
      </c>
      <c r="E43" s="198"/>
      <c r="F43" s="198"/>
      <c r="G43" s="581">
        <v>6</v>
      </c>
      <c r="H43" s="581">
        <f t="shared" si="0"/>
        <v>0</v>
      </c>
      <c r="I43" s="581"/>
      <c r="J43" s="581"/>
      <c r="K43" s="345"/>
      <c r="L43" s="2122"/>
      <c r="M43" s="2122"/>
      <c r="N43" s="2122"/>
      <c r="O43" s="2122"/>
      <c r="P43" s="2122"/>
      <c r="Q43" s="335" t="s">
        <v>204</v>
      </c>
      <c r="R43" s="2179"/>
      <c r="S43" s="2179"/>
      <c r="T43" s="2179"/>
      <c r="U43" s="335" t="s">
        <v>202</v>
      </c>
      <c r="V43" s="335" t="s">
        <v>100</v>
      </c>
      <c r="W43" s="2176"/>
      <c r="X43" s="2176"/>
      <c r="Y43" s="335" t="s">
        <v>27</v>
      </c>
      <c r="Z43" s="323"/>
      <c r="AA43" s="409"/>
      <c r="AB43" s="323"/>
      <c r="AC43" s="323"/>
      <c r="AD43" s="323"/>
      <c r="AE43" s="323"/>
      <c r="AF43" s="323"/>
      <c r="AG43" s="323"/>
      <c r="AH43" s="323"/>
      <c r="AI43" s="323"/>
      <c r="AJ43" s="323"/>
      <c r="AK43" s="323"/>
      <c r="AL43" s="2181"/>
      <c r="AM43" s="2181"/>
      <c r="AN43" s="2181"/>
      <c r="AO43" s="2181"/>
      <c r="AP43" s="2181"/>
      <c r="AQ43" s="335" t="s">
        <v>204</v>
      </c>
      <c r="AR43" s="2183"/>
      <c r="AS43" s="2183"/>
      <c r="AT43" s="2183"/>
      <c r="AU43" s="335" t="s">
        <v>202</v>
      </c>
      <c r="AV43" s="335" t="s">
        <v>100</v>
      </c>
      <c r="AW43" s="2183"/>
      <c r="AX43" s="2183"/>
      <c r="AY43" s="335" t="s">
        <v>27</v>
      </c>
      <c r="AZ43" s="415"/>
    </row>
    <row r="44" spans="1:55" ht="14.25" customHeight="1">
      <c r="A44" s="418"/>
      <c r="B44" s="581"/>
      <c r="C44" s="581" t="s">
        <v>609</v>
      </c>
      <c r="D44" s="581">
        <f>IF(OR(H28="",H28=0),0,7)</f>
        <v>0</v>
      </c>
      <c r="E44" s="581"/>
      <c r="F44" s="581"/>
      <c r="G44" s="581">
        <v>7</v>
      </c>
      <c r="H44" s="581"/>
      <c r="I44" s="581"/>
      <c r="J44" s="581"/>
      <c r="K44" s="345"/>
      <c r="L44" s="2122"/>
      <c r="M44" s="2122"/>
      <c r="N44" s="2122"/>
      <c r="O44" s="2122"/>
      <c r="P44" s="2122"/>
      <c r="Q44" s="421"/>
      <c r="R44" s="2180"/>
      <c r="S44" s="2180"/>
      <c r="T44" s="2180"/>
      <c r="U44" s="421"/>
      <c r="V44" s="421"/>
      <c r="W44" s="2177"/>
      <c r="X44" s="2177"/>
      <c r="Y44" s="421"/>
      <c r="Z44" s="323"/>
      <c r="AA44" s="409"/>
      <c r="AB44" s="323"/>
      <c r="AC44" s="323"/>
      <c r="AD44" s="323"/>
      <c r="AE44" s="323"/>
      <c r="AF44" s="323"/>
      <c r="AG44" s="323"/>
      <c r="AH44" s="323"/>
      <c r="AI44" s="323"/>
      <c r="AJ44" s="323"/>
      <c r="AK44" s="323"/>
      <c r="AL44" s="2181" t="s">
        <v>493</v>
      </c>
      <c r="AM44" s="2181"/>
      <c r="AN44" s="2181"/>
      <c r="AO44" s="2181"/>
      <c r="AP44" s="2181"/>
      <c r="AQ44" s="421"/>
      <c r="AR44" s="2184">
        <v>330</v>
      </c>
      <c r="AS44" s="2184"/>
      <c r="AT44" s="2184"/>
      <c r="AU44" s="421"/>
      <c r="AV44" s="421"/>
      <c r="AW44" s="2184">
        <v>1</v>
      </c>
      <c r="AX44" s="2184"/>
      <c r="AY44" s="421"/>
      <c r="AZ44" s="415"/>
    </row>
    <row r="45" spans="1:55" ht="14.25" customHeight="1">
      <c r="A45" s="418"/>
      <c r="B45" s="581"/>
      <c r="C45" s="581" t="s">
        <v>597</v>
      </c>
      <c r="D45" s="581">
        <f>IF(OR(H29="",H29=0),0,8)</f>
        <v>0</v>
      </c>
      <c r="E45" s="581"/>
      <c r="F45" s="581"/>
      <c r="G45" s="581">
        <v>8</v>
      </c>
      <c r="H45" s="581"/>
      <c r="I45" s="581"/>
      <c r="J45" s="581"/>
      <c r="K45" s="345"/>
      <c r="L45" s="2122"/>
      <c r="M45" s="2122"/>
      <c r="N45" s="2122"/>
      <c r="O45" s="2122"/>
      <c r="P45" s="2122"/>
      <c r="Q45" s="335" t="s">
        <v>204</v>
      </c>
      <c r="R45" s="2179"/>
      <c r="S45" s="2179"/>
      <c r="T45" s="2179"/>
      <c r="U45" s="335" t="s">
        <v>202</v>
      </c>
      <c r="V45" s="335" t="s">
        <v>100</v>
      </c>
      <c r="W45" s="2176"/>
      <c r="X45" s="2176"/>
      <c r="Y45" s="335" t="s">
        <v>27</v>
      </c>
      <c r="Z45" s="323"/>
      <c r="AA45" s="409"/>
      <c r="AB45" s="323"/>
      <c r="AC45" s="323"/>
      <c r="AD45" s="323"/>
      <c r="AE45" s="323"/>
      <c r="AF45" s="323"/>
      <c r="AG45" s="323"/>
      <c r="AH45" s="323"/>
      <c r="AI45" s="323"/>
      <c r="AJ45" s="323"/>
      <c r="AK45" s="323"/>
      <c r="AL45" s="2181"/>
      <c r="AM45" s="2181"/>
      <c r="AN45" s="2181"/>
      <c r="AO45" s="2181"/>
      <c r="AP45" s="2181"/>
      <c r="AQ45" s="335" t="s">
        <v>204</v>
      </c>
      <c r="AR45" s="2183"/>
      <c r="AS45" s="2183"/>
      <c r="AT45" s="2183"/>
      <c r="AU45" s="335" t="s">
        <v>202</v>
      </c>
      <c r="AV45" s="335" t="s">
        <v>100</v>
      </c>
      <c r="AW45" s="2183"/>
      <c r="AX45" s="2183"/>
      <c r="AY45" s="335" t="s">
        <v>27</v>
      </c>
      <c r="AZ45" s="415"/>
    </row>
    <row r="46" spans="1:55" ht="14.25" customHeight="1">
      <c r="A46" s="418"/>
      <c r="B46" s="331"/>
      <c r="C46" s="331"/>
      <c r="D46" s="331"/>
      <c r="E46" s="331"/>
      <c r="F46" s="331"/>
      <c r="G46" s="331"/>
      <c r="H46" s="331"/>
      <c r="I46" s="331"/>
      <c r="J46" s="331"/>
      <c r="K46" s="345"/>
      <c r="L46" s="2122"/>
      <c r="M46" s="2122"/>
      <c r="N46" s="2122"/>
      <c r="O46" s="2122"/>
      <c r="P46" s="2122"/>
      <c r="Q46" s="421"/>
      <c r="R46" s="2180"/>
      <c r="S46" s="2180"/>
      <c r="T46" s="2180"/>
      <c r="U46" s="421"/>
      <c r="V46" s="421"/>
      <c r="W46" s="2177"/>
      <c r="X46" s="2177"/>
      <c r="Y46" s="421"/>
      <c r="Z46" s="323"/>
      <c r="AA46" s="409"/>
      <c r="AB46" s="297"/>
      <c r="AC46" s="297"/>
      <c r="AD46" s="297"/>
      <c r="AE46" s="297"/>
      <c r="AF46" s="297"/>
      <c r="AG46" s="297"/>
      <c r="AH46" s="297"/>
      <c r="AI46" s="297"/>
      <c r="AJ46" s="297"/>
      <c r="AK46" s="323"/>
      <c r="AL46" s="2181">
        <f>IF(OR(AW46="",AW46=0),0,'04 利用者名簿'!DN6)</f>
        <v>0</v>
      </c>
      <c r="AM46" s="2181"/>
      <c r="AN46" s="2181"/>
      <c r="AO46" s="2181"/>
      <c r="AP46" s="2181"/>
      <c r="AQ46" s="421"/>
      <c r="AR46" s="2184">
        <f>IF(OR(AW46="",AW46=0),0,'04 利用者名簿'!DQ6)</f>
        <v>0</v>
      </c>
      <c r="AS46" s="2184"/>
      <c r="AT46" s="2184"/>
      <c r="AU46" s="421"/>
      <c r="AV46" s="421"/>
      <c r="AW46" s="2184">
        <f>'04 利用者名簿'!DO6</f>
        <v>0</v>
      </c>
      <c r="AX46" s="2184"/>
      <c r="AY46" s="421"/>
      <c r="AZ46" s="415"/>
    </row>
    <row r="47" spans="1:55" ht="14.25" customHeight="1">
      <c r="A47" s="418"/>
      <c r="B47" s="345"/>
      <c r="C47" s="345"/>
      <c r="D47" s="345"/>
      <c r="E47" s="345"/>
      <c r="F47" s="345"/>
      <c r="G47" s="345"/>
      <c r="H47" s="345"/>
      <c r="I47" s="345"/>
      <c r="J47" s="582"/>
      <c r="K47" s="345"/>
      <c r="L47" s="2122"/>
      <c r="M47" s="2122"/>
      <c r="N47" s="2122"/>
      <c r="O47" s="2122"/>
      <c r="P47" s="2122"/>
      <c r="Q47" s="335" t="s">
        <v>204</v>
      </c>
      <c r="R47" s="2179"/>
      <c r="S47" s="2179"/>
      <c r="T47" s="2179"/>
      <c r="U47" s="335" t="s">
        <v>202</v>
      </c>
      <c r="V47" s="335" t="s">
        <v>100</v>
      </c>
      <c r="W47" s="2176"/>
      <c r="X47" s="2176"/>
      <c r="Y47" s="335" t="s">
        <v>27</v>
      </c>
      <c r="Z47" s="323"/>
      <c r="AA47" s="409"/>
      <c r="AB47" s="297"/>
      <c r="AC47" s="297"/>
      <c r="AD47" s="297"/>
      <c r="AE47" s="297"/>
      <c r="AF47" s="297"/>
      <c r="AG47" s="297"/>
      <c r="AH47" s="297"/>
      <c r="AI47" s="297"/>
      <c r="AJ47" s="297"/>
      <c r="AK47" s="323"/>
      <c r="AL47" s="2181"/>
      <c r="AM47" s="2181"/>
      <c r="AN47" s="2181"/>
      <c r="AO47" s="2181"/>
      <c r="AP47" s="2181"/>
      <c r="AQ47" s="335" t="s">
        <v>204</v>
      </c>
      <c r="AR47" s="2183"/>
      <c r="AS47" s="2183"/>
      <c r="AT47" s="2183"/>
      <c r="AU47" s="335" t="s">
        <v>202</v>
      </c>
      <c r="AV47" s="335" t="s">
        <v>100</v>
      </c>
      <c r="AW47" s="2183"/>
      <c r="AX47" s="2183"/>
      <c r="AY47" s="335" t="s">
        <v>27</v>
      </c>
      <c r="AZ47" s="415"/>
    </row>
    <row r="48" spans="1:55" ht="14.25" customHeight="1">
      <c r="A48" s="409"/>
      <c r="B48" s="2185" t="s">
        <v>320</v>
      </c>
      <c r="C48" s="2185"/>
      <c r="D48" s="2185"/>
      <c r="E48" s="2185" t="s">
        <v>205</v>
      </c>
      <c r="F48" s="2185"/>
      <c r="G48" s="2185"/>
      <c r="H48" s="2185" t="s">
        <v>6</v>
      </c>
      <c r="I48" s="2185"/>
      <c r="J48" s="2185"/>
      <c r="K48" s="422"/>
      <c r="L48" s="2122"/>
      <c r="M48" s="2122"/>
      <c r="N48" s="2122"/>
      <c r="O48" s="2122"/>
      <c r="P48" s="2122"/>
      <c r="Q48" s="421"/>
      <c r="R48" s="2180"/>
      <c r="S48" s="2180"/>
      <c r="T48" s="2180"/>
      <c r="U48" s="421"/>
      <c r="V48" s="421"/>
      <c r="W48" s="2177"/>
      <c r="X48" s="2177"/>
      <c r="Y48" s="421"/>
      <c r="Z48" s="323"/>
      <c r="AA48" s="409"/>
      <c r="AB48" s="2185" t="s">
        <v>320</v>
      </c>
      <c r="AC48" s="2185"/>
      <c r="AD48" s="2185"/>
      <c r="AE48" s="2185" t="s">
        <v>205</v>
      </c>
      <c r="AF48" s="2185"/>
      <c r="AG48" s="2185"/>
      <c r="AH48" s="2185" t="s">
        <v>6</v>
      </c>
      <c r="AI48" s="2185"/>
      <c r="AJ48" s="2185"/>
      <c r="AK48" s="323"/>
      <c r="AL48" s="2181">
        <f>IF(OR(AW48="",AW48=0),0,'04 利用者名簿'!DN7)</f>
        <v>0</v>
      </c>
      <c r="AM48" s="2181"/>
      <c r="AN48" s="2181"/>
      <c r="AO48" s="2181"/>
      <c r="AP48" s="2181"/>
      <c r="AQ48" s="421"/>
      <c r="AR48" s="2184">
        <f>IF(OR(AW48="",AW48=0),0,'04 利用者名簿'!DQ7)</f>
        <v>0</v>
      </c>
      <c r="AS48" s="2184"/>
      <c r="AT48" s="2184"/>
      <c r="AU48" s="421"/>
      <c r="AV48" s="421"/>
      <c r="AW48" s="2184">
        <f>'04 利用者名簿'!DO7</f>
        <v>0</v>
      </c>
      <c r="AX48" s="2184"/>
      <c r="AY48" s="421"/>
      <c r="AZ48" s="415"/>
    </row>
    <row r="49" spans="1:52" ht="14.25" customHeight="1">
      <c r="A49" s="409"/>
      <c r="B49" s="2185"/>
      <c r="C49" s="2185"/>
      <c r="D49" s="2185"/>
      <c r="E49" s="2185"/>
      <c r="F49" s="2185"/>
      <c r="G49" s="2185"/>
      <c r="H49" s="2185"/>
      <c r="I49" s="2185"/>
      <c r="J49" s="2185"/>
      <c r="K49" s="422"/>
      <c r="L49" s="2122"/>
      <c r="M49" s="2122"/>
      <c r="N49" s="2122"/>
      <c r="O49" s="2122"/>
      <c r="P49" s="2122"/>
      <c r="Q49" s="335" t="s">
        <v>204</v>
      </c>
      <c r="R49" s="2179"/>
      <c r="S49" s="2179"/>
      <c r="T49" s="2179"/>
      <c r="U49" s="335" t="s">
        <v>202</v>
      </c>
      <c r="V49" s="335" t="s">
        <v>100</v>
      </c>
      <c r="W49" s="2176"/>
      <c r="X49" s="2176"/>
      <c r="Y49" s="335" t="s">
        <v>27</v>
      </c>
      <c r="Z49" s="323"/>
      <c r="AA49" s="409"/>
      <c r="AB49" s="2185"/>
      <c r="AC49" s="2185"/>
      <c r="AD49" s="2185"/>
      <c r="AE49" s="2185"/>
      <c r="AF49" s="2185"/>
      <c r="AG49" s="2185"/>
      <c r="AH49" s="2185"/>
      <c r="AI49" s="2185"/>
      <c r="AJ49" s="2185"/>
      <c r="AK49" s="323"/>
      <c r="AL49" s="2181"/>
      <c r="AM49" s="2181"/>
      <c r="AN49" s="2181"/>
      <c r="AO49" s="2181"/>
      <c r="AP49" s="2181"/>
      <c r="AQ49" s="335" t="s">
        <v>204</v>
      </c>
      <c r="AR49" s="2183"/>
      <c r="AS49" s="2183"/>
      <c r="AT49" s="2183"/>
      <c r="AU49" s="335" t="s">
        <v>202</v>
      </c>
      <c r="AV49" s="335" t="s">
        <v>100</v>
      </c>
      <c r="AW49" s="2183"/>
      <c r="AX49" s="2183"/>
      <c r="AY49" s="335" t="s">
        <v>27</v>
      </c>
      <c r="AZ49" s="415"/>
    </row>
    <row r="50" spans="1:52" ht="14.25" customHeight="1">
      <c r="A50" s="409"/>
      <c r="B50" s="1111"/>
      <c r="C50" s="1036"/>
      <c r="D50" s="1037"/>
      <c r="E50" s="1111"/>
      <c r="F50" s="1036"/>
      <c r="G50" s="1037"/>
      <c r="H50" s="1111"/>
      <c r="I50" s="1036"/>
      <c r="J50" s="1037"/>
      <c r="K50" s="422"/>
      <c r="L50" s="2122"/>
      <c r="M50" s="2122"/>
      <c r="N50" s="2122"/>
      <c r="O50" s="2122"/>
      <c r="P50" s="2122"/>
      <c r="Q50" s="421"/>
      <c r="R50" s="2180"/>
      <c r="S50" s="2180"/>
      <c r="T50" s="2180"/>
      <c r="U50" s="421"/>
      <c r="V50" s="421"/>
      <c r="W50" s="2177"/>
      <c r="X50" s="2177"/>
      <c r="Y50" s="421"/>
      <c r="Z50" s="323"/>
      <c r="AA50" s="409"/>
      <c r="AB50" s="2185"/>
      <c r="AC50" s="2185"/>
      <c r="AD50" s="2185"/>
      <c r="AE50" s="2185"/>
      <c r="AF50" s="2185"/>
      <c r="AG50" s="2185"/>
      <c r="AH50" s="2185"/>
      <c r="AI50" s="2185"/>
      <c r="AJ50" s="2185"/>
      <c r="AK50" s="323"/>
      <c r="AL50" s="2181">
        <f>IF(OR(AW50="",AW50=0),0,'04 利用者名簿'!DN8)</f>
        <v>0</v>
      </c>
      <c r="AM50" s="2181"/>
      <c r="AN50" s="2181"/>
      <c r="AO50" s="2181"/>
      <c r="AP50" s="2181"/>
      <c r="AQ50" s="421"/>
      <c r="AR50" s="2184">
        <f>IF(OR(AW50="",AW50=0),0,'04 利用者名簿'!DQ8)</f>
        <v>0</v>
      </c>
      <c r="AS50" s="2184"/>
      <c r="AT50" s="2184"/>
      <c r="AU50" s="421"/>
      <c r="AV50" s="421"/>
      <c r="AW50" s="2184">
        <f>'04 利用者名簿'!DO8</f>
        <v>0</v>
      </c>
      <c r="AX50" s="2184"/>
      <c r="AY50" s="421"/>
      <c r="AZ50" s="415"/>
    </row>
    <row r="51" spans="1:52" ht="14.25" customHeight="1">
      <c r="A51" s="409"/>
      <c r="B51" s="1038"/>
      <c r="C51" s="1039"/>
      <c r="D51" s="2186"/>
      <c r="E51" s="1038"/>
      <c r="F51" s="1039"/>
      <c r="G51" s="2186"/>
      <c r="H51" s="1038"/>
      <c r="I51" s="1039"/>
      <c r="J51" s="2186"/>
      <c r="K51" s="422"/>
      <c r="L51" s="2122"/>
      <c r="M51" s="2122"/>
      <c r="N51" s="2122"/>
      <c r="O51" s="2122"/>
      <c r="P51" s="2122"/>
      <c r="Q51" s="335" t="s">
        <v>204</v>
      </c>
      <c r="R51" s="2179"/>
      <c r="S51" s="2179"/>
      <c r="T51" s="2179"/>
      <c r="U51" s="335" t="s">
        <v>202</v>
      </c>
      <c r="V51" s="335" t="s">
        <v>100</v>
      </c>
      <c r="W51" s="2176"/>
      <c r="X51" s="2176"/>
      <c r="Y51" s="335" t="s">
        <v>27</v>
      </c>
      <c r="Z51" s="323"/>
      <c r="AA51" s="409"/>
      <c r="AB51" s="2185"/>
      <c r="AC51" s="2185"/>
      <c r="AD51" s="2185"/>
      <c r="AE51" s="2185"/>
      <c r="AF51" s="2185"/>
      <c r="AG51" s="2185"/>
      <c r="AH51" s="2185"/>
      <c r="AI51" s="2185"/>
      <c r="AJ51" s="2185"/>
      <c r="AK51" s="323"/>
      <c r="AL51" s="2181"/>
      <c r="AM51" s="2181"/>
      <c r="AN51" s="2181"/>
      <c r="AO51" s="2181"/>
      <c r="AP51" s="2181"/>
      <c r="AQ51" s="335" t="s">
        <v>204</v>
      </c>
      <c r="AR51" s="2183"/>
      <c r="AS51" s="2183"/>
      <c r="AT51" s="2183"/>
      <c r="AU51" s="335" t="s">
        <v>202</v>
      </c>
      <c r="AV51" s="335" t="s">
        <v>100</v>
      </c>
      <c r="AW51" s="2183"/>
      <c r="AX51" s="2183"/>
      <c r="AY51" s="335" t="s">
        <v>27</v>
      </c>
      <c r="AZ51" s="415"/>
    </row>
    <row r="52" spans="1:52" ht="14.25" customHeight="1">
      <c r="A52" s="423"/>
      <c r="B52" s="1038"/>
      <c r="C52" s="1039"/>
      <c r="D52" s="2186"/>
      <c r="E52" s="1038"/>
      <c r="F52" s="1039"/>
      <c r="G52" s="2186"/>
      <c r="H52" s="1038"/>
      <c r="I52" s="1039"/>
      <c r="J52" s="2186"/>
      <c r="K52" s="410"/>
      <c r="L52" s="2122"/>
      <c r="M52" s="2122"/>
      <c r="N52" s="2122"/>
      <c r="O52" s="2122"/>
      <c r="P52" s="2122"/>
      <c r="Q52" s="421"/>
      <c r="R52" s="2180"/>
      <c r="S52" s="2180"/>
      <c r="T52" s="2180"/>
      <c r="U52" s="421"/>
      <c r="V52" s="421"/>
      <c r="W52" s="2177"/>
      <c r="X52" s="2177"/>
      <c r="Y52" s="421"/>
      <c r="Z52" s="410"/>
      <c r="AA52" s="409"/>
      <c r="AB52" s="2185"/>
      <c r="AC52" s="2185"/>
      <c r="AD52" s="2185"/>
      <c r="AE52" s="2185"/>
      <c r="AF52" s="2185"/>
      <c r="AG52" s="2185"/>
      <c r="AH52" s="2185"/>
      <c r="AI52" s="2185"/>
      <c r="AJ52" s="2185"/>
      <c r="AK52" s="410"/>
      <c r="AL52" s="2181">
        <f>IF(OR(AW52="",AW52=0),0,'04 利用者名簿'!DN9)</f>
        <v>0</v>
      </c>
      <c r="AM52" s="2181"/>
      <c r="AN52" s="2181"/>
      <c r="AO52" s="2181"/>
      <c r="AP52" s="2181"/>
      <c r="AQ52" s="421"/>
      <c r="AR52" s="2184">
        <f>IF(OR(AW52="",AW52=0),0,'04 利用者名簿'!DQ9)</f>
        <v>0</v>
      </c>
      <c r="AS52" s="2184"/>
      <c r="AT52" s="2184"/>
      <c r="AU52" s="421"/>
      <c r="AV52" s="421"/>
      <c r="AW52" s="2184">
        <f>'04 利用者名簿'!DO9</f>
        <v>0</v>
      </c>
      <c r="AX52" s="2184"/>
      <c r="AY52" s="421"/>
      <c r="AZ52" s="414"/>
    </row>
    <row r="53" spans="1:52" ht="14.25" customHeight="1">
      <c r="A53" s="409"/>
      <c r="B53" s="1040"/>
      <c r="C53" s="1041"/>
      <c r="D53" s="1112"/>
      <c r="E53" s="1040"/>
      <c r="F53" s="1041"/>
      <c r="G53" s="1112"/>
      <c r="H53" s="1040"/>
      <c r="I53" s="1041"/>
      <c r="J53" s="1112"/>
      <c r="K53" s="424"/>
      <c r="L53" s="2122"/>
      <c r="M53" s="2122"/>
      <c r="N53" s="2122"/>
      <c r="O53" s="2122"/>
      <c r="P53" s="2122"/>
      <c r="Q53" s="335" t="s">
        <v>204</v>
      </c>
      <c r="R53" s="2179"/>
      <c r="S53" s="2179"/>
      <c r="T53" s="2179"/>
      <c r="U53" s="335" t="s">
        <v>202</v>
      </c>
      <c r="V53" s="335" t="s">
        <v>100</v>
      </c>
      <c r="W53" s="2176"/>
      <c r="X53" s="2176"/>
      <c r="Y53" s="335" t="s">
        <v>27</v>
      </c>
      <c r="Z53" s="323"/>
      <c r="AA53" s="423"/>
      <c r="AB53" s="2185"/>
      <c r="AC53" s="2185"/>
      <c r="AD53" s="2185"/>
      <c r="AE53" s="2185"/>
      <c r="AF53" s="2185"/>
      <c r="AG53" s="2185"/>
      <c r="AH53" s="2185"/>
      <c r="AI53" s="2185"/>
      <c r="AJ53" s="2185"/>
      <c r="AK53" s="424"/>
      <c r="AL53" s="2181"/>
      <c r="AM53" s="2181"/>
      <c r="AN53" s="2181"/>
      <c r="AO53" s="2181"/>
      <c r="AP53" s="2181"/>
      <c r="AQ53" s="335" t="s">
        <v>204</v>
      </c>
      <c r="AR53" s="2183"/>
      <c r="AS53" s="2183"/>
      <c r="AT53" s="2183"/>
      <c r="AU53" s="335" t="s">
        <v>202</v>
      </c>
      <c r="AV53" s="335" t="s">
        <v>100</v>
      </c>
      <c r="AW53" s="2183"/>
      <c r="AX53" s="2183"/>
      <c r="AY53" s="335" t="s">
        <v>27</v>
      </c>
      <c r="AZ53" s="415"/>
    </row>
    <row r="54" spans="1:52" ht="14.25" customHeight="1">
      <c r="A54" s="425"/>
      <c r="B54" s="324"/>
      <c r="C54" s="324"/>
      <c r="D54" s="324"/>
      <c r="E54" s="324"/>
      <c r="F54" s="324"/>
      <c r="G54" s="324"/>
      <c r="H54" s="324"/>
      <c r="I54" s="324"/>
      <c r="J54" s="324"/>
      <c r="K54" s="324"/>
      <c r="L54" s="324"/>
      <c r="M54" s="324"/>
      <c r="N54" s="324"/>
      <c r="O54" s="324"/>
      <c r="P54" s="324"/>
      <c r="Q54" s="324"/>
      <c r="R54" s="324"/>
      <c r="S54" s="324"/>
      <c r="T54" s="324"/>
      <c r="U54" s="324"/>
      <c r="V54" s="324"/>
      <c r="W54" s="324"/>
      <c r="X54" s="324"/>
      <c r="Y54" s="324"/>
      <c r="Z54" s="324"/>
      <c r="AA54" s="425"/>
      <c r="AB54" s="324"/>
      <c r="AC54" s="324"/>
      <c r="AD54" s="324"/>
      <c r="AE54" s="324"/>
      <c r="AF54" s="324"/>
      <c r="AG54" s="324"/>
      <c r="AH54" s="324"/>
      <c r="AI54" s="324"/>
      <c r="AJ54" s="324"/>
      <c r="AK54" s="324"/>
      <c r="AL54" s="324"/>
      <c r="AM54" s="324"/>
      <c r="AN54" s="324"/>
      <c r="AO54" s="324"/>
      <c r="AP54" s="324"/>
      <c r="AQ54" s="324"/>
      <c r="AR54" s="324"/>
      <c r="AS54" s="324"/>
      <c r="AT54" s="324"/>
      <c r="AU54" s="324"/>
      <c r="AV54" s="324"/>
      <c r="AW54" s="324"/>
      <c r="AX54" s="324"/>
      <c r="AY54" s="324"/>
      <c r="AZ54" s="428"/>
    </row>
    <row r="55" spans="1:52" ht="14.25" customHeight="1">
      <c r="A55" s="410"/>
      <c r="B55" s="323"/>
      <c r="C55" s="323"/>
      <c r="D55" s="323"/>
      <c r="E55" s="323"/>
      <c r="F55" s="323"/>
      <c r="G55" s="323"/>
      <c r="H55" s="323"/>
      <c r="I55" s="323"/>
      <c r="J55" s="323"/>
      <c r="K55" s="323"/>
      <c r="L55" s="323"/>
      <c r="M55" s="323"/>
      <c r="N55" s="323"/>
      <c r="O55" s="323"/>
      <c r="P55" s="323"/>
      <c r="Q55" s="323"/>
      <c r="R55" s="323"/>
      <c r="S55" s="323"/>
      <c r="T55" s="323"/>
      <c r="U55" s="323"/>
      <c r="V55" s="323"/>
      <c r="W55" s="323"/>
      <c r="X55" s="323"/>
      <c r="Y55" s="323"/>
      <c r="Z55" s="323"/>
      <c r="AA55" s="31"/>
      <c r="AB55" s="30"/>
      <c r="AC55" s="30"/>
      <c r="AD55" s="30"/>
      <c r="AE55" s="30"/>
      <c r="AF55" s="30"/>
      <c r="AG55" s="30"/>
      <c r="AH55" s="30"/>
      <c r="AI55" s="30"/>
      <c r="AJ55" s="32"/>
      <c r="AK55" s="32"/>
      <c r="AL55" s="32"/>
      <c r="AM55" s="32"/>
      <c r="AN55" s="32"/>
      <c r="AO55" s="32"/>
      <c r="AP55" s="32"/>
      <c r="AQ55" s="32"/>
      <c r="AR55" s="32"/>
      <c r="AS55" s="32"/>
      <c r="AT55" s="32"/>
      <c r="AU55" s="32"/>
      <c r="AV55" s="32"/>
      <c r="AW55" s="32"/>
      <c r="AX55" s="32"/>
      <c r="AY55" s="32"/>
      <c r="AZ55" s="32"/>
    </row>
    <row r="56" spans="1:52" ht="14.25" customHeight="1">
      <c r="A56" s="31"/>
      <c r="B56" s="30"/>
      <c r="C56" s="30"/>
      <c r="D56" s="30"/>
      <c r="E56" s="30"/>
      <c r="F56" s="30"/>
      <c r="G56" s="30"/>
      <c r="H56" s="30"/>
      <c r="I56" s="30"/>
      <c r="J56" s="32"/>
      <c r="K56" s="32"/>
      <c r="L56" s="32"/>
      <c r="M56" s="32"/>
      <c r="N56" s="32"/>
      <c r="O56" s="32"/>
      <c r="P56" s="32"/>
      <c r="Q56" s="32"/>
      <c r="R56" s="32"/>
      <c r="S56" s="32"/>
      <c r="T56" s="32"/>
      <c r="U56" s="32"/>
      <c r="V56" s="32"/>
      <c r="W56" s="32"/>
      <c r="X56" s="32"/>
      <c r="Y56" s="32"/>
      <c r="Z56" s="32"/>
      <c r="AA56" s="31"/>
      <c r="AB56" s="30"/>
      <c r="AC56" s="30"/>
      <c r="AD56" s="30"/>
      <c r="AE56" s="30"/>
      <c r="AF56" s="30"/>
      <c r="AG56" s="30"/>
      <c r="AH56" s="30"/>
      <c r="AI56" s="30"/>
      <c r="AJ56" s="32"/>
      <c r="AK56" s="32"/>
      <c r="AL56" s="32"/>
      <c r="AM56" s="32"/>
      <c r="AN56" s="32"/>
      <c r="AO56" s="32"/>
      <c r="AP56" s="32"/>
      <c r="AQ56" s="32"/>
      <c r="AR56" s="32"/>
      <c r="AS56" s="32"/>
      <c r="AT56" s="32"/>
      <c r="AU56" s="32"/>
      <c r="AV56" s="32"/>
      <c r="AW56" s="32"/>
      <c r="AX56" s="32"/>
      <c r="AY56" s="32"/>
      <c r="AZ56" s="32"/>
    </row>
    <row r="57" spans="1:52" ht="14.25" customHeight="1">
      <c r="A57" s="31"/>
      <c r="B57" s="30"/>
      <c r="C57" s="30"/>
      <c r="D57" s="30"/>
      <c r="E57" s="30"/>
      <c r="F57" s="30"/>
      <c r="G57" s="30"/>
      <c r="H57" s="30"/>
      <c r="I57" s="30"/>
      <c r="J57" s="30"/>
      <c r="K57" s="30"/>
      <c r="L57" s="30"/>
      <c r="M57" s="30"/>
      <c r="N57" s="30"/>
      <c r="O57" s="30"/>
      <c r="P57" s="30"/>
      <c r="Q57" s="30"/>
      <c r="R57" s="30"/>
      <c r="S57" s="30"/>
      <c r="T57" s="30"/>
      <c r="U57" s="30"/>
      <c r="V57" s="30"/>
      <c r="W57" s="30"/>
      <c r="X57" s="30"/>
      <c r="Y57" s="30"/>
      <c r="Z57" s="30"/>
      <c r="AA57" s="31"/>
      <c r="AB57" s="30"/>
      <c r="AC57" s="30"/>
      <c r="AD57" s="30"/>
      <c r="AE57" s="30"/>
      <c r="AF57" s="30"/>
      <c r="AG57" s="30"/>
      <c r="AH57" s="30"/>
      <c r="AI57" s="30"/>
      <c r="AJ57" s="30"/>
      <c r="AK57" s="30"/>
      <c r="AL57" s="30"/>
      <c r="AM57" s="30"/>
      <c r="AN57" s="30"/>
      <c r="AO57" s="30"/>
      <c r="AP57" s="30"/>
      <c r="AQ57" s="30"/>
      <c r="AR57" s="30"/>
      <c r="AS57" s="30"/>
      <c r="AT57" s="30"/>
      <c r="AU57" s="30"/>
      <c r="AV57" s="30"/>
      <c r="AW57" s="30"/>
      <c r="AX57" s="30"/>
      <c r="AY57" s="30"/>
      <c r="AZ57" s="30"/>
    </row>
    <row r="58" spans="1:52" ht="14.25" customHeight="1">
      <c r="A58" s="31"/>
      <c r="B58" s="30"/>
      <c r="C58" s="30"/>
      <c r="D58" s="30"/>
      <c r="E58" s="30"/>
      <c r="F58" s="30"/>
      <c r="G58" s="30"/>
      <c r="H58" s="30"/>
      <c r="I58" s="30"/>
      <c r="J58" s="30"/>
      <c r="K58" s="30"/>
      <c r="L58" s="30"/>
      <c r="M58" s="30"/>
      <c r="N58" s="30"/>
      <c r="O58" s="30"/>
      <c r="P58" s="30"/>
      <c r="Q58" s="30"/>
      <c r="R58" s="30"/>
      <c r="S58" s="30"/>
      <c r="T58" s="30"/>
      <c r="U58" s="30"/>
      <c r="V58" s="30"/>
      <c r="W58" s="30"/>
      <c r="X58" s="30"/>
      <c r="Y58" s="30"/>
      <c r="Z58" s="30"/>
      <c r="AA58" s="31"/>
      <c r="AB58" s="30"/>
      <c r="AC58" s="30"/>
      <c r="AD58" s="30"/>
      <c r="AE58" s="30"/>
      <c r="AF58" s="30"/>
      <c r="AG58" s="30"/>
      <c r="AH58" s="30"/>
      <c r="AI58" s="30"/>
      <c r="AJ58" s="30"/>
      <c r="AK58" s="30"/>
      <c r="AL58" s="30"/>
      <c r="AM58" s="30"/>
      <c r="AN58" s="30"/>
      <c r="AO58" s="30"/>
      <c r="AP58" s="30"/>
      <c r="AQ58" s="30"/>
      <c r="AR58" s="30"/>
      <c r="AS58" s="30"/>
      <c r="AT58" s="30"/>
      <c r="AU58" s="30"/>
      <c r="AV58" s="30"/>
      <c r="AW58" s="30"/>
      <c r="AX58" s="30"/>
      <c r="AY58" s="30"/>
      <c r="AZ58" s="30"/>
    </row>
    <row r="59" spans="1:52" ht="14.25" customHeight="1">
      <c r="A59" s="31"/>
      <c r="B59" s="30"/>
      <c r="C59" s="30"/>
      <c r="D59" s="30"/>
      <c r="E59" s="30"/>
      <c r="F59" s="30"/>
      <c r="G59" s="30"/>
      <c r="H59" s="30"/>
      <c r="I59" s="30"/>
      <c r="J59" s="30"/>
      <c r="K59" s="30"/>
      <c r="L59" s="30"/>
      <c r="M59" s="30"/>
      <c r="N59" s="30"/>
      <c r="O59" s="30"/>
      <c r="P59" s="30"/>
      <c r="Q59" s="30"/>
      <c r="R59" s="30"/>
      <c r="S59" s="30"/>
      <c r="T59" s="30"/>
      <c r="U59" s="30"/>
      <c r="V59" s="30"/>
      <c r="W59" s="30"/>
      <c r="X59" s="30"/>
      <c r="Y59" s="30"/>
      <c r="Z59" s="30"/>
      <c r="AA59" s="31"/>
      <c r="AK59" s="30"/>
      <c r="AL59" s="30"/>
      <c r="AM59" s="30"/>
      <c r="AN59" s="30"/>
      <c r="AO59" s="30"/>
      <c r="AP59" s="30"/>
      <c r="AQ59" s="30"/>
      <c r="AR59" s="30"/>
      <c r="AS59" s="30"/>
      <c r="AT59" s="30"/>
      <c r="AU59" s="30"/>
      <c r="AV59" s="30"/>
      <c r="AW59" s="30"/>
      <c r="AX59" s="30"/>
      <c r="AY59" s="30"/>
      <c r="AZ59" s="30"/>
    </row>
    <row r="60" spans="1:52" ht="14.25" customHeight="1">
      <c r="A60" s="31"/>
      <c r="B60" s="30"/>
      <c r="C60" s="30"/>
      <c r="D60" s="30"/>
      <c r="E60" s="30"/>
      <c r="F60" s="30"/>
      <c r="G60" s="30"/>
      <c r="H60" s="30"/>
      <c r="I60" s="30"/>
      <c r="J60" s="30"/>
      <c r="K60" s="30"/>
      <c r="L60" s="30"/>
      <c r="M60" s="30"/>
      <c r="N60" s="30"/>
      <c r="O60" s="30"/>
      <c r="P60" s="30"/>
      <c r="Q60" s="30"/>
      <c r="R60" s="30"/>
      <c r="S60" s="30"/>
      <c r="T60" s="30"/>
      <c r="U60" s="30"/>
      <c r="V60" s="30"/>
      <c r="W60" s="30"/>
      <c r="X60" s="30"/>
      <c r="Y60" s="30"/>
      <c r="Z60" s="30"/>
      <c r="AA60" s="31"/>
      <c r="AK60" s="30"/>
      <c r="AL60" s="30"/>
      <c r="AM60" s="30"/>
      <c r="AN60" s="30"/>
      <c r="AO60" s="30"/>
      <c r="AP60" s="30"/>
      <c r="AQ60" s="30"/>
      <c r="AR60" s="30"/>
      <c r="AS60" s="30"/>
      <c r="AT60" s="30"/>
      <c r="AU60" s="30"/>
      <c r="AV60" s="30"/>
      <c r="AW60" s="30"/>
      <c r="AX60" s="30"/>
      <c r="AY60" s="30"/>
      <c r="AZ60" s="30"/>
    </row>
    <row r="61" spans="1:52" ht="14.25" customHeight="1">
      <c r="A61" s="31"/>
      <c r="B61" s="30"/>
      <c r="C61" s="30"/>
      <c r="D61" s="30"/>
      <c r="E61" s="30"/>
      <c r="F61" s="30"/>
      <c r="G61" s="30"/>
      <c r="H61" s="30"/>
      <c r="I61" s="30"/>
      <c r="J61" s="30"/>
      <c r="K61" s="30"/>
      <c r="L61" s="30"/>
      <c r="M61" s="30"/>
      <c r="N61" s="30"/>
      <c r="O61" s="30"/>
      <c r="P61" s="30"/>
      <c r="Q61" s="30"/>
      <c r="R61" s="30"/>
      <c r="S61" s="30"/>
      <c r="T61" s="30"/>
      <c r="U61" s="30"/>
      <c r="V61" s="30"/>
      <c r="W61" s="30"/>
      <c r="X61" s="30"/>
      <c r="Y61" s="30"/>
      <c r="Z61" s="30"/>
      <c r="AA61" s="31"/>
      <c r="AK61" s="30"/>
      <c r="AL61" s="30"/>
      <c r="AM61" s="30"/>
      <c r="AN61" s="30"/>
      <c r="AO61" s="30"/>
      <c r="AP61" s="30"/>
      <c r="AQ61" s="30"/>
      <c r="AR61" s="30"/>
      <c r="AS61" s="30"/>
      <c r="AT61" s="30"/>
      <c r="AU61" s="30"/>
      <c r="AV61" s="30"/>
      <c r="AW61" s="30"/>
      <c r="AX61" s="30"/>
      <c r="AY61" s="30"/>
      <c r="AZ61" s="30"/>
    </row>
    <row r="62" spans="1:52" ht="14.25" customHeight="1">
      <c r="A62" s="31"/>
      <c r="B62" s="30"/>
      <c r="C62" s="30"/>
      <c r="D62" s="30"/>
      <c r="E62" s="30"/>
      <c r="F62" s="30"/>
      <c r="G62" s="30"/>
      <c r="H62" s="30"/>
      <c r="I62" s="30"/>
      <c r="J62" s="30"/>
      <c r="K62" s="30"/>
      <c r="L62" s="30"/>
      <c r="M62" s="30"/>
      <c r="N62" s="30"/>
      <c r="O62" s="30"/>
      <c r="P62" s="30"/>
      <c r="Q62" s="30"/>
      <c r="R62" s="30"/>
      <c r="S62" s="30"/>
      <c r="T62" s="30"/>
      <c r="U62" s="30"/>
      <c r="V62" s="30"/>
      <c r="W62" s="30"/>
      <c r="X62" s="30"/>
      <c r="Y62" s="30"/>
      <c r="Z62" s="30"/>
      <c r="AA62" s="31"/>
      <c r="AK62" s="30"/>
      <c r="AL62" s="30"/>
      <c r="AM62" s="30"/>
      <c r="AN62" s="30"/>
      <c r="AO62" s="30"/>
      <c r="AP62" s="30"/>
      <c r="AQ62" s="30"/>
      <c r="AR62" s="30"/>
      <c r="AS62" s="30"/>
      <c r="AT62" s="30"/>
      <c r="AU62" s="30"/>
      <c r="AV62" s="30"/>
      <c r="AW62" s="30"/>
      <c r="AX62" s="30"/>
      <c r="AY62" s="30"/>
      <c r="AZ62" s="30"/>
    </row>
    <row r="63" spans="1:52" ht="14.25">
      <c r="A63" s="31"/>
      <c r="B63" s="30"/>
      <c r="C63" s="30"/>
      <c r="D63" s="30"/>
      <c r="E63" s="30"/>
      <c r="F63" s="30"/>
      <c r="G63" s="30"/>
      <c r="H63" s="30"/>
      <c r="I63" s="30"/>
      <c r="J63" s="30"/>
      <c r="K63" s="30"/>
      <c r="L63" s="30"/>
      <c r="M63" s="30"/>
      <c r="N63" s="30"/>
      <c r="O63" s="30"/>
      <c r="P63" s="30"/>
      <c r="Q63" s="30"/>
      <c r="R63" s="30"/>
      <c r="S63" s="30"/>
      <c r="T63" s="30"/>
      <c r="U63" s="30"/>
      <c r="V63" s="30"/>
      <c r="W63" s="30"/>
      <c r="X63" s="30"/>
      <c r="Y63" s="30"/>
      <c r="Z63" s="30"/>
      <c r="AA63" s="31"/>
      <c r="AK63" s="30"/>
      <c r="AL63" s="30"/>
      <c r="AM63" s="30"/>
      <c r="AN63" s="30"/>
      <c r="AO63" s="30"/>
      <c r="AP63" s="30"/>
      <c r="AQ63" s="30"/>
      <c r="AR63" s="30"/>
      <c r="AS63" s="30"/>
      <c r="AT63" s="30"/>
      <c r="AU63" s="30"/>
      <c r="AV63" s="30"/>
      <c r="AW63" s="30"/>
      <c r="AX63" s="30"/>
      <c r="AY63" s="30"/>
      <c r="AZ63" s="30"/>
    </row>
    <row r="64" spans="1:52" ht="14.25">
      <c r="A64" s="30"/>
      <c r="B64" s="30"/>
      <c r="C64" s="30"/>
      <c r="D64" s="30"/>
      <c r="E64" s="30"/>
      <c r="F64" s="30"/>
      <c r="G64" s="30"/>
      <c r="H64" s="30"/>
      <c r="I64" s="30"/>
      <c r="J64" s="32"/>
      <c r="K64" s="32"/>
      <c r="L64" s="32"/>
      <c r="M64" s="32"/>
      <c r="N64" s="32"/>
      <c r="O64" s="32"/>
      <c r="P64" s="32"/>
      <c r="Q64" s="32"/>
      <c r="R64" s="32"/>
      <c r="S64" s="32"/>
      <c r="T64" s="32"/>
      <c r="U64" s="32"/>
      <c r="V64" s="32"/>
      <c r="W64" s="32"/>
      <c r="X64" s="32"/>
      <c r="Y64" s="32"/>
      <c r="Z64" s="32"/>
      <c r="AA64" s="30"/>
      <c r="AK64" s="32"/>
      <c r="AL64" s="32"/>
      <c r="AM64" s="32"/>
      <c r="AN64" s="32"/>
      <c r="AO64" s="32"/>
      <c r="AP64" s="32"/>
      <c r="AQ64" s="32"/>
      <c r="AR64" s="32"/>
      <c r="AS64" s="32"/>
      <c r="AT64" s="32"/>
      <c r="AU64" s="32"/>
      <c r="AV64" s="32"/>
      <c r="AW64" s="32"/>
      <c r="AX64" s="32"/>
      <c r="AY64" s="32"/>
      <c r="AZ64" s="32"/>
    </row>
    <row r="65" spans="1:52" ht="14.25">
      <c r="A65" s="30"/>
      <c r="B65" s="30"/>
      <c r="C65" s="30"/>
      <c r="D65" s="30"/>
      <c r="E65" s="30"/>
      <c r="F65" s="30"/>
      <c r="G65" s="30"/>
      <c r="H65" s="30"/>
      <c r="I65" s="30"/>
      <c r="J65" s="32"/>
      <c r="K65" s="32"/>
      <c r="L65" s="32"/>
      <c r="M65" s="32"/>
      <c r="N65" s="32"/>
      <c r="O65" s="32"/>
      <c r="P65" s="32"/>
      <c r="Q65" s="32"/>
      <c r="R65" s="32"/>
      <c r="S65" s="32"/>
      <c r="T65" s="32"/>
      <c r="U65" s="32"/>
      <c r="V65" s="32"/>
      <c r="W65" s="32"/>
      <c r="X65" s="32"/>
      <c r="Y65" s="32"/>
      <c r="Z65" s="32"/>
      <c r="AA65" s="30"/>
      <c r="AB65" s="30"/>
      <c r="AC65" s="30"/>
      <c r="AD65" s="30"/>
      <c r="AE65" s="30"/>
      <c r="AF65" s="30"/>
      <c r="AG65" s="30"/>
      <c r="AH65" s="30"/>
      <c r="AI65" s="30"/>
      <c r="AJ65" s="32"/>
      <c r="AK65" s="32"/>
      <c r="AL65" s="32"/>
      <c r="AM65" s="32"/>
      <c r="AN65" s="32"/>
      <c r="AO65" s="32"/>
      <c r="AP65" s="32"/>
      <c r="AQ65" s="32"/>
      <c r="AR65" s="32"/>
      <c r="AS65" s="32"/>
      <c r="AT65" s="32"/>
      <c r="AU65" s="32"/>
      <c r="AV65" s="32"/>
      <c r="AW65" s="32"/>
      <c r="AX65" s="32"/>
      <c r="AY65" s="32"/>
      <c r="AZ65" s="32"/>
    </row>
    <row r="66" spans="1:52" ht="14.25">
      <c r="A66" s="30"/>
      <c r="B66" s="30"/>
      <c r="C66" s="30"/>
      <c r="D66" s="30"/>
      <c r="E66" s="30"/>
      <c r="F66" s="30"/>
      <c r="G66" s="30"/>
      <c r="H66" s="30"/>
      <c r="I66" s="30"/>
      <c r="J66" s="32"/>
      <c r="K66" s="32"/>
      <c r="L66" s="32"/>
      <c r="M66" s="32"/>
      <c r="N66" s="32"/>
      <c r="O66" s="32"/>
      <c r="P66" s="32"/>
      <c r="Q66" s="32"/>
      <c r="R66" s="32"/>
      <c r="S66" s="32"/>
      <c r="T66" s="32"/>
      <c r="U66" s="32"/>
      <c r="V66" s="32"/>
      <c r="W66" s="32"/>
      <c r="X66" s="32"/>
      <c r="Y66" s="32"/>
      <c r="Z66" s="32"/>
      <c r="AA66" s="30"/>
      <c r="AB66" s="30"/>
      <c r="AC66" s="30"/>
      <c r="AD66" s="30"/>
      <c r="AE66" s="30"/>
      <c r="AF66" s="30"/>
      <c r="AG66" s="30"/>
      <c r="AH66" s="30"/>
      <c r="AI66" s="30"/>
      <c r="AJ66" s="32"/>
      <c r="AK66" s="32"/>
      <c r="AL66" s="32"/>
      <c r="AM66" s="32"/>
      <c r="AN66" s="32"/>
      <c r="AO66" s="32"/>
      <c r="AP66" s="32"/>
      <c r="AQ66" s="32"/>
      <c r="AR66" s="32"/>
      <c r="AS66" s="32"/>
      <c r="AT66" s="32"/>
      <c r="AU66" s="32"/>
      <c r="AV66" s="32"/>
      <c r="AW66" s="32"/>
      <c r="AX66" s="32"/>
      <c r="AY66" s="32"/>
      <c r="AZ66" s="32"/>
    </row>
    <row r="67" spans="1:52" ht="14.25">
      <c r="A67" s="30"/>
      <c r="B67" s="30"/>
      <c r="C67" s="30"/>
      <c r="D67" s="30"/>
      <c r="E67" s="30"/>
      <c r="F67" s="30"/>
      <c r="G67" s="30"/>
      <c r="H67" s="30"/>
      <c r="I67" s="30"/>
      <c r="J67" s="32"/>
      <c r="K67" s="32"/>
      <c r="L67" s="32"/>
      <c r="M67" s="32"/>
      <c r="N67" s="32"/>
      <c r="O67" s="32"/>
      <c r="P67" s="32"/>
      <c r="Q67" s="32"/>
      <c r="R67" s="32"/>
      <c r="S67" s="32"/>
      <c r="T67" s="32"/>
      <c r="U67" s="32"/>
      <c r="V67" s="32"/>
      <c r="W67" s="32"/>
      <c r="X67" s="32"/>
      <c r="Y67" s="32"/>
      <c r="Z67" s="32"/>
      <c r="AA67" s="30"/>
      <c r="AB67" s="30"/>
      <c r="AC67" s="30"/>
      <c r="AD67" s="30"/>
      <c r="AE67" s="30"/>
      <c r="AF67" s="30"/>
      <c r="AG67" s="30"/>
      <c r="AH67" s="30"/>
      <c r="AI67" s="30"/>
      <c r="AJ67" s="32"/>
      <c r="AK67" s="32"/>
      <c r="AL67" s="32"/>
      <c r="AM67" s="32"/>
      <c r="AN67" s="32"/>
      <c r="AO67" s="32"/>
      <c r="AP67" s="32"/>
      <c r="AQ67" s="32"/>
      <c r="AR67" s="32"/>
      <c r="AS67" s="32"/>
      <c r="AT67" s="32"/>
      <c r="AU67" s="32"/>
      <c r="AV67" s="32"/>
      <c r="AW67" s="32"/>
      <c r="AX67" s="32"/>
      <c r="AY67" s="32"/>
      <c r="AZ67" s="32"/>
    </row>
    <row r="68" spans="1:52" ht="14.25">
      <c r="A68" s="30"/>
      <c r="B68" s="30"/>
      <c r="C68" s="30"/>
      <c r="D68" s="30"/>
      <c r="E68" s="30"/>
      <c r="F68" s="30"/>
      <c r="G68" s="30"/>
      <c r="H68" s="30"/>
      <c r="I68" s="30"/>
      <c r="J68" s="32"/>
      <c r="K68" s="32"/>
      <c r="L68" s="32"/>
      <c r="M68" s="32"/>
      <c r="N68" s="32"/>
      <c r="O68" s="32"/>
      <c r="P68" s="32"/>
      <c r="Q68" s="32"/>
      <c r="R68" s="32"/>
      <c r="S68" s="32"/>
      <c r="T68" s="32"/>
      <c r="U68" s="32"/>
      <c r="V68" s="32"/>
      <c r="W68" s="32"/>
      <c r="X68" s="32"/>
      <c r="Y68" s="32"/>
      <c r="Z68" s="32"/>
      <c r="AA68" s="30"/>
      <c r="AB68" s="30"/>
      <c r="AC68" s="30"/>
      <c r="AD68" s="30"/>
      <c r="AE68" s="30"/>
      <c r="AF68" s="30"/>
      <c r="AG68" s="30"/>
      <c r="AH68" s="30"/>
      <c r="AI68" s="30"/>
      <c r="AJ68" s="32"/>
      <c r="AK68" s="32"/>
      <c r="AL68" s="32"/>
      <c r="AM68" s="32"/>
      <c r="AN68" s="32"/>
      <c r="AO68" s="32"/>
      <c r="AP68" s="32"/>
      <c r="AQ68" s="32"/>
      <c r="AR68" s="32"/>
      <c r="AS68" s="32"/>
      <c r="AT68" s="32"/>
      <c r="AU68" s="32"/>
      <c r="AV68" s="32"/>
      <c r="AW68" s="32"/>
      <c r="AX68" s="32"/>
      <c r="AY68" s="32"/>
      <c r="AZ68" s="32"/>
    </row>
    <row r="69" spans="1:52" ht="14.25">
      <c r="A69" s="30"/>
      <c r="B69" s="30"/>
      <c r="C69" s="30"/>
      <c r="D69" s="30"/>
      <c r="E69" s="30"/>
      <c r="F69" s="30"/>
      <c r="G69" s="30"/>
      <c r="H69" s="30"/>
      <c r="I69" s="30"/>
      <c r="J69" s="32"/>
      <c r="K69" s="32"/>
      <c r="L69" s="32"/>
      <c r="M69" s="32"/>
      <c r="N69" s="32"/>
      <c r="O69" s="32"/>
      <c r="P69" s="32"/>
      <c r="Q69" s="32"/>
      <c r="R69" s="32"/>
      <c r="S69" s="32"/>
      <c r="T69" s="32"/>
      <c r="U69" s="32"/>
      <c r="V69" s="32"/>
      <c r="W69" s="32"/>
      <c r="X69" s="32"/>
      <c r="Y69" s="32"/>
      <c r="Z69" s="32"/>
      <c r="AA69" s="30"/>
      <c r="AB69" s="30"/>
      <c r="AC69" s="30"/>
      <c r="AD69" s="30"/>
      <c r="AE69" s="30"/>
      <c r="AF69" s="30"/>
      <c r="AG69" s="30"/>
      <c r="AH69" s="30"/>
      <c r="AI69" s="30"/>
      <c r="AJ69" s="32"/>
      <c r="AK69" s="32"/>
      <c r="AL69" s="32"/>
      <c r="AM69" s="32"/>
      <c r="AN69" s="32"/>
      <c r="AO69" s="32"/>
      <c r="AP69" s="32"/>
      <c r="AQ69" s="32"/>
      <c r="AR69" s="32"/>
      <c r="AS69" s="32"/>
      <c r="AT69" s="32"/>
      <c r="AU69" s="32"/>
      <c r="AV69" s="32"/>
      <c r="AW69" s="32"/>
      <c r="AX69" s="32"/>
      <c r="AY69" s="32"/>
      <c r="AZ69" s="32"/>
    </row>
    <row r="70" spans="1:52" ht="14.25">
      <c r="A70" s="30"/>
      <c r="B70" s="30"/>
      <c r="C70" s="30"/>
      <c r="D70" s="30"/>
      <c r="E70" s="30"/>
      <c r="F70" s="30"/>
      <c r="G70" s="30"/>
      <c r="H70" s="30"/>
      <c r="I70" s="30"/>
      <c r="J70" s="32"/>
      <c r="K70" s="32"/>
      <c r="L70" s="32"/>
      <c r="M70" s="32"/>
      <c r="N70" s="32"/>
      <c r="O70" s="32"/>
      <c r="P70" s="32"/>
      <c r="Q70" s="32"/>
      <c r="R70" s="32"/>
      <c r="S70" s="32"/>
      <c r="T70" s="32"/>
      <c r="U70" s="32"/>
      <c r="V70" s="32"/>
      <c r="W70" s="32"/>
      <c r="X70" s="32"/>
      <c r="Y70" s="32"/>
      <c r="Z70" s="32"/>
      <c r="AA70" s="30"/>
      <c r="AB70" s="30"/>
      <c r="AC70" s="30"/>
      <c r="AD70" s="30"/>
      <c r="AE70" s="30"/>
      <c r="AF70" s="30"/>
      <c r="AG70" s="30"/>
      <c r="AH70" s="30"/>
      <c r="AI70" s="30"/>
      <c r="AJ70" s="32"/>
      <c r="AK70" s="32"/>
      <c r="AL70" s="32"/>
      <c r="AM70" s="32"/>
      <c r="AN70" s="32"/>
      <c r="AO70" s="32"/>
      <c r="AP70" s="32"/>
      <c r="AQ70" s="32"/>
      <c r="AR70" s="32"/>
      <c r="AS70" s="32"/>
      <c r="AT70" s="32"/>
      <c r="AU70" s="32"/>
      <c r="AV70" s="32"/>
      <c r="AW70" s="32"/>
      <c r="AX70" s="32"/>
      <c r="AY70" s="32"/>
      <c r="AZ70" s="32"/>
    </row>
    <row r="71" spans="1:52" ht="14.25">
      <c r="A71" s="30"/>
      <c r="B71" s="30"/>
      <c r="C71" s="30"/>
      <c r="D71" s="30"/>
      <c r="E71" s="30"/>
      <c r="F71" s="30"/>
      <c r="G71" s="30"/>
      <c r="H71" s="30"/>
      <c r="I71" s="30"/>
      <c r="J71" s="32"/>
      <c r="K71" s="32"/>
      <c r="L71" s="32"/>
      <c r="M71" s="32"/>
      <c r="N71" s="32"/>
      <c r="O71" s="32"/>
      <c r="P71" s="32"/>
      <c r="Q71" s="32"/>
      <c r="R71" s="32"/>
      <c r="S71" s="32"/>
      <c r="T71" s="32"/>
      <c r="U71" s="32"/>
      <c r="V71" s="32"/>
      <c r="W71" s="32"/>
      <c r="X71" s="32"/>
      <c r="Y71" s="32"/>
      <c r="Z71" s="32"/>
      <c r="AA71" s="30"/>
      <c r="AB71" s="30"/>
      <c r="AC71" s="30"/>
      <c r="AD71" s="30"/>
      <c r="AE71" s="30"/>
      <c r="AF71" s="30"/>
      <c r="AG71" s="30"/>
      <c r="AH71" s="30"/>
      <c r="AI71" s="30"/>
      <c r="AJ71" s="32"/>
      <c r="AK71" s="32"/>
      <c r="AL71" s="32"/>
      <c r="AM71" s="32"/>
      <c r="AN71" s="32"/>
      <c r="AO71" s="32"/>
      <c r="AP71" s="32"/>
      <c r="AQ71" s="32"/>
      <c r="AR71" s="32"/>
      <c r="AS71" s="32"/>
      <c r="AT71" s="32"/>
      <c r="AU71" s="32"/>
      <c r="AV71" s="32"/>
      <c r="AW71" s="32"/>
      <c r="AX71" s="32"/>
      <c r="AY71" s="32"/>
      <c r="AZ71" s="32"/>
    </row>
    <row r="72" spans="1:52" ht="14.25">
      <c r="A72" s="30"/>
      <c r="B72" s="30"/>
      <c r="C72" s="30"/>
      <c r="D72" s="30"/>
      <c r="E72" s="30"/>
      <c r="F72" s="30"/>
      <c r="G72" s="30"/>
      <c r="H72" s="30"/>
      <c r="I72" s="30"/>
      <c r="J72" s="32"/>
      <c r="K72" s="32"/>
      <c r="L72" s="32"/>
      <c r="M72" s="32"/>
      <c r="N72" s="32"/>
      <c r="O72" s="32"/>
      <c r="P72" s="32"/>
      <c r="Q72" s="32"/>
      <c r="R72" s="32"/>
      <c r="S72" s="32"/>
      <c r="T72" s="32"/>
      <c r="U72" s="32"/>
      <c r="V72" s="32"/>
      <c r="W72" s="32"/>
      <c r="X72" s="32"/>
      <c r="Y72" s="32"/>
      <c r="Z72" s="32"/>
      <c r="AA72" s="30"/>
      <c r="AB72" s="30"/>
      <c r="AC72" s="30"/>
      <c r="AD72" s="30"/>
      <c r="AE72" s="30"/>
      <c r="AF72" s="30"/>
      <c r="AG72" s="30"/>
      <c r="AH72" s="30"/>
      <c r="AI72" s="30"/>
      <c r="AJ72" s="32"/>
      <c r="AK72" s="32"/>
      <c r="AL72" s="32"/>
      <c r="AM72" s="32"/>
      <c r="AN72" s="32"/>
      <c r="AO72" s="32"/>
      <c r="AP72" s="32"/>
      <c r="AQ72" s="32"/>
      <c r="AR72" s="32"/>
      <c r="AS72" s="32"/>
      <c r="AT72" s="32"/>
      <c r="AU72" s="32"/>
      <c r="AV72" s="32"/>
      <c r="AW72" s="32"/>
      <c r="AX72" s="32"/>
      <c r="AY72" s="32"/>
      <c r="AZ72" s="32"/>
    </row>
    <row r="73" spans="1:52" ht="14.25">
      <c r="A73" s="30"/>
      <c r="B73" s="30"/>
      <c r="C73" s="30"/>
      <c r="D73" s="30"/>
      <c r="E73" s="30"/>
      <c r="F73" s="30"/>
      <c r="G73" s="30"/>
      <c r="H73" s="30"/>
      <c r="I73" s="30"/>
      <c r="J73" s="32"/>
      <c r="K73" s="32"/>
      <c r="L73" s="32"/>
      <c r="M73" s="32"/>
      <c r="N73" s="32"/>
      <c r="O73" s="32"/>
      <c r="P73" s="32"/>
      <c r="Q73" s="32"/>
      <c r="R73" s="32"/>
      <c r="S73" s="32"/>
      <c r="T73" s="32"/>
      <c r="U73" s="32"/>
      <c r="V73" s="32"/>
      <c r="W73" s="32"/>
      <c r="X73" s="32"/>
      <c r="Y73" s="32"/>
      <c r="Z73" s="32"/>
      <c r="AA73" s="30"/>
      <c r="AB73" s="30"/>
      <c r="AC73" s="30"/>
      <c r="AD73" s="30"/>
      <c r="AE73" s="30"/>
      <c r="AF73" s="30"/>
      <c r="AG73" s="30"/>
      <c r="AH73" s="30"/>
      <c r="AI73" s="30"/>
      <c r="AJ73" s="32"/>
      <c r="AK73" s="32"/>
      <c r="AL73" s="32"/>
      <c r="AM73" s="32"/>
      <c r="AN73" s="32"/>
      <c r="AO73" s="32"/>
      <c r="AP73" s="32"/>
      <c r="AQ73" s="32"/>
      <c r="AR73" s="32"/>
      <c r="AS73" s="32"/>
      <c r="AT73" s="32"/>
      <c r="AU73" s="32"/>
      <c r="AV73" s="32"/>
      <c r="AW73" s="32"/>
      <c r="AX73" s="32"/>
      <c r="AY73" s="32"/>
      <c r="AZ73" s="32"/>
    </row>
    <row r="74" spans="1:52" ht="14.25">
      <c r="A74" s="30"/>
      <c r="B74" s="30"/>
      <c r="C74" s="30"/>
      <c r="D74" s="30"/>
      <c r="E74" s="30"/>
      <c r="F74" s="30"/>
      <c r="G74" s="30"/>
      <c r="H74" s="30"/>
      <c r="I74" s="30"/>
      <c r="J74" s="32"/>
      <c r="K74" s="32"/>
      <c r="L74" s="32"/>
      <c r="M74" s="32"/>
      <c r="N74" s="32"/>
      <c r="O74" s="32"/>
      <c r="P74" s="32"/>
      <c r="Q74" s="32"/>
      <c r="R74" s="32"/>
      <c r="S74" s="32"/>
      <c r="T74" s="32"/>
      <c r="U74" s="32"/>
      <c r="V74" s="32"/>
      <c r="W74" s="32"/>
      <c r="X74" s="32"/>
      <c r="Y74" s="32"/>
      <c r="Z74" s="32"/>
      <c r="AA74" s="30"/>
      <c r="AB74" s="30"/>
      <c r="AC74" s="30"/>
      <c r="AD74" s="30"/>
      <c r="AE74" s="30"/>
      <c r="AF74" s="30"/>
      <c r="AG74" s="30"/>
      <c r="AH74" s="30"/>
      <c r="AI74" s="30"/>
      <c r="AJ74" s="32"/>
      <c r="AK74" s="32"/>
      <c r="AL74" s="32"/>
      <c r="AM74" s="32"/>
      <c r="AN74" s="32"/>
      <c r="AO74" s="32"/>
      <c r="AP74" s="32"/>
      <c r="AQ74" s="32"/>
      <c r="AR74" s="32"/>
      <c r="AS74" s="32"/>
      <c r="AT74" s="32"/>
      <c r="AU74" s="32"/>
      <c r="AV74" s="32"/>
      <c r="AW74" s="32"/>
      <c r="AX74" s="32"/>
      <c r="AY74" s="32"/>
      <c r="AZ74" s="32"/>
    </row>
    <row r="75" spans="1:52" ht="14.25">
      <c r="A75" s="30"/>
      <c r="B75" s="30"/>
      <c r="C75" s="30"/>
      <c r="D75" s="30"/>
      <c r="E75" s="30"/>
      <c r="F75" s="30"/>
      <c r="G75" s="30"/>
      <c r="H75" s="30"/>
      <c r="I75" s="30"/>
      <c r="J75" s="32"/>
      <c r="K75" s="32"/>
      <c r="L75" s="32"/>
      <c r="M75" s="32"/>
      <c r="N75" s="32"/>
      <c r="O75" s="32"/>
      <c r="P75" s="32"/>
      <c r="Q75" s="32"/>
      <c r="R75" s="32"/>
      <c r="S75" s="32"/>
      <c r="T75" s="32"/>
      <c r="U75" s="32"/>
      <c r="V75" s="32"/>
      <c r="W75" s="32"/>
      <c r="X75" s="32"/>
      <c r="Y75" s="32"/>
      <c r="Z75" s="32"/>
      <c r="AA75" s="30"/>
      <c r="AB75" s="30"/>
      <c r="AC75" s="30"/>
      <c r="AD75" s="30"/>
      <c r="AE75" s="30"/>
      <c r="AF75" s="30"/>
      <c r="AG75" s="30"/>
      <c r="AH75" s="30"/>
      <c r="AI75" s="30"/>
      <c r="AJ75" s="32"/>
      <c r="AK75" s="32"/>
      <c r="AL75" s="32"/>
      <c r="AM75" s="32"/>
      <c r="AN75" s="32"/>
      <c r="AO75" s="32"/>
      <c r="AP75" s="32"/>
      <c r="AQ75" s="32"/>
      <c r="AR75" s="32"/>
      <c r="AS75" s="32"/>
      <c r="AT75" s="32"/>
      <c r="AU75" s="32"/>
      <c r="AV75" s="32"/>
      <c r="AW75" s="32"/>
      <c r="AX75" s="32"/>
      <c r="AY75" s="32"/>
      <c r="AZ75" s="32"/>
    </row>
    <row r="76" spans="1:52" ht="14.25">
      <c r="A76" s="30"/>
      <c r="B76" s="30"/>
      <c r="C76" s="30"/>
      <c r="D76" s="30"/>
      <c r="E76" s="30"/>
      <c r="F76" s="30"/>
      <c r="G76" s="30"/>
      <c r="H76" s="30"/>
      <c r="I76" s="30"/>
      <c r="J76" s="32"/>
      <c r="K76" s="32"/>
      <c r="L76" s="32"/>
      <c r="M76" s="32"/>
      <c r="N76" s="32"/>
      <c r="O76" s="32"/>
      <c r="P76" s="32"/>
      <c r="Q76" s="32"/>
      <c r="R76" s="32"/>
      <c r="S76" s="32"/>
      <c r="T76" s="32"/>
      <c r="U76" s="32"/>
      <c r="V76" s="32"/>
      <c r="W76" s="32"/>
      <c r="X76" s="32"/>
      <c r="Y76" s="32"/>
      <c r="Z76" s="32"/>
      <c r="AA76" s="30"/>
      <c r="AB76" s="30"/>
      <c r="AC76" s="30"/>
      <c r="AD76" s="30"/>
      <c r="AE76" s="30"/>
      <c r="AF76" s="30"/>
      <c r="AG76" s="30"/>
      <c r="AH76" s="30"/>
      <c r="AI76" s="30"/>
      <c r="AJ76" s="32"/>
      <c r="AK76" s="32"/>
      <c r="AL76" s="32"/>
      <c r="AM76" s="32"/>
      <c r="AN76" s="32"/>
      <c r="AO76" s="32"/>
      <c r="AP76" s="32"/>
      <c r="AQ76" s="32"/>
      <c r="AR76" s="32"/>
      <c r="AS76" s="32"/>
      <c r="AT76" s="32"/>
      <c r="AU76" s="32"/>
      <c r="AV76" s="32"/>
      <c r="AW76" s="32"/>
      <c r="AX76" s="32"/>
      <c r="AY76" s="32"/>
      <c r="AZ76" s="32"/>
    </row>
    <row r="77" spans="1:52" ht="14.25">
      <c r="A77" s="30"/>
      <c r="B77" s="30"/>
      <c r="C77" s="30"/>
      <c r="D77" s="30"/>
      <c r="E77" s="30"/>
      <c r="F77" s="30"/>
      <c r="G77" s="30"/>
      <c r="H77" s="30"/>
      <c r="I77" s="30"/>
      <c r="J77" s="32"/>
      <c r="K77" s="32"/>
      <c r="L77" s="32"/>
      <c r="M77" s="32"/>
      <c r="N77" s="32"/>
      <c r="O77" s="32"/>
      <c r="P77" s="32"/>
      <c r="Q77" s="32"/>
      <c r="R77" s="32"/>
      <c r="S77" s="32"/>
      <c r="T77" s="32"/>
      <c r="U77" s="32"/>
      <c r="V77" s="32"/>
      <c r="W77" s="32"/>
      <c r="X77" s="32"/>
      <c r="Y77" s="32"/>
      <c r="Z77" s="32"/>
      <c r="AA77" s="30"/>
      <c r="AB77" s="30"/>
      <c r="AC77" s="30"/>
      <c r="AD77" s="30"/>
      <c r="AE77" s="30"/>
      <c r="AF77" s="30"/>
      <c r="AG77" s="30"/>
      <c r="AH77" s="30"/>
      <c r="AI77" s="30"/>
      <c r="AJ77" s="32"/>
      <c r="AK77" s="32"/>
      <c r="AL77" s="32"/>
      <c r="AM77" s="32"/>
      <c r="AN77" s="32"/>
      <c r="AO77" s="32"/>
      <c r="AP77" s="32"/>
      <c r="AQ77" s="32"/>
      <c r="AR77" s="32"/>
      <c r="AS77" s="32"/>
      <c r="AT77" s="32"/>
      <c r="AU77" s="32"/>
      <c r="AV77" s="32"/>
      <c r="AW77" s="32"/>
      <c r="AX77" s="32"/>
      <c r="AY77" s="32"/>
      <c r="AZ77" s="32"/>
    </row>
    <row r="78" spans="1:52" ht="14.25">
      <c r="A78" s="30"/>
      <c r="B78" s="30"/>
      <c r="C78" s="30"/>
      <c r="D78" s="30"/>
      <c r="E78" s="30"/>
      <c r="F78" s="30"/>
      <c r="G78" s="30"/>
      <c r="H78" s="30"/>
      <c r="I78" s="30"/>
      <c r="J78" s="32"/>
      <c r="K78" s="32"/>
      <c r="L78" s="32"/>
      <c r="M78" s="32"/>
      <c r="N78" s="32"/>
      <c r="O78" s="32"/>
      <c r="P78" s="32"/>
      <c r="Q78" s="32"/>
      <c r="R78" s="32"/>
      <c r="S78" s="32"/>
      <c r="T78" s="32"/>
      <c r="U78" s="32"/>
      <c r="V78" s="32"/>
      <c r="W78" s="32"/>
      <c r="X78" s="32"/>
      <c r="Y78" s="32"/>
      <c r="Z78" s="32"/>
      <c r="AA78" s="30"/>
      <c r="AB78" s="30"/>
      <c r="AC78" s="30"/>
      <c r="AD78" s="30"/>
      <c r="AE78" s="30"/>
      <c r="AF78" s="30"/>
      <c r="AG78" s="30"/>
      <c r="AH78" s="30"/>
      <c r="AI78" s="30"/>
      <c r="AJ78" s="32"/>
      <c r="AK78" s="32"/>
      <c r="AL78" s="32"/>
      <c r="AM78" s="32"/>
      <c r="AN78" s="32"/>
      <c r="AO78" s="32"/>
      <c r="AP78" s="32"/>
      <c r="AQ78" s="32"/>
      <c r="AR78" s="32"/>
      <c r="AS78" s="32"/>
      <c r="AT78" s="32"/>
      <c r="AU78" s="32"/>
      <c r="AV78" s="32"/>
      <c r="AW78" s="32"/>
      <c r="AX78" s="32"/>
      <c r="AY78" s="32"/>
      <c r="AZ78" s="32"/>
    </row>
    <row r="79" spans="1:52" ht="14.25">
      <c r="A79" s="30"/>
      <c r="B79" s="30"/>
      <c r="C79" s="30"/>
      <c r="D79" s="30"/>
      <c r="E79" s="30"/>
      <c r="F79" s="30"/>
      <c r="G79" s="30"/>
      <c r="H79" s="30"/>
      <c r="I79" s="30"/>
      <c r="J79" s="32"/>
      <c r="K79" s="32"/>
      <c r="L79" s="32"/>
      <c r="M79" s="32"/>
      <c r="N79" s="32"/>
      <c r="O79" s="32"/>
      <c r="P79" s="32"/>
      <c r="Q79" s="32"/>
      <c r="R79" s="32"/>
      <c r="S79" s="32"/>
      <c r="T79" s="32"/>
      <c r="U79" s="32"/>
      <c r="V79" s="32"/>
      <c r="W79" s="32"/>
      <c r="X79" s="32"/>
      <c r="Y79" s="32"/>
      <c r="Z79" s="32"/>
      <c r="AA79" s="30"/>
      <c r="AB79" s="30"/>
      <c r="AC79" s="30"/>
      <c r="AD79" s="30"/>
      <c r="AE79" s="30"/>
      <c r="AF79" s="30"/>
      <c r="AG79" s="30"/>
      <c r="AH79" s="30"/>
      <c r="AI79" s="30"/>
      <c r="AJ79" s="32"/>
      <c r="AK79" s="32"/>
      <c r="AL79" s="32"/>
      <c r="AM79" s="32"/>
      <c r="AN79" s="32"/>
      <c r="AO79" s="32"/>
      <c r="AP79" s="32"/>
      <c r="AQ79" s="32"/>
      <c r="AR79" s="32"/>
      <c r="AS79" s="32"/>
      <c r="AT79" s="32"/>
      <c r="AU79" s="32"/>
      <c r="AV79" s="32"/>
      <c r="AW79" s="32"/>
      <c r="AX79" s="32"/>
      <c r="AY79" s="32"/>
      <c r="AZ79" s="32"/>
    </row>
    <row r="80" spans="1:52" ht="14.25">
      <c r="A80" s="30"/>
      <c r="B80" s="30"/>
      <c r="C80" s="30"/>
      <c r="D80" s="30"/>
      <c r="E80" s="30"/>
      <c r="F80" s="30"/>
      <c r="G80" s="30"/>
      <c r="H80" s="30"/>
      <c r="I80" s="30"/>
      <c r="J80" s="32"/>
      <c r="K80" s="32"/>
      <c r="L80" s="32"/>
      <c r="M80" s="32"/>
      <c r="N80" s="32"/>
      <c r="O80" s="32"/>
      <c r="P80" s="32"/>
      <c r="Q80" s="32"/>
      <c r="R80" s="32"/>
      <c r="S80" s="32"/>
      <c r="T80" s="32"/>
      <c r="U80" s="32"/>
      <c r="V80" s="32"/>
      <c r="W80" s="32"/>
      <c r="X80" s="32"/>
      <c r="Y80" s="32"/>
      <c r="Z80" s="32"/>
      <c r="AA80" s="30"/>
      <c r="AB80" s="30"/>
      <c r="AC80" s="30"/>
      <c r="AD80" s="30"/>
      <c r="AE80" s="30"/>
      <c r="AF80" s="30"/>
      <c r="AG80" s="30"/>
      <c r="AH80" s="30"/>
      <c r="AI80" s="30"/>
      <c r="AJ80" s="32"/>
      <c r="AK80" s="32"/>
      <c r="AL80" s="32"/>
      <c r="AM80" s="32"/>
      <c r="AN80" s="32"/>
      <c r="AO80" s="32"/>
      <c r="AP80" s="32"/>
      <c r="AQ80" s="32"/>
      <c r="AR80" s="32"/>
      <c r="AS80" s="32"/>
      <c r="AT80" s="32"/>
      <c r="AU80" s="32"/>
      <c r="AV80" s="32"/>
      <c r="AW80" s="32"/>
      <c r="AX80" s="32"/>
      <c r="AY80" s="32"/>
      <c r="AZ80" s="32"/>
    </row>
    <row r="81" spans="1:52" ht="14.25">
      <c r="A81" s="30"/>
      <c r="B81" s="30"/>
      <c r="C81" s="30"/>
      <c r="D81" s="30"/>
      <c r="E81" s="30"/>
      <c r="F81" s="30"/>
      <c r="G81" s="30"/>
      <c r="H81" s="30"/>
      <c r="I81" s="30"/>
      <c r="J81" s="32"/>
      <c r="K81" s="32"/>
      <c r="L81" s="32"/>
      <c r="M81" s="32"/>
      <c r="N81" s="32"/>
      <c r="O81" s="32"/>
      <c r="P81" s="32"/>
      <c r="Q81" s="32"/>
      <c r="R81" s="32"/>
      <c r="S81" s="32"/>
      <c r="T81" s="32"/>
      <c r="U81" s="32"/>
      <c r="V81" s="32"/>
      <c r="W81" s="32"/>
      <c r="X81" s="32"/>
      <c r="Y81" s="32"/>
      <c r="Z81" s="32"/>
      <c r="AA81" s="30"/>
      <c r="AB81" s="30"/>
      <c r="AC81" s="30"/>
      <c r="AD81" s="30"/>
      <c r="AE81" s="30"/>
      <c r="AF81" s="30"/>
      <c r="AG81" s="30"/>
      <c r="AH81" s="30"/>
      <c r="AI81" s="30"/>
      <c r="AJ81" s="32"/>
      <c r="AK81" s="32"/>
      <c r="AL81" s="32"/>
      <c r="AM81" s="32"/>
      <c r="AN81" s="32"/>
      <c r="AO81" s="32"/>
      <c r="AP81" s="32"/>
      <c r="AQ81" s="32"/>
      <c r="AR81" s="32"/>
      <c r="AS81" s="32"/>
      <c r="AT81" s="32"/>
      <c r="AU81" s="32"/>
      <c r="AV81" s="32"/>
      <c r="AW81" s="32"/>
      <c r="AX81" s="32"/>
      <c r="AY81" s="32"/>
      <c r="AZ81" s="32"/>
    </row>
    <row r="82" spans="1:52" ht="14.25">
      <c r="A82" s="30"/>
      <c r="B82" s="30"/>
      <c r="C82" s="30"/>
      <c r="D82" s="30"/>
      <c r="E82" s="30"/>
      <c r="F82" s="30"/>
      <c r="G82" s="30"/>
      <c r="H82" s="30"/>
      <c r="I82" s="30"/>
      <c r="J82" s="32"/>
      <c r="K82" s="32"/>
      <c r="L82" s="32"/>
      <c r="M82" s="32"/>
      <c r="N82" s="32"/>
      <c r="O82" s="32"/>
      <c r="P82" s="32"/>
      <c r="Q82" s="32"/>
      <c r="R82" s="32"/>
      <c r="S82" s="32"/>
      <c r="T82" s="32"/>
      <c r="U82" s="32"/>
      <c r="V82" s="32"/>
      <c r="W82" s="32"/>
      <c r="X82" s="32"/>
      <c r="Y82" s="32"/>
      <c r="Z82" s="32"/>
      <c r="AA82" s="30"/>
      <c r="AB82" s="30"/>
      <c r="AC82" s="30"/>
      <c r="AD82" s="30"/>
      <c r="AE82" s="30"/>
      <c r="AF82" s="30"/>
      <c r="AG82" s="30"/>
      <c r="AH82" s="30"/>
      <c r="AI82" s="30"/>
      <c r="AJ82" s="32"/>
      <c r="AK82" s="32"/>
      <c r="AL82" s="32"/>
      <c r="AM82" s="32"/>
      <c r="AN82" s="32"/>
      <c r="AO82" s="32"/>
      <c r="AP82" s="32"/>
      <c r="AQ82" s="32"/>
      <c r="AR82" s="32"/>
      <c r="AS82" s="32"/>
      <c r="AT82" s="32"/>
      <c r="AU82" s="32"/>
      <c r="AV82" s="32"/>
      <c r="AW82" s="32"/>
      <c r="AX82" s="32"/>
      <c r="AY82" s="32"/>
      <c r="AZ82" s="32"/>
    </row>
    <row r="83" spans="1:52" ht="14.25">
      <c r="A83" s="30"/>
      <c r="B83" s="30"/>
      <c r="C83" s="30"/>
      <c r="D83" s="30"/>
      <c r="E83" s="30"/>
      <c r="F83" s="30"/>
      <c r="G83" s="30"/>
      <c r="H83" s="30"/>
      <c r="I83" s="30"/>
      <c r="J83" s="32"/>
      <c r="K83" s="32"/>
      <c r="L83" s="32"/>
      <c r="M83" s="32"/>
      <c r="N83" s="32"/>
      <c r="O83" s="32"/>
      <c r="P83" s="32"/>
      <c r="Q83" s="32"/>
      <c r="R83" s="32"/>
      <c r="S83" s="32"/>
      <c r="T83" s="32"/>
      <c r="U83" s="32"/>
      <c r="V83" s="32"/>
      <c r="W83" s="32"/>
      <c r="X83" s="32"/>
      <c r="Y83" s="32"/>
      <c r="Z83" s="32"/>
      <c r="AA83" s="30"/>
      <c r="AB83" s="30"/>
      <c r="AC83" s="30"/>
      <c r="AD83" s="30"/>
      <c r="AE83" s="30"/>
      <c r="AF83" s="30"/>
      <c r="AG83" s="30"/>
      <c r="AH83" s="30"/>
      <c r="AI83" s="30"/>
      <c r="AJ83" s="32"/>
      <c r="AK83" s="32"/>
      <c r="AL83" s="32"/>
      <c r="AM83" s="32"/>
      <c r="AN83" s="32"/>
      <c r="AO83" s="32"/>
      <c r="AP83" s="32"/>
      <c r="AQ83" s="32"/>
      <c r="AR83" s="32"/>
      <c r="AS83" s="32"/>
      <c r="AT83" s="32"/>
      <c r="AU83" s="32"/>
      <c r="AV83" s="32"/>
      <c r="AW83" s="32"/>
      <c r="AX83" s="32"/>
      <c r="AY83" s="32"/>
      <c r="AZ83" s="32"/>
    </row>
    <row r="84" spans="1:52" ht="14.25">
      <c r="A84" s="30"/>
      <c r="B84" s="30"/>
      <c r="C84" s="30"/>
      <c r="D84" s="30"/>
      <c r="E84" s="30"/>
      <c r="F84" s="30"/>
      <c r="G84" s="30"/>
      <c r="H84" s="30"/>
      <c r="I84" s="30"/>
      <c r="J84" s="32"/>
      <c r="K84" s="32"/>
      <c r="L84" s="32"/>
      <c r="M84" s="32"/>
      <c r="N84" s="32"/>
      <c r="O84" s="32"/>
      <c r="P84" s="32"/>
      <c r="Q84" s="32"/>
      <c r="R84" s="32"/>
      <c r="S84" s="32"/>
      <c r="T84" s="32"/>
      <c r="U84" s="32"/>
      <c r="V84" s="32"/>
      <c r="W84" s="32"/>
      <c r="X84" s="32"/>
      <c r="Y84" s="32"/>
      <c r="Z84" s="32"/>
      <c r="AA84" s="30"/>
      <c r="AB84" s="30"/>
      <c r="AC84" s="30"/>
      <c r="AD84" s="30"/>
      <c r="AE84" s="30"/>
      <c r="AF84" s="30"/>
      <c r="AG84" s="30"/>
      <c r="AH84" s="30"/>
      <c r="AI84" s="30"/>
      <c r="AJ84" s="32"/>
      <c r="AK84" s="32"/>
      <c r="AL84" s="32"/>
      <c r="AM84" s="32"/>
      <c r="AN84" s="32"/>
      <c r="AO84" s="32"/>
      <c r="AP84" s="32"/>
      <c r="AQ84" s="32"/>
      <c r="AR84" s="32"/>
      <c r="AS84" s="32"/>
      <c r="AT84" s="32"/>
      <c r="AU84" s="32"/>
      <c r="AV84" s="32"/>
      <c r="AW84" s="32"/>
      <c r="AX84" s="32"/>
      <c r="AY84" s="32"/>
      <c r="AZ84" s="32"/>
    </row>
    <row r="85" spans="1:52" ht="14.25">
      <c r="A85" s="30"/>
      <c r="B85" s="30"/>
      <c r="C85" s="30"/>
      <c r="D85" s="30"/>
      <c r="E85" s="30"/>
      <c r="F85" s="30"/>
      <c r="G85" s="30"/>
      <c r="H85" s="30"/>
      <c r="I85" s="30"/>
      <c r="J85" s="32"/>
      <c r="K85" s="32"/>
      <c r="L85" s="32"/>
      <c r="M85" s="32"/>
      <c r="N85" s="32"/>
      <c r="O85" s="32"/>
      <c r="P85" s="32"/>
      <c r="Q85" s="32"/>
      <c r="R85" s="32"/>
      <c r="S85" s="32"/>
      <c r="T85" s="32"/>
      <c r="U85" s="32"/>
      <c r="V85" s="32"/>
      <c r="W85" s="32"/>
      <c r="X85" s="32"/>
      <c r="Y85" s="32"/>
      <c r="Z85" s="32"/>
      <c r="AA85" s="30"/>
      <c r="AB85" s="30"/>
      <c r="AC85" s="30"/>
      <c r="AD85" s="30"/>
      <c r="AE85" s="30"/>
      <c r="AF85" s="30"/>
      <c r="AG85" s="30"/>
      <c r="AH85" s="30"/>
      <c r="AI85" s="30"/>
      <c r="AJ85" s="32"/>
      <c r="AK85" s="32"/>
      <c r="AL85" s="32"/>
      <c r="AM85" s="32"/>
      <c r="AN85" s="32"/>
      <c r="AO85" s="32"/>
      <c r="AP85" s="32"/>
      <c r="AQ85" s="32"/>
      <c r="AR85" s="32"/>
      <c r="AS85" s="32"/>
      <c r="AT85" s="32"/>
      <c r="AU85" s="32"/>
      <c r="AV85" s="32"/>
      <c r="AW85" s="32"/>
      <c r="AX85" s="32"/>
      <c r="AY85" s="32"/>
      <c r="AZ85" s="32"/>
    </row>
    <row r="86" spans="1:52" ht="14.25">
      <c r="A86" s="30"/>
      <c r="B86" s="30"/>
      <c r="C86" s="30"/>
      <c r="D86" s="30"/>
      <c r="E86" s="30"/>
      <c r="F86" s="30"/>
      <c r="G86" s="30"/>
      <c r="H86" s="30"/>
      <c r="I86" s="30"/>
      <c r="J86" s="32"/>
      <c r="K86" s="32"/>
      <c r="L86" s="32"/>
      <c r="M86" s="32"/>
      <c r="N86" s="32"/>
      <c r="O86" s="32"/>
      <c r="P86" s="32"/>
      <c r="Q86" s="32"/>
      <c r="R86" s="32"/>
      <c r="S86" s="32"/>
      <c r="T86" s="32"/>
      <c r="U86" s="32"/>
      <c r="V86" s="32"/>
      <c r="W86" s="32"/>
      <c r="X86" s="32"/>
      <c r="Y86" s="32"/>
      <c r="Z86" s="32"/>
      <c r="AA86" s="30"/>
      <c r="AB86" s="30"/>
      <c r="AC86" s="30"/>
      <c r="AD86" s="30"/>
      <c r="AE86" s="30"/>
      <c r="AF86" s="30"/>
      <c r="AG86" s="30"/>
      <c r="AH86" s="30"/>
      <c r="AI86" s="30"/>
      <c r="AJ86" s="32"/>
      <c r="AK86" s="32"/>
      <c r="AL86" s="32"/>
      <c r="AM86" s="32"/>
      <c r="AN86" s="32"/>
      <c r="AO86" s="32"/>
      <c r="AP86" s="32"/>
      <c r="AQ86" s="32"/>
      <c r="AR86" s="32"/>
      <c r="AS86" s="32"/>
      <c r="AT86" s="32"/>
      <c r="AU86" s="32"/>
      <c r="AV86" s="32"/>
      <c r="AW86" s="32"/>
      <c r="AX86" s="32"/>
      <c r="AY86" s="32"/>
      <c r="AZ86" s="32"/>
    </row>
    <row r="87" spans="1:52" ht="14.25">
      <c r="A87" s="30"/>
      <c r="B87" s="30"/>
      <c r="C87" s="30"/>
      <c r="D87" s="30"/>
      <c r="E87" s="30"/>
      <c r="F87" s="30"/>
      <c r="G87" s="30"/>
      <c r="H87" s="30"/>
      <c r="I87" s="30"/>
      <c r="J87" s="32"/>
      <c r="K87" s="32"/>
      <c r="L87" s="32"/>
      <c r="M87" s="32"/>
      <c r="N87" s="32"/>
      <c r="O87" s="32"/>
      <c r="P87" s="32"/>
      <c r="Q87" s="32"/>
      <c r="R87" s="32"/>
      <c r="S87" s="32"/>
      <c r="T87" s="32"/>
      <c r="U87" s="32"/>
      <c r="V87" s="32"/>
      <c r="W87" s="32"/>
      <c r="X87" s="32"/>
      <c r="Y87" s="32"/>
      <c r="Z87" s="32"/>
      <c r="AA87" s="30"/>
      <c r="AB87" s="30"/>
      <c r="AC87" s="30"/>
      <c r="AD87" s="30"/>
      <c r="AE87" s="30"/>
      <c r="AF87" s="30"/>
      <c r="AG87" s="30"/>
      <c r="AH87" s="30"/>
      <c r="AI87" s="30"/>
      <c r="AJ87" s="32"/>
      <c r="AK87" s="32"/>
      <c r="AL87" s="32"/>
      <c r="AM87" s="32"/>
      <c r="AN87" s="32"/>
      <c r="AO87" s="32"/>
      <c r="AP87" s="32"/>
      <c r="AQ87" s="32"/>
      <c r="AR87" s="32"/>
      <c r="AS87" s="32"/>
      <c r="AT87" s="32"/>
      <c r="AU87" s="32"/>
      <c r="AV87" s="32"/>
      <c r="AW87" s="32"/>
      <c r="AX87" s="32"/>
      <c r="AY87" s="32"/>
      <c r="AZ87" s="32"/>
    </row>
    <row r="88" spans="1:52" ht="14.25">
      <c r="A88" s="30"/>
      <c r="B88" s="30"/>
      <c r="C88" s="30"/>
      <c r="D88" s="30"/>
      <c r="E88" s="30"/>
      <c r="F88" s="30"/>
      <c r="G88" s="30"/>
      <c r="H88" s="30"/>
      <c r="I88" s="30"/>
      <c r="J88" s="32"/>
      <c r="K88" s="32"/>
      <c r="L88" s="32"/>
      <c r="M88" s="32"/>
      <c r="N88" s="32"/>
      <c r="O88" s="32"/>
      <c r="P88" s="32"/>
      <c r="Q88" s="32"/>
      <c r="R88" s="32"/>
      <c r="S88" s="32"/>
      <c r="T88" s="32"/>
      <c r="U88" s="32"/>
      <c r="V88" s="32"/>
      <c r="W88" s="32"/>
      <c r="X88" s="32"/>
      <c r="Y88" s="32"/>
      <c r="Z88" s="32"/>
      <c r="AA88" s="30"/>
      <c r="AB88" s="30"/>
      <c r="AC88" s="30"/>
      <c r="AD88" s="30"/>
      <c r="AE88" s="30"/>
      <c r="AF88" s="30"/>
      <c r="AG88" s="30"/>
      <c r="AH88" s="30"/>
      <c r="AI88" s="30"/>
      <c r="AJ88" s="32"/>
      <c r="AK88" s="32"/>
      <c r="AL88" s="32"/>
      <c r="AM88" s="32"/>
      <c r="AN88" s="32"/>
      <c r="AO88" s="32"/>
      <c r="AP88" s="32"/>
      <c r="AQ88" s="32"/>
      <c r="AR88" s="32"/>
      <c r="AS88" s="32"/>
      <c r="AT88" s="32"/>
      <c r="AU88" s="32"/>
      <c r="AV88" s="32"/>
      <c r="AW88" s="32"/>
      <c r="AX88" s="32"/>
      <c r="AY88" s="32"/>
      <c r="AZ88" s="32"/>
    </row>
    <row r="89" spans="1:52" ht="14.25">
      <c r="A89" s="30"/>
      <c r="B89" s="30"/>
      <c r="C89" s="30"/>
      <c r="D89" s="30"/>
      <c r="E89" s="30"/>
      <c r="F89" s="30"/>
      <c r="G89" s="30"/>
      <c r="H89" s="30"/>
      <c r="I89" s="30"/>
      <c r="J89" s="32"/>
      <c r="K89" s="32"/>
      <c r="L89" s="32"/>
      <c r="M89" s="32"/>
      <c r="N89" s="32"/>
      <c r="O89" s="32"/>
      <c r="P89" s="32"/>
      <c r="Q89" s="32"/>
      <c r="R89" s="32"/>
      <c r="S89" s="32"/>
      <c r="T89" s="32"/>
      <c r="U89" s="32"/>
      <c r="V89" s="32"/>
      <c r="W89" s="32"/>
      <c r="X89" s="32"/>
      <c r="Y89" s="32"/>
      <c r="Z89" s="32"/>
      <c r="AA89" s="30"/>
      <c r="AB89" s="30"/>
      <c r="AC89" s="30"/>
      <c r="AD89" s="30"/>
      <c r="AE89" s="30"/>
      <c r="AF89" s="30"/>
      <c r="AG89" s="30"/>
      <c r="AH89" s="30"/>
      <c r="AI89" s="30"/>
      <c r="AJ89" s="32"/>
      <c r="AK89" s="32"/>
      <c r="AL89" s="32"/>
      <c r="AM89" s="32"/>
      <c r="AN89" s="32"/>
      <c r="AO89" s="32"/>
      <c r="AP89" s="32"/>
      <c r="AQ89" s="32"/>
      <c r="AR89" s="32"/>
      <c r="AS89" s="32"/>
      <c r="AT89" s="32"/>
      <c r="AU89" s="32"/>
      <c r="AV89" s="32"/>
      <c r="AW89" s="32"/>
      <c r="AX89" s="32"/>
      <c r="AY89" s="32"/>
      <c r="AZ89" s="32"/>
    </row>
    <row r="90" spans="1:52" ht="14.25">
      <c r="A90" s="30"/>
      <c r="B90" s="30"/>
      <c r="C90" s="30"/>
      <c r="D90" s="30"/>
      <c r="E90" s="30"/>
      <c r="F90" s="30"/>
      <c r="G90" s="30"/>
      <c r="H90" s="30"/>
      <c r="I90" s="30"/>
      <c r="J90" s="32"/>
      <c r="K90" s="32"/>
      <c r="L90" s="32"/>
      <c r="M90" s="32"/>
      <c r="N90" s="32"/>
      <c r="O90" s="32"/>
      <c r="P90" s="32"/>
      <c r="Q90" s="32"/>
      <c r="R90" s="32"/>
      <c r="S90" s="32"/>
      <c r="T90" s="32"/>
      <c r="U90" s="32"/>
      <c r="V90" s="32"/>
      <c r="W90" s="32"/>
      <c r="X90" s="32"/>
      <c r="Y90" s="32"/>
      <c r="Z90" s="32"/>
      <c r="AA90" s="30"/>
      <c r="AB90" s="30"/>
      <c r="AC90" s="30"/>
      <c r="AD90" s="30"/>
      <c r="AE90" s="30"/>
      <c r="AF90" s="30"/>
      <c r="AG90" s="30"/>
      <c r="AH90" s="30"/>
      <c r="AI90" s="30"/>
      <c r="AJ90" s="32"/>
      <c r="AK90" s="32"/>
      <c r="AL90" s="32"/>
      <c r="AM90" s="32"/>
      <c r="AN90" s="32"/>
      <c r="AO90" s="32"/>
      <c r="AP90" s="32"/>
      <c r="AQ90" s="32"/>
      <c r="AR90" s="32"/>
      <c r="AS90" s="32"/>
      <c r="AT90" s="32"/>
      <c r="AU90" s="32"/>
      <c r="AV90" s="32"/>
      <c r="AW90" s="32"/>
      <c r="AX90" s="32"/>
      <c r="AY90" s="32"/>
      <c r="AZ90" s="32"/>
    </row>
    <row r="91" spans="1:52" ht="14.25">
      <c r="A91" s="30"/>
      <c r="B91" s="30"/>
      <c r="C91" s="30"/>
      <c r="D91" s="30"/>
      <c r="E91" s="30"/>
      <c r="F91" s="30"/>
      <c r="G91" s="30"/>
      <c r="H91" s="30"/>
      <c r="I91" s="30"/>
      <c r="J91" s="32"/>
      <c r="K91" s="32"/>
      <c r="L91" s="32"/>
      <c r="M91" s="32"/>
      <c r="N91" s="32"/>
      <c r="O91" s="32"/>
      <c r="P91" s="32"/>
      <c r="Q91" s="32"/>
      <c r="R91" s="32"/>
      <c r="S91" s="32"/>
      <c r="T91" s="32"/>
      <c r="U91" s="32"/>
      <c r="V91" s="32"/>
      <c r="W91" s="32"/>
      <c r="X91" s="32"/>
      <c r="Y91" s="32"/>
      <c r="Z91" s="32"/>
      <c r="AA91" s="30"/>
      <c r="AB91" s="30"/>
      <c r="AC91" s="30"/>
      <c r="AD91" s="30"/>
      <c r="AE91" s="30"/>
      <c r="AF91" s="30"/>
      <c r="AG91" s="30"/>
      <c r="AH91" s="30"/>
      <c r="AI91" s="30"/>
      <c r="AJ91" s="32"/>
      <c r="AK91" s="32"/>
      <c r="AL91" s="32"/>
      <c r="AM91" s="32"/>
      <c r="AN91" s="32"/>
      <c r="AO91" s="32"/>
      <c r="AP91" s="32"/>
      <c r="AQ91" s="32"/>
      <c r="AR91" s="32"/>
      <c r="AS91" s="32"/>
      <c r="AT91" s="32"/>
      <c r="AU91" s="32"/>
      <c r="AV91" s="32"/>
      <c r="AW91" s="32"/>
      <c r="AX91" s="32"/>
      <c r="AY91" s="32"/>
      <c r="AZ91" s="32"/>
    </row>
    <row r="92" spans="1:52" ht="14.25">
      <c r="A92" s="30"/>
      <c r="B92" s="30"/>
      <c r="C92" s="30"/>
      <c r="D92" s="30"/>
      <c r="E92" s="30"/>
      <c r="F92" s="30"/>
      <c r="G92" s="30"/>
      <c r="H92" s="30"/>
      <c r="I92" s="30"/>
      <c r="J92" s="32"/>
      <c r="K92" s="32"/>
      <c r="L92" s="32"/>
      <c r="M92" s="32"/>
      <c r="N92" s="32"/>
      <c r="O92" s="32"/>
      <c r="P92" s="32"/>
      <c r="Q92" s="32"/>
      <c r="R92" s="32"/>
      <c r="S92" s="32"/>
      <c r="T92" s="32"/>
      <c r="U92" s="32"/>
      <c r="V92" s="32"/>
      <c r="W92" s="32"/>
      <c r="X92" s="32"/>
      <c r="Y92" s="32"/>
      <c r="Z92" s="32"/>
      <c r="AA92" s="30"/>
      <c r="AB92" s="30"/>
      <c r="AC92" s="30"/>
      <c r="AD92" s="30"/>
      <c r="AE92" s="30"/>
      <c r="AF92" s="30"/>
      <c r="AG92" s="30"/>
      <c r="AH92" s="30"/>
      <c r="AI92" s="30"/>
      <c r="AJ92" s="32"/>
      <c r="AK92" s="32"/>
      <c r="AL92" s="32"/>
      <c r="AM92" s="32"/>
      <c r="AN92" s="32"/>
      <c r="AO92" s="32"/>
      <c r="AP92" s="32"/>
      <c r="AQ92" s="32"/>
      <c r="AR92" s="32"/>
      <c r="AS92" s="32"/>
      <c r="AT92" s="32"/>
      <c r="AU92" s="32"/>
      <c r="AV92" s="32"/>
      <c r="AW92" s="32"/>
      <c r="AX92" s="32"/>
      <c r="AY92" s="32"/>
      <c r="AZ92" s="32"/>
    </row>
    <row r="93" spans="1:52" ht="14.25">
      <c r="A93" s="30"/>
      <c r="B93" s="30"/>
      <c r="C93" s="30"/>
      <c r="D93" s="30"/>
      <c r="E93" s="30"/>
      <c r="F93" s="30"/>
      <c r="G93" s="30"/>
      <c r="H93" s="30"/>
      <c r="I93" s="30"/>
      <c r="J93" s="32"/>
      <c r="K93" s="32"/>
      <c r="L93" s="32"/>
      <c r="M93" s="32"/>
      <c r="N93" s="32"/>
      <c r="O93" s="32"/>
      <c r="P93" s="32"/>
      <c r="Q93" s="32"/>
      <c r="R93" s="32"/>
      <c r="S93" s="32"/>
      <c r="T93" s="32"/>
      <c r="U93" s="32"/>
      <c r="V93" s="32"/>
      <c r="W93" s="32"/>
      <c r="X93" s="32"/>
      <c r="Y93" s="32"/>
      <c r="Z93" s="32"/>
      <c r="AA93" s="30"/>
      <c r="AB93" s="30"/>
      <c r="AC93" s="30"/>
      <c r="AD93" s="30"/>
      <c r="AE93" s="30"/>
      <c r="AF93" s="30"/>
      <c r="AG93" s="30"/>
      <c r="AH93" s="30"/>
      <c r="AI93" s="30"/>
      <c r="AJ93" s="32"/>
      <c r="AK93" s="32"/>
      <c r="AL93" s="32"/>
      <c r="AM93" s="32"/>
      <c r="AN93" s="32"/>
      <c r="AO93" s="32"/>
      <c r="AP93" s="32"/>
      <c r="AQ93" s="32"/>
      <c r="AR93" s="32"/>
      <c r="AS93" s="32"/>
      <c r="AT93" s="32"/>
      <c r="AU93" s="32"/>
      <c r="AV93" s="32"/>
      <c r="AW93" s="32"/>
      <c r="AX93" s="32"/>
      <c r="AY93" s="32"/>
      <c r="AZ93" s="32"/>
    </row>
    <row r="94" spans="1:52" ht="14.25">
      <c r="A94" s="30"/>
      <c r="B94" s="30"/>
      <c r="C94" s="30"/>
      <c r="D94" s="30"/>
      <c r="E94" s="30"/>
      <c r="F94" s="30"/>
      <c r="G94" s="30"/>
      <c r="H94" s="30"/>
      <c r="I94" s="30"/>
      <c r="J94" s="32"/>
      <c r="K94" s="32"/>
      <c r="L94" s="32"/>
      <c r="M94" s="32"/>
      <c r="N94" s="32"/>
      <c r="O94" s="32"/>
      <c r="P94" s="32"/>
      <c r="Q94" s="32"/>
      <c r="R94" s="32"/>
      <c r="S94" s="32"/>
      <c r="T94" s="32"/>
      <c r="U94" s="32"/>
      <c r="V94" s="32"/>
      <c r="W94" s="32"/>
      <c r="X94" s="32"/>
      <c r="Y94" s="32"/>
      <c r="Z94" s="32"/>
      <c r="AA94" s="30"/>
      <c r="AB94" s="30"/>
      <c r="AC94" s="30"/>
      <c r="AD94" s="30"/>
      <c r="AE94" s="30"/>
      <c r="AF94" s="30"/>
      <c r="AG94" s="30"/>
      <c r="AH94" s="30"/>
      <c r="AI94" s="30"/>
      <c r="AJ94" s="32"/>
      <c r="AK94" s="32"/>
      <c r="AL94" s="32"/>
      <c r="AM94" s="32"/>
      <c r="AN94" s="32"/>
      <c r="AO94" s="32"/>
      <c r="AP94" s="32"/>
      <c r="AQ94" s="32"/>
      <c r="AR94" s="32"/>
      <c r="AS94" s="32"/>
      <c r="AT94" s="32"/>
      <c r="AU94" s="32"/>
      <c r="AV94" s="32"/>
      <c r="AW94" s="32"/>
      <c r="AX94" s="32"/>
      <c r="AY94" s="32"/>
      <c r="AZ94" s="32"/>
    </row>
    <row r="95" spans="1:52" ht="14.25">
      <c r="A95" s="30"/>
      <c r="B95" s="30"/>
      <c r="C95" s="30"/>
      <c r="D95" s="30"/>
      <c r="E95" s="30"/>
      <c r="F95" s="30"/>
      <c r="G95" s="30"/>
      <c r="H95" s="30"/>
      <c r="I95" s="30"/>
      <c r="J95" s="32"/>
      <c r="K95" s="32"/>
      <c r="L95" s="32"/>
      <c r="M95" s="32"/>
      <c r="N95" s="32"/>
      <c r="O95" s="32"/>
      <c r="P95" s="32"/>
      <c r="Q95" s="32"/>
      <c r="R95" s="32"/>
      <c r="S95" s="32"/>
      <c r="T95" s="32"/>
      <c r="U95" s="32"/>
      <c r="V95" s="32"/>
      <c r="W95" s="32"/>
      <c r="X95" s="32"/>
      <c r="Y95" s="32"/>
      <c r="Z95" s="32"/>
      <c r="AA95" s="30"/>
      <c r="AB95" s="30"/>
      <c r="AC95" s="30"/>
      <c r="AD95" s="30"/>
      <c r="AE95" s="30"/>
      <c r="AF95" s="30"/>
      <c r="AG95" s="30"/>
      <c r="AH95" s="30"/>
      <c r="AI95" s="30"/>
      <c r="AJ95" s="32"/>
      <c r="AK95" s="32"/>
      <c r="AL95" s="32"/>
      <c r="AM95" s="32"/>
      <c r="AN95" s="32"/>
      <c r="AO95" s="32"/>
      <c r="AP95" s="32"/>
      <c r="AQ95" s="32"/>
      <c r="AR95" s="32"/>
      <c r="AS95" s="32"/>
      <c r="AT95" s="32"/>
      <c r="AU95" s="32"/>
      <c r="AV95" s="32"/>
      <c r="AW95" s="32"/>
      <c r="AX95" s="32"/>
      <c r="AY95" s="32"/>
      <c r="AZ95" s="32"/>
    </row>
    <row r="96" spans="1:52" ht="14.25">
      <c r="A96" s="30"/>
      <c r="B96" s="30"/>
      <c r="C96" s="30"/>
      <c r="D96" s="30"/>
      <c r="E96" s="30"/>
      <c r="F96" s="30"/>
      <c r="G96" s="30"/>
      <c r="H96" s="30"/>
      <c r="I96" s="30"/>
      <c r="J96" s="32"/>
      <c r="K96" s="32"/>
      <c r="L96" s="32"/>
      <c r="M96" s="32"/>
      <c r="N96" s="32"/>
      <c r="O96" s="32"/>
      <c r="P96" s="32"/>
      <c r="Q96" s="32"/>
      <c r="R96" s="32"/>
      <c r="S96" s="32"/>
      <c r="T96" s="32"/>
      <c r="U96" s="32"/>
      <c r="V96" s="32"/>
      <c r="W96" s="32"/>
      <c r="X96" s="32"/>
      <c r="Y96" s="32"/>
      <c r="Z96" s="32"/>
      <c r="AA96" s="30"/>
      <c r="AB96" s="30"/>
      <c r="AC96" s="30"/>
      <c r="AD96" s="30"/>
      <c r="AE96" s="30"/>
      <c r="AF96" s="30"/>
      <c r="AG96" s="30"/>
      <c r="AH96" s="30"/>
      <c r="AI96" s="30"/>
      <c r="AJ96" s="32"/>
      <c r="AK96" s="32"/>
      <c r="AL96" s="32"/>
      <c r="AM96" s="32"/>
      <c r="AN96" s="32"/>
      <c r="AO96" s="32"/>
      <c r="AP96" s="32"/>
      <c r="AQ96" s="32"/>
      <c r="AR96" s="32"/>
      <c r="AS96" s="32"/>
      <c r="AT96" s="32"/>
      <c r="AU96" s="32"/>
      <c r="AV96" s="32"/>
      <c r="AW96" s="32"/>
      <c r="AX96" s="32"/>
      <c r="AY96" s="32"/>
      <c r="AZ96" s="32"/>
    </row>
    <row r="97" spans="1:52" ht="14.25">
      <c r="A97" s="30"/>
      <c r="B97" s="30"/>
      <c r="C97" s="30"/>
      <c r="D97" s="30"/>
      <c r="E97" s="30"/>
      <c r="F97" s="30"/>
      <c r="G97" s="30"/>
      <c r="H97" s="30"/>
      <c r="I97" s="30"/>
      <c r="J97" s="32"/>
      <c r="K97" s="32"/>
      <c r="L97" s="32"/>
      <c r="M97" s="32"/>
      <c r="N97" s="32"/>
      <c r="O97" s="32"/>
      <c r="P97" s="32"/>
      <c r="Q97" s="32"/>
      <c r="R97" s="32"/>
      <c r="S97" s="32"/>
      <c r="T97" s="32"/>
      <c r="U97" s="32"/>
      <c r="V97" s="32"/>
      <c r="W97" s="32"/>
      <c r="X97" s="32"/>
      <c r="Y97" s="32"/>
      <c r="Z97" s="32"/>
      <c r="AA97" s="30"/>
      <c r="AB97" s="30"/>
      <c r="AC97" s="30"/>
      <c r="AD97" s="30"/>
      <c r="AE97" s="30"/>
      <c r="AF97" s="30"/>
      <c r="AG97" s="30"/>
      <c r="AH97" s="30"/>
      <c r="AI97" s="30"/>
      <c r="AJ97" s="32"/>
      <c r="AK97" s="32"/>
      <c r="AL97" s="32"/>
      <c r="AM97" s="32"/>
      <c r="AN97" s="32"/>
      <c r="AO97" s="32"/>
      <c r="AP97" s="32"/>
      <c r="AQ97" s="32"/>
      <c r="AR97" s="32"/>
      <c r="AS97" s="32"/>
      <c r="AT97" s="32"/>
      <c r="AU97" s="32"/>
      <c r="AV97" s="32"/>
      <c r="AW97" s="32"/>
      <c r="AX97" s="32"/>
      <c r="AY97" s="32"/>
      <c r="AZ97" s="32"/>
    </row>
    <row r="98" spans="1:52" ht="14.25">
      <c r="A98" s="30"/>
      <c r="B98" s="30"/>
      <c r="C98" s="30"/>
      <c r="D98" s="30"/>
      <c r="E98" s="30"/>
      <c r="F98" s="30"/>
      <c r="G98" s="30"/>
      <c r="H98" s="30"/>
      <c r="I98" s="30"/>
      <c r="J98" s="32"/>
      <c r="K98" s="32"/>
      <c r="L98" s="32"/>
      <c r="M98" s="32"/>
      <c r="N98" s="32"/>
      <c r="O98" s="32"/>
      <c r="P98" s="32"/>
      <c r="Q98" s="32"/>
      <c r="R98" s="32"/>
      <c r="S98" s="32"/>
      <c r="T98" s="32"/>
      <c r="U98" s="32"/>
      <c r="V98" s="32"/>
      <c r="W98" s="32"/>
      <c r="X98" s="32"/>
      <c r="Y98" s="32"/>
      <c r="Z98" s="32"/>
      <c r="AA98" s="30"/>
      <c r="AB98" s="30"/>
      <c r="AC98" s="30"/>
      <c r="AD98" s="30"/>
      <c r="AE98" s="30"/>
      <c r="AF98" s="30"/>
      <c r="AG98" s="30"/>
      <c r="AH98" s="30"/>
      <c r="AI98" s="30"/>
      <c r="AJ98" s="32"/>
      <c r="AK98" s="32"/>
      <c r="AL98" s="32"/>
      <c r="AM98" s="32"/>
      <c r="AN98" s="32"/>
      <c r="AO98" s="32"/>
      <c r="AP98" s="32"/>
      <c r="AQ98" s="32"/>
      <c r="AR98" s="32"/>
      <c r="AS98" s="32"/>
      <c r="AT98" s="32"/>
      <c r="AU98" s="32"/>
      <c r="AV98" s="32"/>
      <c r="AW98" s="32"/>
      <c r="AX98" s="32"/>
      <c r="AY98" s="32"/>
      <c r="AZ98" s="32"/>
    </row>
    <row r="99" spans="1:52" ht="14.25">
      <c r="A99" s="30"/>
      <c r="B99" s="30"/>
      <c r="C99" s="30"/>
      <c r="D99" s="30"/>
      <c r="E99" s="30"/>
      <c r="F99" s="30"/>
      <c r="G99" s="30"/>
      <c r="H99" s="30"/>
      <c r="I99" s="30"/>
      <c r="J99" s="32"/>
      <c r="K99" s="32"/>
      <c r="L99" s="32"/>
      <c r="M99" s="32"/>
      <c r="N99" s="32"/>
      <c r="O99" s="32"/>
      <c r="P99" s="32"/>
      <c r="Q99" s="32"/>
      <c r="R99" s="32"/>
      <c r="S99" s="32"/>
      <c r="T99" s="32"/>
      <c r="U99" s="32"/>
      <c r="V99" s="32"/>
      <c r="W99" s="32"/>
      <c r="X99" s="32"/>
      <c r="Y99" s="32"/>
      <c r="Z99" s="32"/>
      <c r="AA99" s="30"/>
      <c r="AB99" s="30"/>
      <c r="AC99" s="30"/>
      <c r="AD99" s="30"/>
      <c r="AE99" s="30"/>
      <c r="AF99" s="30"/>
      <c r="AG99" s="30"/>
      <c r="AH99" s="30"/>
      <c r="AI99" s="30"/>
      <c r="AJ99" s="32"/>
      <c r="AK99" s="32"/>
      <c r="AL99" s="32"/>
      <c r="AM99" s="32"/>
      <c r="AN99" s="32"/>
      <c r="AO99" s="32"/>
      <c r="AP99" s="32"/>
      <c r="AQ99" s="32"/>
      <c r="AR99" s="32"/>
      <c r="AS99" s="32"/>
      <c r="AT99" s="32"/>
      <c r="AU99" s="32"/>
      <c r="AV99" s="32"/>
      <c r="AW99" s="32"/>
      <c r="AX99" s="32"/>
      <c r="AY99" s="32"/>
      <c r="AZ99" s="32"/>
    </row>
    <row r="100" spans="1:52" ht="14.25">
      <c r="A100" s="30"/>
      <c r="B100" s="30"/>
      <c r="C100" s="30"/>
      <c r="D100" s="30"/>
      <c r="E100" s="30"/>
      <c r="F100" s="30"/>
      <c r="G100" s="30"/>
      <c r="H100" s="30"/>
      <c r="I100" s="30"/>
      <c r="J100" s="32"/>
      <c r="K100" s="32"/>
      <c r="L100" s="32"/>
      <c r="M100" s="32"/>
      <c r="N100" s="32"/>
      <c r="O100" s="32"/>
      <c r="P100" s="32"/>
      <c r="Q100" s="32"/>
      <c r="R100" s="32"/>
      <c r="S100" s="32"/>
      <c r="T100" s="32"/>
      <c r="U100" s="32"/>
      <c r="V100" s="32"/>
      <c r="W100" s="32"/>
      <c r="X100" s="32"/>
      <c r="Y100" s="32"/>
      <c r="Z100" s="32"/>
      <c r="AA100" s="30"/>
      <c r="AB100" s="30"/>
      <c r="AC100" s="30"/>
      <c r="AD100" s="30"/>
      <c r="AE100" s="30"/>
      <c r="AF100" s="30"/>
      <c r="AG100" s="30"/>
      <c r="AH100" s="30"/>
      <c r="AI100" s="30"/>
      <c r="AJ100" s="32"/>
      <c r="AK100" s="32"/>
      <c r="AL100" s="32"/>
      <c r="AM100" s="32"/>
      <c r="AN100" s="32"/>
      <c r="AO100" s="32"/>
      <c r="AP100" s="32"/>
      <c r="AQ100" s="32"/>
      <c r="AR100" s="32"/>
      <c r="AS100" s="32"/>
      <c r="AT100" s="32"/>
      <c r="AU100" s="32"/>
      <c r="AV100" s="32"/>
      <c r="AW100" s="32"/>
      <c r="AX100" s="32"/>
      <c r="AY100" s="32"/>
      <c r="AZ100" s="32"/>
    </row>
    <row r="101" spans="1:52" ht="14.25">
      <c r="A101" s="30"/>
      <c r="B101" s="30"/>
      <c r="C101" s="30"/>
      <c r="D101" s="30"/>
      <c r="E101" s="30"/>
      <c r="F101" s="30"/>
      <c r="G101" s="30"/>
      <c r="H101" s="30"/>
      <c r="I101" s="30"/>
      <c r="J101" s="32"/>
      <c r="K101" s="32"/>
      <c r="L101" s="32"/>
      <c r="M101" s="32"/>
      <c r="N101" s="32"/>
      <c r="O101" s="32"/>
      <c r="P101" s="32"/>
      <c r="Q101" s="32"/>
      <c r="R101" s="32"/>
      <c r="S101" s="32"/>
      <c r="T101" s="32"/>
      <c r="U101" s="32"/>
      <c r="V101" s="32"/>
      <c r="W101" s="32"/>
      <c r="X101" s="32"/>
      <c r="Y101" s="32"/>
      <c r="Z101" s="32"/>
      <c r="AA101" s="30"/>
      <c r="AB101" s="30"/>
      <c r="AC101" s="30"/>
      <c r="AD101" s="30"/>
      <c r="AE101" s="30"/>
      <c r="AF101" s="30"/>
      <c r="AG101" s="30"/>
      <c r="AH101" s="30"/>
      <c r="AI101" s="30"/>
      <c r="AJ101" s="32"/>
      <c r="AK101" s="32"/>
      <c r="AL101" s="32"/>
      <c r="AM101" s="32"/>
      <c r="AN101" s="32"/>
      <c r="AO101" s="32"/>
      <c r="AP101" s="32"/>
      <c r="AQ101" s="32"/>
      <c r="AR101" s="32"/>
      <c r="AS101" s="32"/>
      <c r="AT101" s="32"/>
      <c r="AU101" s="32"/>
      <c r="AV101" s="32"/>
      <c r="AW101" s="32"/>
      <c r="AX101" s="32"/>
      <c r="AY101" s="32"/>
      <c r="AZ101" s="32"/>
    </row>
    <row r="102" spans="1:52" ht="14.25">
      <c r="A102" s="30"/>
      <c r="B102" s="30"/>
      <c r="C102" s="30"/>
      <c r="D102" s="30"/>
      <c r="E102" s="30"/>
      <c r="F102" s="30"/>
      <c r="G102" s="30"/>
      <c r="H102" s="30"/>
      <c r="I102" s="30"/>
      <c r="J102" s="32"/>
      <c r="K102" s="32"/>
      <c r="L102" s="32"/>
      <c r="M102" s="32"/>
      <c r="N102" s="32"/>
      <c r="O102" s="32"/>
      <c r="P102" s="32"/>
      <c r="Q102" s="32"/>
      <c r="R102" s="32"/>
      <c r="S102" s="32"/>
      <c r="T102" s="32"/>
      <c r="U102" s="32"/>
      <c r="V102" s="32"/>
      <c r="W102" s="32"/>
      <c r="X102" s="32"/>
      <c r="Y102" s="32"/>
      <c r="Z102" s="32"/>
      <c r="AA102" s="30"/>
      <c r="AB102" s="30"/>
      <c r="AC102" s="30"/>
      <c r="AD102" s="30"/>
      <c r="AE102" s="30"/>
      <c r="AF102" s="30"/>
      <c r="AG102" s="30"/>
      <c r="AH102" s="30"/>
      <c r="AI102" s="30"/>
      <c r="AJ102" s="32"/>
      <c r="AK102" s="32"/>
      <c r="AL102" s="32"/>
      <c r="AM102" s="32"/>
      <c r="AN102" s="32"/>
      <c r="AO102" s="32"/>
      <c r="AP102" s="32"/>
      <c r="AQ102" s="32"/>
      <c r="AR102" s="32"/>
      <c r="AS102" s="32"/>
      <c r="AT102" s="32"/>
      <c r="AU102" s="32"/>
      <c r="AV102" s="32"/>
      <c r="AW102" s="32"/>
      <c r="AX102" s="32"/>
      <c r="AY102" s="32"/>
      <c r="AZ102" s="32"/>
    </row>
    <row r="103" spans="1:52" ht="14.25">
      <c r="A103" s="30"/>
      <c r="B103" s="30"/>
      <c r="C103" s="30"/>
      <c r="D103" s="30"/>
      <c r="E103" s="30"/>
      <c r="F103" s="30"/>
      <c r="G103" s="30"/>
      <c r="H103" s="30"/>
      <c r="I103" s="30"/>
      <c r="J103" s="32"/>
      <c r="K103" s="32"/>
      <c r="L103" s="32"/>
      <c r="M103" s="32"/>
      <c r="N103" s="32"/>
      <c r="O103" s="32"/>
      <c r="P103" s="32"/>
      <c r="Q103" s="32"/>
      <c r="R103" s="32"/>
      <c r="S103" s="32"/>
      <c r="T103" s="32"/>
      <c r="U103" s="32"/>
      <c r="V103" s="32"/>
      <c r="W103" s="32"/>
      <c r="X103" s="32"/>
      <c r="Y103" s="32"/>
      <c r="Z103" s="32"/>
      <c r="AA103" s="30"/>
      <c r="AB103" s="30"/>
      <c r="AC103" s="30"/>
      <c r="AD103" s="30"/>
      <c r="AE103" s="30"/>
      <c r="AF103" s="30"/>
      <c r="AG103" s="30"/>
      <c r="AH103" s="30"/>
      <c r="AI103" s="30"/>
      <c r="AJ103" s="32"/>
      <c r="AK103" s="32"/>
      <c r="AL103" s="32"/>
      <c r="AM103" s="32"/>
      <c r="AN103" s="32"/>
      <c r="AO103" s="32"/>
      <c r="AP103" s="32"/>
      <c r="AQ103" s="32"/>
      <c r="AR103" s="32"/>
      <c r="AS103" s="32"/>
      <c r="AT103" s="32"/>
      <c r="AU103" s="32"/>
      <c r="AV103" s="32"/>
      <c r="AW103" s="32"/>
      <c r="AX103" s="32"/>
      <c r="AY103" s="32"/>
      <c r="AZ103" s="32"/>
    </row>
    <row r="104" spans="1:52" ht="14.25">
      <c r="A104" s="30"/>
      <c r="B104" s="30"/>
      <c r="C104" s="30"/>
      <c r="D104" s="30"/>
      <c r="E104" s="30"/>
      <c r="F104" s="30"/>
      <c r="G104" s="30"/>
      <c r="H104" s="30"/>
      <c r="I104" s="30"/>
      <c r="J104" s="32"/>
      <c r="K104" s="32"/>
      <c r="L104" s="32"/>
      <c r="M104" s="32"/>
      <c r="N104" s="32"/>
      <c r="O104" s="32"/>
      <c r="P104" s="32"/>
      <c r="Q104" s="32"/>
      <c r="R104" s="32"/>
      <c r="S104" s="32"/>
      <c r="T104" s="32"/>
      <c r="U104" s="32"/>
      <c r="V104" s="32"/>
      <c r="W104" s="32"/>
      <c r="X104" s="32"/>
      <c r="Y104" s="32"/>
      <c r="Z104" s="32"/>
      <c r="AA104" s="30"/>
      <c r="AB104" s="30"/>
      <c r="AC104" s="30"/>
      <c r="AD104" s="30"/>
      <c r="AE104" s="30"/>
      <c r="AF104" s="30"/>
      <c r="AG104" s="30"/>
      <c r="AH104" s="30"/>
      <c r="AI104" s="30"/>
      <c r="AJ104" s="32"/>
      <c r="AK104" s="32"/>
      <c r="AL104" s="32"/>
      <c r="AM104" s="32"/>
      <c r="AN104" s="32"/>
      <c r="AO104" s="32"/>
      <c r="AP104" s="32"/>
      <c r="AQ104" s="32"/>
      <c r="AR104" s="32"/>
      <c r="AS104" s="32"/>
      <c r="AT104" s="32"/>
      <c r="AU104" s="32"/>
      <c r="AV104" s="32"/>
      <c r="AW104" s="32"/>
      <c r="AX104" s="32"/>
      <c r="AY104" s="32"/>
      <c r="AZ104" s="32"/>
    </row>
    <row r="105" spans="1:52" ht="14.25">
      <c r="A105" s="30"/>
      <c r="B105" s="30"/>
      <c r="C105" s="30"/>
      <c r="D105" s="30"/>
      <c r="E105" s="30"/>
      <c r="F105" s="30"/>
      <c r="G105" s="30"/>
      <c r="H105" s="30"/>
      <c r="I105" s="30"/>
      <c r="J105" s="32"/>
      <c r="K105" s="32"/>
      <c r="L105" s="32"/>
      <c r="M105" s="32"/>
      <c r="N105" s="32"/>
      <c r="O105" s="32"/>
      <c r="P105" s="32"/>
      <c r="Q105" s="32"/>
      <c r="R105" s="32"/>
      <c r="S105" s="32"/>
      <c r="T105" s="32"/>
      <c r="U105" s="32"/>
      <c r="V105" s="32"/>
      <c r="W105" s="32"/>
      <c r="X105" s="32"/>
      <c r="Y105" s="32"/>
      <c r="Z105" s="32"/>
      <c r="AA105" s="30"/>
      <c r="AB105" s="30"/>
      <c r="AC105" s="30"/>
      <c r="AD105" s="30"/>
      <c r="AE105" s="30"/>
      <c r="AF105" s="30"/>
      <c r="AG105" s="30"/>
      <c r="AH105" s="30"/>
      <c r="AI105" s="30"/>
      <c r="AJ105" s="32"/>
      <c r="AK105" s="32"/>
      <c r="AL105" s="32"/>
      <c r="AM105" s="32"/>
      <c r="AN105" s="32"/>
      <c r="AO105" s="32"/>
      <c r="AP105" s="32"/>
      <c r="AQ105" s="32"/>
      <c r="AR105" s="32"/>
      <c r="AS105" s="32"/>
      <c r="AT105" s="32"/>
      <c r="AU105" s="32"/>
      <c r="AV105" s="32"/>
      <c r="AW105" s="32"/>
      <c r="AX105" s="32"/>
      <c r="AY105" s="32"/>
      <c r="AZ105" s="32"/>
    </row>
    <row r="106" spans="1:52" ht="14.25">
      <c r="A106" s="30"/>
      <c r="B106" s="30"/>
      <c r="C106" s="30"/>
      <c r="D106" s="30"/>
      <c r="E106" s="30"/>
      <c r="F106" s="30"/>
      <c r="G106" s="30"/>
      <c r="H106" s="30"/>
      <c r="I106" s="30"/>
      <c r="J106" s="32"/>
      <c r="K106" s="32"/>
      <c r="L106" s="32"/>
      <c r="M106" s="32"/>
      <c r="N106" s="32"/>
      <c r="O106" s="32"/>
      <c r="P106" s="32"/>
      <c r="Q106" s="32"/>
      <c r="R106" s="32"/>
      <c r="S106" s="32"/>
      <c r="T106" s="32"/>
      <c r="U106" s="32"/>
      <c r="V106" s="32"/>
      <c r="W106" s="32"/>
      <c r="X106" s="32"/>
      <c r="Y106" s="32"/>
      <c r="Z106" s="32"/>
      <c r="AA106" s="30"/>
      <c r="AB106" s="30"/>
      <c r="AC106" s="30"/>
      <c r="AD106" s="30"/>
      <c r="AE106" s="30"/>
      <c r="AF106" s="30"/>
      <c r="AG106" s="30"/>
      <c r="AH106" s="30"/>
      <c r="AI106" s="30"/>
      <c r="AJ106" s="32"/>
      <c r="AK106" s="32"/>
      <c r="AL106" s="32"/>
      <c r="AM106" s="32"/>
      <c r="AN106" s="32"/>
      <c r="AO106" s="32"/>
      <c r="AP106" s="32"/>
      <c r="AQ106" s="32"/>
      <c r="AR106" s="32"/>
      <c r="AS106" s="32"/>
      <c r="AT106" s="32"/>
      <c r="AU106" s="32"/>
      <c r="AV106" s="32"/>
      <c r="AW106" s="32"/>
      <c r="AX106" s="32"/>
      <c r="AY106" s="32"/>
      <c r="AZ106" s="32"/>
    </row>
    <row r="107" spans="1:52" ht="14.25">
      <c r="A107" s="30"/>
      <c r="B107" s="30"/>
      <c r="C107" s="30"/>
      <c r="D107" s="30"/>
      <c r="E107" s="30"/>
      <c r="F107" s="30"/>
      <c r="G107" s="30"/>
      <c r="H107" s="30"/>
      <c r="I107" s="30"/>
      <c r="J107" s="32"/>
      <c r="K107" s="32"/>
      <c r="L107" s="32"/>
      <c r="M107" s="32"/>
      <c r="N107" s="32"/>
      <c r="O107" s="32"/>
      <c r="P107" s="32"/>
      <c r="Q107" s="32"/>
      <c r="R107" s="32"/>
      <c r="S107" s="32"/>
      <c r="T107" s="32"/>
      <c r="U107" s="32"/>
      <c r="V107" s="32"/>
      <c r="W107" s="32"/>
      <c r="X107" s="32"/>
      <c r="Y107" s="32"/>
      <c r="Z107" s="32"/>
      <c r="AA107" s="30"/>
      <c r="AB107" s="30"/>
      <c r="AC107" s="30"/>
      <c r="AD107" s="30"/>
      <c r="AE107" s="30"/>
      <c r="AF107" s="30"/>
      <c r="AG107" s="30"/>
      <c r="AH107" s="30"/>
      <c r="AI107" s="30"/>
      <c r="AJ107" s="32"/>
      <c r="AK107" s="32"/>
      <c r="AL107" s="32"/>
      <c r="AM107" s="32"/>
      <c r="AN107" s="32"/>
      <c r="AO107" s="32"/>
      <c r="AP107" s="32"/>
      <c r="AQ107" s="32"/>
      <c r="AR107" s="32"/>
      <c r="AS107" s="32"/>
      <c r="AT107" s="32"/>
      <c r="AU107" s="32"/>
      <c r="AV107" s="32"/>
      <c r="AW107" s="32"/>
      <c r="AX107" s="32"/>
      <c r="AY107" s="32"/>
      <c r="AZ107" s="32"/>
    </row>
    <row r="108" spans="1:52" ht="14.25">
      <c r="A108" s="30"/>
      <c r="B108" s="30"/>
      <c r="C108" s="30"/>
      <c r="D108" s="30"/>
      <c r="E108" s="30"/>
      <c r="F108" s="30"/>
      <c r="G108" s="30"/>
      <c r="H108" s="30"/>
      <c r="I108" s="30"/>
      <c r="J108" s="32"/>
      <c r="K108" s="32"/>
      <c r="L108" s="32"/>
      <c r="M108" s="32"/>
      <c r="N108" s="32"/>
      <c r="O108" s="32"/>
      <c r="P108" s="32"/>
      <c r="Q108" s="32"/>
      <c r="R108" s="32"/>
      <c r="S108" s="32"/>
      <c r="T108" s="32"/>
      <c r="U108" s="32"/>
      <c r="V108" s="32"/>
      <c r="W108" s="32"/>
      <c r="X108" s="32"/>
      <c r="Y108" s="32"/>
      <c r="Z108" s="32"/>
      <c r="AA108" s="30"/>
      <c r="AB108" s="30"/>
      <c r="AC108" s="30"/>
      <c r="AD108" s="30"/>
      <c r="AE108" s="30"/>
      <c r="AF108" s="30"/>
      <c r="AG108" s="30"/>
      <c r="AH108" s="30"/>
      <c r="AI108" s="30"/>
      <c r="AJ108" s="32"/>
      <c r="AK108" s="32"/>
      <c r="AL108" s="32"/>
      <c r="AM108" s="32"/>
      <c r="AN108" s="32"/>
      <c r="AO108" s="32"/>
      <c r="AP108" s="32"/>
      <c r="AQ108" s="32"/>
      <c r="AR108" s="32"/>
      <c r="AS108" s="32"/>
      <c r="AT108" s="32"/>
      <c r="AU108" s="32"/>
      <c r="AV108" s="32"/>
      <c r="AW108" s="32"/>
      <c r="AX108" s="32"/>
      <c r="AY108" s="32"/>
      <c r="AZ108" s="32"/>
    </row>
    <row r="109" spans="1:52" ht="14.25">
      <c r="A109" s="30"/>
      <c r="B109" s="30"/>
      <c r="C109" s="30"/>
      <c r="D109" s="30"/>
      <c r="E109" s="30"/>
      <c r="F109" s="30"/>
      <c r="G109" s="30"/>
      <c r="H109" s="30"/>
      <c r="I109" s="30"/>
      <c r="J109" s="32"/>
      <c r="K109" s="32"/>
      <c r="L109" s="32"/>
      <c r="M109" s="32"/>
      <c r="N109" s="32"/>
      <c r="O109" s="32"/>
      <c r="P109" s="32"/>
      <c r="Q109" s="32"/>
      <c r="R109" s="32"/>
      <c r="S109" s="32"/>
      <c r="T109" s="32"/>
      <c r="U109" s="32"/>
      <c r="V109" s="32"/>
      <c r="W109" s="32"/>
      <c r="X109" s="32"/>
      <c r="Y109" s="32"/>
      <c r="Z109" s="32"/>
      <c r="AA109" s="30"/>
      <c r="AB109" s="30"/>
      <c r="AC109" s="30"/>
      <c r="AD109" s="30"/>
      <c r="AE109" s="30"/>
      <c r="AF109" s="30"/>
      <c r="AG109" s="30"/>
      <c r="AH109" s="30"/>
      <c r="AI109" s="30"/>
      <c r="AJ109" s="32"/>
      <c r="AK109" s="32"/>
      <c r="AL109" s="32"/>
      <c r="AM109" s="32"/>
      <c r="AN109" s="32"/>
      <c r="AO109" s="32"/>
      <c r="AP109" s="32"/>
      <c r="AQ109" s="32"/>
      <c r="AR109" s="32"/>
      <c r="AS109" s="32"/>
      <c r="AT109" s="32"/>
      <c r="AU109" s="32"/>
      <c r="AV109" s="32"/>
      <c r="AW109" s="32"/>
      <c r="AX109" s="32"/>
      <c r="AY109" s="32"/>
      <c r="AZ109" s="32"/>
    </row>
    <row r="110" spans="1:52" ht="14.25">
      <c r="A110" s="30"/>
      <c r="B110" s="30"/>
      <c r="C110" s="30"/>
      <c r="D110" s="30"/>
      <c r="E110" s="30"/>
      <c r="F110" s="30"/>
      <c r="G110" s="30"/>
      <c r="H110" s="30"/>
      <c r="I110" s="30"/>
      <c r="J110" s="32"/>
      <c r="K110" s="32"/>
      <c r="L110" s="32"/>
      <c r="M110" s="32"/>
      <c r="N110" s="32"/>
      <c r="O110" s="32"/>
      <c r="P110" s="32"/>
      <c r="Q110" s="32"/>
      <c r="R110" s="32"/>
      <c r="S110" s="32"/>
      <c r="T110" s="32"/>
      <c r="U110" s="32"/>
      <c r="V110" s="32"/>
      <c r="W110" s="32"/>
      <c r="X110" s="32"/>
      <c r="Y110" s="32"/>
      <c r="Z110" s="32"/>
      <c r="AA110" s="30"/>
      <c r="AB110" s="30"/>
      <c r="AC110" s="30"/>
      <c r="AD110" s="30"/>
      <c r="AE110" s="30"/>
      <c r="AF110" s="30"/>
      <c r="AG110" s="30"/>
      <c r="AH110" s="30"/>
      <c r="AI110" s="30"/>
      <c r="AJ110" s="32"/>
      <c r="AK110" s="32"/>
      <c r="AL110" s="32"/>
      <c r="AM110" s="32"/>
      <c r="AN110" s="32"/>
      <c r="AO110" s="32"/>
      <c r="AP110" s="32"/>
      <c r="AQ110" s="32"/>
      <c r="AR110" s="32"/>
      <c r="AS110" s="32"/>
      <c r="AT110" s="32"/>
      <c r="AU110" s="32"/>
      <c r="AV110" s="32"/>
      <c r="AW110" s="32"/>
      <c r="AX110" s="32"/>
      <c r="AY110" s="32"/>
      <c r="AZ110" s="32"/>
    </row>
    <row r="111" spans="1:52" ht="14.25">
      <c r="A111" s="30"/>
      <c r="B111" s="30"/>
      <c r="C111" s="30"/>
      <c r="D111" s="30"/>
      <c r="E111" s="30"/>
      <c r="F111" s="30"/>
      <c r="G111" s="30"/>
      <c r="H111" s="30"/>
      <c r="I111" s="30"/>
      <c r="J111" s="32"/>
      <c r="K111" s="32"/>
      <c r="L111" s="32"/>
      <c r="M111" s="32"/>
      <c r="N111" s="32"/>
      <c r="O111" s="32"/>
      <c r="P111" s="32"/>
      <c r="Q111" s="32"/>
      <c r="R111" s="32"/>
      <c r="S111" s="32"/>
      <c r="T111" s="32"/>
      <c r="U111" s="32"/>
      <c r="V111" s="32"/>
      <c r="W111" s="32"/>
      <c r="X111" s="32"/>
      <c r="Y111" s="32"/>
      <c r="Z111" s="32"/>
      <c r="AA111" s="30"/>
      <c r="AB111" s="30"/>
      <c r="AC111" s="30"/>
      <c r="AD111" s="30"/>
      <c r="AE111" s="30"/>
      <c r="AF111" s="30"/>
      <c r="AG111" s="30"/>
      <c r="AH111" s="30"/>
      <c r="AI111" s="30"/>
      <c r="AJ111" s="32"/>
      <c r="AK111" s="32"/>
      <c r="AL111" s="32"/>
      <c r="AM111" s="32"/>
      <c r="AN111" s="32"/>
      <c r="AO111" s="32"/>
      <c r="AP111" s="32"/>
      <c r="AQ111" s="32"/>
      <c r="AR111" s="32"/>
      <c r="AS111" s="32"/>
      <c r="AT111" s="32"/>
      <c r="AU111" s="32"/>
      <c r="AV111" s="32"/>
      <c r="AW111" s="32"/>
      <c r="AX111" s="32"/>
      <c r="AY111" s="32"/>
      <c r="AZ111" s="32"/>
    </row>
    <row r="112" spans="1:52" ht="14.25">
      <c r="A112" s="30"/>
      <c r="B112" s="30"/>
      <c r="C112" s="30"/>
      <c r="D112" s="30"/>
      <c r="E112" s="30"/>
      <c r="F112" s="30"/>
      <c r="G112" s="30"/>
      <c r="H112" s="30"/>
      <c r="I112" s="30"/>
      <c r="J112" s="32"/>
      <c r="K112" s="32"/>
      <c r="L112" s="32"/>
      <c r="M112" s="32"/>
      <c r="N112" s="32"/>
      <c r="O112" s="32"/>
      <c r="P112" s="32"/>
      <c r="Q112" s="32"/>
      <c r="R112" s="32"/>
      <c r="S112" s="32"/>
      <c r="T112" s="32"/>
      <c r="U112" s="32"/>
      <c r="V112" s="32"/>
      <c r="W112" s="32"/>
      <c r="X112" s="32"/>
      <c r="Y112" s="32"/>
      <c r="Z112" s="32"/>
      <c r="AA112" s="30"/>
      <c r="AB112" s="30"/>
      <c r="AC112" s="30"/>
      <c r="AD112" s="30"/>
      <c r="AE112" s="30"/>
      <c r="AF112" s="30"/>
      <c r="AG112" s="30"/>
      <c r="AH112" s="30"/>
      <c r="AI112" s="30"/>
      <c r="AJ112" s="32"/>
      <c r="AK112" s="32"/>
      <c r="AL112" s="32"/>
      <c r="AM112" s="32"/>
      <c r="AN112" s="32"/>
      <c r="AO112" s="32"/>
      <c r="AP112" s="32"/>
      <c r="AQ112" s="32"/>
      <c r="AR112" s="32"/>
      <c r="AS112" s="32"/>
      <c r="AT112" s="32"/>
      <c r="AU112" s="32"/>
      <c r="AV112" s="32"/>
      <c r="AW112" s="32"/>
      <c r="AX112" s="32"/>
      <c r="AY112" s="32"/>
      <c r="AZ112" s="32"/>
    </row>
    <row r="113" spans="1:52" ht="14.25">
      <c r="A113" s="30"/>
      <c r="B113" s="30"/>
      <c r="C113" s="30"/>
      <c r="D113" s="30"/>
      <c r="E113" s="30"/>
      <c r="F113" s="30"/>
      <c r="G113" s="30"/>
      <c r="H113" s="30"/>
      <c r="I113" s="30"/>
      <c r="J113" s="32"/>
      <c r="K113" s="32"/>
      <c r="L113" s="32"/>
      <c r="M113" s="32"/>
      <c r="N113" s="32"/>
      <c r="O113" s="32"/>
      <c r="P113" s="32"/>
      <c r="Q113" s="32"/>
      <c r="R113" s="32"/>
      <c r="S113" s="32"/>
      <c r="T113" s="32"/>
      <c r="U113" s="32"/>
      <c r="V113" s="32"/>
      <c r="W113" s="32"/>
      <c r="X113" s="32"/>
      <c r="Y113" s="32"/>
      <c r="Z113" s="32"/>
      <c r="AA113" s="30"/>
      <c r="AB113" s="30"/>
      <c r="AC113" s="30"/>
      <c r="AD113" s="30"/>
      <c r="AE113" s="30"/>
      <c r="AF113" s="30"/>
      <c r="AG113" s="30"/>
      <c r="AH113" s="30"/>
      <c r="AI113" s="30"/>
      <c r="AJ113" s="32"/>
      <c r="AK113" s="32"/>
      <c r="AL113" s="32"/>
      <c r="AM113" s="32"/>
      <c r="AN113" s="32"/>
      <c r="AO113" s="32"/>
      <c r="AP113" s="32"/>
      <c r="AQ113" s="32"/>
      <c r="AR113" s="32"/>
      <c r="AS113" s="32"/>
      <c r="AT113" s="32"/>
      <c r="AU113" s="32"/>
      <c r="AV113" s="32"/>
      <c r="AW113" s="32"/>
      <c r="AX113" s="32"/>
      <c r="AY113" s="32"/>
      <c r="AZ113" s="32"/>
    </row>
    <row r="114" spans="1:52" ht="14.25">
      <c r="A114" s="30"/>
      <c r="B114" s="30"/>
      <c r="C114" s="30"/>
      <c r="D114" s="30"/>
      <c r="E114" s="30"/>
      <c r="F114" s="30"/>
      <c r="G114" s="30"/>
      <c r="H114" s="30"/>
      <c r="I114" s="30"/>
      <c r="J114" s="32"/>
      <c r="K114" s="32"/>
      <c r="L114" s="32"/>
      <c r="M114" s="32"/>
      <c r="N114" s="32"/>
      <c r="O114" s="32"/>
      <c r="P114" s="32"/>
      <c r="Q114" s="32"/>
      <c r="R114" s="32"/>
      <c r="S114" s="32"/>
      <c r="T114" s="32"/>
      <c r="U114" s="32"/>
      <c r="V114" s="32"/>
      <c r="W114" s="32"/>
      <c r="X114" s="32"/>
      <c r="Y114" s="32"/>
      <c r="Z114" s="32"/>
      <c r="AA114" s="30"/>
      <c r="AB114" s="30"/>
      <c r="AC114" s="30"/>
      <c r="AD114" s="30"/>
      <c r="AE114" s="30"/>
      <c r="AF114" s="30"/>
      <c r="AG114" s="30"/>
      <c r="AH114" s="30"/>
      <c r="AI114" s="30"/>
      <c r="AJ114" s="32"/>
      <c r="AK114" s="32"/>
      <c r="AL114" s="32"/>
      <c r="AM114" s="32"/>
      <c r="AN114" s="32"/>
      <c r="AO114" s="32"/>
      <c r="AP114" s="32"/>
      <c r="AQ114" s="32"/>
      <c r="AR114" s="32"/>
      <c r="AS114" s="32"/>
      <c r="AT114" s="32"/>
      <c r="AU114" s="32"/>
      <c r="AV114" s="32"/>
      <c r="AW114" s="32"/>
      <c r="AX114" s="32"/>
      <c r="AY114" s="32"/>
      <c r="AZ114" s="32"/>
    </row>
    <row r="115" spans="1:52" ht="14.25">
      <c r="A115" s="30"/>
      <c r="B115" s="30"/>
      <c r="C115" s="30"/>
      <c r="D115" s="30"/>
      <c r="E115" s="30"/>
      <c r="F115" s="30"/>
      <c r="G115" s="30"/>
      <c r="H115" s="30"/>
      <c r="I115" s="30"/>
      <c r="J115" s="32"/>
      <c r="K115" s="32"/>
      <c r="L115" s="32"/>
      <c r="M115" s="32"/>
      <c r="N115" s="32"/>
      <c r="O115" s="32"/>
      <c r="P115" s="32"/>
      <c r="Q115" s="32"/>
      <c r="R115" s="32"/>
      <c r="S115" s="32"/>
      <c r="T115" s="32"/>
      <c r="U115" s="32"/>
      <c r="V115" s="32"/>
      <c r="W115" s="32"/>
      <c r="X115" s="32"/>
      <c r="Y115" s="32"/>
      <c r="Z115" s="32"/>
      <c r="AA115" s="30"/>
      <c r="AB115" s="30"/>
      <c r="AC115" s="30"/>
      <c r="AD115" s="30"/>
      <c r="AE115" s="30"/>
      <c r="AF115" s="30"/>
      <c r="AG115" s="30"/>
      <c r="AH115" s="30"/>
      <c r="AI115" s="30"/>
      <c r="AJ115" s="32"/>
      <c r="AK115" s="32"/>
      <c r="AL115" s="32"/>
      <c r="AM115" s="32"/>
      <c r="AN115" s="32"/>
      <c r="AO115" s="32"/>
      <c r="AP115" s="32"/>
      <c r="AQ115" s="32"/>
      <c r="AR115" s="32"/>
      <c r="AS115" s="32"/>
      <c r="AT115" s="32"/>
      <c r="AU115" s="32"/>
      <c r="AV115" s="32"/>
      <c r="AW115" s="32"/>
      <c r="AX115" s="32"/>
      <c r="AY115" s="32"/>
      <c r="AZ115" s="32"/>
    </row>
    <row r="116" spans="1:52" ht="14.25">
      <c r="A116" s="30"/>
      <c r="B116" s="30"/>
      <c r="C116" s="30"/>
      <c r="D116" s="30"/>
      <c r="E116" s="30"/>
      <c r="F116" s="30"/>
      <c r="G116" s="30"/>
      <c r="H116" s="30"/>
      <c r="I116" s="30"/>
      <c r="J116" s="32"/>
      <c r="K116" s="32"/>
      <c r="L116" s="32"/>
      <c r="M116" s="32"/>
      <c r="N116" s="32"/>
      <c r="O116" s="32"/>
      <c r="P116" s="32"/>
      <c r="Q116" s="32"/>
      <c r="R116" s="32"/>
      <c r="S116" s="32"/>
      <c r="T116" s="32"/>
      <c r="U116" s="32"/>
      <c r="V116" s="32"/>
      <c r="W116" s="32"/>
      <c r="X116" s="32"/>
      <c r="Y116" s="32"/>
      <c r="Z116" s="32"/>
      <c r="AA116" s="30"/>
      <c r="AB116" s="30"/>
      <c r="AC116" s="30"/>
      <c r="AD116" s="30"/>
      <c r="AE116" s="30"/>
      <c r="AF116" s="30"/>
      <c r="AG116" s="30"/>
      <c r="AH116" s="30"/>
      <c r="AI116" s="30"/>
      <c r="AJ116" s="32"/>
      <c r="AK116" s="32"/>
      <c r="AL116" s="32"/>
      <c r="AM116" s="32"/>
      <c r="AN116" s="32"/>
      <c r="AO116" s="32"/>
      <c r="AP116" s="32"/>
      <c r="AQ116" s="32"/>
      <c r="AR116" s="32"/>
      <c r="AS116" s="32"/>
      <c r="AT116" s="32"/>
      <c r="AU116" s="32"/>
      <c r="AV116" s="32"/>
      <c r="AW116" s="32"/>
      <c r="AX116" s="32"/>
      <c r="AY116" s="32"/>
      <c r="AZ116" s="32"/>
    </row>
    <row r="117" spans="1:52" ht="14.25">
      <c r="A117" s="30"/>
      <c r="B117" s="30"/>
      <c r="C117" s="30"/>
      <c r="D117" s="30"/>
      <c r="E117" s="30"/>
      <c r="F117" s="30"/>
      <c r="G117" s="30"/>
      <c r="H117" s="30"/>
      <c r="I117" s="30"/>
      <c r="J117" s="32"/>
      <c r="K117" s="32"/>
      <c r="L117" s="32"/>
      <c r="M117" s="32"/>
      <c r="N117" s="32"/>
      <c r="O117" s="32"/>
      <c r="P117" s="32"/>
      <c r="Q117" s="32"/>
      <c r="R117" s="32"/>
      <c r="S117" s="32"/>
      <c r="T117" s="32"/>
      <c r="U117" s="32"/>
      <c r="V117" s="32"/>
      <c r="W117" s="32"/>
      <c r="X117" s="32"/>
      <c r="Y117" s="32"/>
      <c r="Z117" s="32"/>
      <c r="AA117" s="30"/>
      <c r="AB117" s="30"/>
      <c r="AC117" s="30"/>
      <c r="AD117" s="30"/>
      <c r="AE117" s="30"/>
      <c r="AF117" s="30"/>
      <c r="AG117" s="30"/>
      <c r="AH117" s="30"/>
      <c r="AI117" s="30"/>
      <c r="AJ117" s="32"/>
      <c r="AK117" s="32"/>
      <c r="AL117" s="32"/>
      <c r="AM117" s="32"/>
      <c r="AN117" s="32"/>
      <c r="AO117" s="32"/>
      <c r="AP117" s="32"/>
      <c r="AQ117" s="32"/>
      <c r="AR117" s="32"/>
      <c r="AS117" s="32"/>
      <c r="AT117" s="32"/>
      <c r="AU117" s="32"/>
      <c r="AV117" s="32"/>
      <c r="AW117" s="32"/>
      <c r="AX117" s="32"/>
      <c r="AY117" s="32"/>
      <c r="AZ117" s="32"/>
    </row>
    <row r="118" spans="1:52" ht="14.25">
      <c r="A118" s="32"/>
      <c r="B118" s="32"/>
      <c r="C118" s="32"/>
      <c r="D118" s="32"/>
      <c r="E118" s="32"/>
      <c r="F118" s="32"/>
      <c r="G118" s="32"/>
      <c r="H118" s="32"/>
      <c r="I118" s="32"/>
      <c r="J118" s="32"/>
      <c r="K118" s="32"/>
      <c r="L118" s="32"/>
      <c r="M118" s="32"/>
      <c r="N118" s="32"/>
      <c r="O118" s="32"/>
      <c r="P118" s="32"/>
      <c r="Q118" s="32"/>
      <c r="R118" s="32"/>
      <c r="S118" s="32"/>
      <c r="T118" s="32"/>
      <c r="U118" s="32"/>
      <c r="V118" s="32"/>
      <c r="W118" s="32"/>
      <c r="X118" s="32"/>
      <c r="Y118" s="32"/>
      <c r="Z118" s="32"/>
      <c r="AA118" s="32"/>
      <c r="AB118" s="32"/>
      <c r="AC118" s="32"/>
      <c r="AD118" s="32"/>
      <c r="AE118" s="32"/>
      <c r="AF118" s="32"/>
      <c r="AG118" s="32"/>
      <c r="AH118" s="32"/>
      <c r="AI118" s="32"/>
      <c r="AJ118" s="32"/>
      <c r="AK118" s="32"/>
      <c r="AL118" s="32"/>
      <c r="AM118" s="32"/>
      <c r="AN118" s="32"/>
      <c r="AO118" s="32"/>
      <c r="AP118" s="32"/>
      <c r="AQ118" s="32"/>
      <c r="AR118" s="32"/>
      <c r="AS118" s="32"/>
      <c r="AT118" s="32"/>
      <c r="AU118" s="32"/>
      <c r="AV118" s="32"/>
      <c r="AW118" s="32"/>
      <c r="AX118" s="32"/>
      <c r="AY118" s="32"/>
      <c r="AZ118" s="32"/>
    </row>
    <row r="119" spans="1:52" ht="14.25">
      <c r="A119" s="32"/>
      <c r="B119" s="32"/>
      <c r="C119" s="32"/>
      <c r="D119" s="32"/>
      <c r="E119" s="32"/>
      <c r="F119" s="32"/>
      <c r="G119" s="32"/>
      <c r="H119" s="32"/>
      <c r="I119" s="32"/>
      <c r="J119" s="32"/>
      <c r="K119" s="32"/>
      <c r="L119" s="32"/>
      <c r="M119" s="32"/>
      <c r="N119" s="32"/>
      <c r="O119" s="32"/>
      <c r="P119" s="32"/>
      <c r="Q119" s="32"/>
      <c r="R119" s="32"/>
      <c r="S119" s="32"/>
      <c r="T119" s="32"/>
      <c r="U119" s="32"/>
      <c r="V119" s="32"/>
      <c r="W119" s="32"/>
      <c r="X119" s="32"/>
      <c r="Y119" s="32"/>
      <c r="Z119" s="32"/>
      <c r="AA119" s="32"/>
      <c r="AB119" s="32"/>
      <c r="AC119" s="32"/>
      <c r="AD119" s="32"/>
      <c r="AE119" s="32"/>
      <c r="AF119" s="32"/>
      <c r="AG119" s="32"/>
      <c r="AH119" s="32"/>
      <c r="AI119" s="32"/>
      <c r="AJ119" s="32"/>
      <c r="AK119" s="32"/>
      <c r="AL119" s="32"/>
      <c r="AM119" s="32"/>
      <c r="AN119" s="32"/>
      <c r="AO119" s="32"/>
      <c r="AP119" s="32"/>
      <c r="AQ119" s="32"/>
      <c r="AR119" s="32"/>
      <c r="AS119" s="32"/>
      <c r="AT119" s="32"/>
      <c r="AU119" s="32"/>
      <c r="AV119" s="32"/>
      <c r="AW119" s="32"/>
      <c r="AX119" s="32"/>
      <c r="AY119" s="32"/>
      <c r="AZ119" s="32"/>
    </row>
    <row r="120" spans="1:52" ht="14.25">
      <c r="A120" s="32"/>
      <c r="B120" s="32"/>
      <c r="C120" s="32"/>
      <c r="D120" s="32"/>
      <c r="E120" s="32"/>
      <c r="F120" s="32"/>
      <c r="G120" s="32"/>
      <c r="H120" s="32"/>
      <c r="I120" s="32"/>
      <c r="J120" s="32"/>
      <c r="K120" s="32"/>
      <c r="L120" s="32"/>
      <c r="M120" s="32"/>
      <c r="N120" s="32"/>
      <c r="O120" s="32"/>
      <c r="P120" s="32"/>
      <c r="Q120" s="32"/>
      <c r="R120" s="32"/>
      <c r="S120" s="32"/>
      <c r="T120" s="32"/>
      <c r="U120" s="32"/>
      <c r="V120" s="32"/>
      <c r="W120" s="32"/>
      <c r="X120" s="32"/>
      <c r="Y120" s="32"/>
      <c r="Z120" s="32"/>
      <c r="AA120" s="32"/>
      <c r="AB120" s="32"/>
      <c r="AC120" s="32"/>
      <c r="AD120" s="32"/>
      <c r="AE120" s="32"/>
      <c r="AF120" s="32"/>
      <c r="AG120" s="32"/>
      <c r="AH120" s="32"/>
      <c r="AI120" s="32"/>
      <c r="AJ120" s="32"/>
      <c r="AK120" s="32"/>
      <c r="AL120" s="32"/>
      <c r="AM120" s="32"/>
      <c r="AN120" s="32"/>
      <c r="AO120" s="32"/>
      <c r="AP120" s="32"/>
      <c r="AQ120" s="32"/>
      <c r="AR120" s="32"/>
      <c r="AS120" s="32"/>
      <c r="AT120" s="32"/>
      <c r="AU120" s="32"/>
      <c r="AV120" s="32"/>
      <c r="AW120" s="32"/>
      <c r="AX120" s="32"/>
      <c r="AY120" s="32"/>
      <c r="AZ120" s="32"/>
    </row>
    <row r="121" spans="1:52" ht="14.25">
      <c r="A121" s="32"/>
      <c r="B121" s="32"/>
      <c r="C121" s="32"/>
      <c r="D121" s="32"/>
      <c r="E121" s="32"/>
      <c r="F121" s="32"/>
      <c r="G121" s="32"/>
      <c r="H121" s="32"/>
      <c r="I121" s="32"/>
      <c r="J121" s="32"/>
      <c r="K121" s="32"/>
      <c r="L121" s="32"/>
      <c r="M121" s="32"/>
      <c r="N121" s="32"/>
      <c r="O121" s="32"/>
      <c r="P121" s="32"/>
      <c r="Q121" s="32"/>
      <c r="R121" s="32"/>
      <c r="S121" s="32"/>
      <c r="T121" s="32"/>
      <c r="U121" s="32"/>
      <c r="V121" s="32"/>
      <c r="W121" s="32"/>
      <c r="X121" s="32"/>
      <c r="Y121" s="32"/>
      <c r="Z121" s="32"/>
      <c r="AA121" s="32"/>
      <c r="AB121" s="32"/>
      <c r="AC121" s="32"/>
      <c r="AD121" s="32"/>
      <c r="AE121" s="32"/>
      <c r="AF121" s="32"/>
      <c r="AG121" s="32"/>
      <c r="AH121" s="32"/>
      <c r="AI121" s="32"/>
      <c r="AJ121" s="32"/>
      <c r="AK121" s="32"/>
      <c r="AL121" s="32"/>
      <c r="AM121" s="32"/>
      <c r="AN121" s="32"/>
      <c r="AO121" s="32"/>
      <c r="AP121" s="32"/>
      <c r="AQ121" s="32"/>
      <c r="AR121" s="32"/>
      <c r="AS121" s="32"/>
      <c r="AT121" s="32"/>
      <c r="AU121" s="32"/>
      <c r="AV121" s="32"/>
      <c r="AW121" s="32"/>
      <c r="AX121" s="32"/>
      <c r="AY121" s="32"/>
      <c r="AZ121" s="32"/>
    </row>
    <row r="122" spans="1:52" ht="14.25">
      <c r="A122" s="32"/>
      <c r="B122" s="32"/>
      <c r="C122" s="32"/>
      <c r="D122" s="32"/>
      <c r="E122" s="32"/>
      <c r="F122" s="32"/>
      <c r="G122" s="32"/>
      <c r="H122" s="32"/>
      <c r="I122" s="32"/>
      <c r="J122" s="32"/>
      <c r="K122" s="32"/>
      <c r="L122" s="32"/>
      <c r="M122" s="32"/>
      <c r="N122" s="32"/>
      <c r="O122" s="32"/>
      <c r="P122" s="32"/>
      <c r="Q122" s="32"/>
      <c r="R122" s="32"/>
      <c r="S122" s="32"/>
      <c r="T122" s="32"/>
      <c r="U122" s="32"/>
      <c r="V122" s="32"/>
      <c r="W122" s="32"/>
      <c r="X122" s="32"/>
      <c r="Y122" s="32"/>
      <c r="Z122" s="32"/>
      <c r="AA122" s="32"/>
      <c r="AB122" s="32"/>
      <c r="AC122" s="32"/>
      <c r="AD122" s="32"/>
      <c r="AE122" s="32"/>
      <c r="AF122" s="32"/>
      <c r="AG122" s="32"/>
      <c r="AH122" s="32"/>
      <c r="AI122" s="32"/>
      <c r="AJ122" s="32"/>
      <c r="AK122" s="32"/>
      <c r="AL122" s="32"/>
      <c r="AM122" s="32"/>
      <c r="AN122" s="32"/>
      <c r="AO122" s="32"/>
      <c r="AP122" s="32"/>
      <c r="AQ122" s="32"/>
      <c r="AR122" s="32"/>
      <c r="AS122" s="32"/>
      <c r="AT122" s="32"/>
      <c r="AU122" s="32"/>
      <c r="AV122" s="32"/>
      <c r="AW122" s="32"/>
      <c r="AX122" s="32"/>
      <c r="AY122" s="32"/>
      <c r="AZ122" s="32"/>
    </row>
    <row r="123" spans="1:52" ht="14.25">
      <c r="A123" s="32"/>
      <c r="B123" s="32"/>
      <c r="C123" s="32"/>
      <c r="D123" s="32"/>
      <c r="E123" s="32"/>
      <c r="F123" s="32"/>
      <c r="G123" s="32"/>
      <c r="H123" s="32"/>
      <c r="I123" s="32"/>
      <c r="J123" s="32"/>
      <c r="K123" s="32"/>
      <c r="L123" s="32"/>
      <c r="M123" s="32"/>
      <c r="N123" s="32"/>
      <c r="O123" s="32"/>
      <c r="P123" s="32"/>
      <c r="Q123" s="32"/>
      <c r="R123" s="32"/>
      <c r="S123" s="32"/>
      <c r="T123" s="32"/>
      <c r="U123" s="32"/>
      <c r="V123" s="32"/>
      <c r="W123" s="32"/>
      <c r="X123" s="32"/>
      <c r="Y123" s="32"/>
      <c r="Z123" s="32"/>
      <c r="AA123" s="32"/>
      <c r="AB123" s="32"/>
      <c r="AC123" s="32"/>
      <c r="AD123" s="32"/>
      <c r="AE123" s="32"/>
      <c r="AF123" s="32"/>
      <c r="AG123" s="32"/>
      <c r="AH123" s="32"/>
      <c r="AI123" s="32"/>
      <c r="AJ123" s="32"/>
      <c r="AK123" s="32"/>
      <c r="AL123" s="32"/>
      <c r="AM123" s="32"/>
      <c r="AN123" s="32"/>
      <c r="AO123" s="32"/>
      <c r="AP123" s="32"/>
      <c r="AQ123" s="32"/>
      <c r="AR123" s="32"/>
      <c r="AS123" s="32"/>
      <c r="AT123" s="32"/>
      <c r="AU123" s="32"/>
      <c r="AV123" s="32"/>
      <c r="AW123" s="32"/>
      <c r="AX123" s="32"/>
      <c r="AY123" s="32"/>
      <c r="AZ123" s="32"/>
    </row>
    <row r="124" spans="1:52" ht="14.25">
      <c r="A124" s="32"/>
      <c r="B124" s="32"/>
      <c r="C124" s="32"/>
      <c r="D124" s="32"/>
      <c r="E124" s="32"/>
      <c r="F124" s="32"/>
      <c r="G124" s="32"/>
      <c r="H124" s="32"/>
      <c r="I124" s="32"/>
      <c r="J124" s="32"/>
      <c r="K124" s="32"/>
      <c r="L124" s="32"/>
      <c r="M124" s="32"/>
      <c r="N124" s="32"/>
      <c r="O124" s="32"/>
      <c r="P124" s="32"/>
      <c r="Q124" s="32"/>
      <c r="R124" s="32"/>
      <c r="S124" s="32"/>
      <c r="T124" s="32"/>
      <c r="U124" s="32"/>
      <c r="V124" s="32"/>
      <c r="W124" s="32"/>
      <c r="X124" s="32"/>
      <c r="Y124" s="32"/>
      <c r="Z124" s="32"/>
      <c r="AA124" s="32"/>
      <c r="AB124" s="32"/>
      <c r="AC124" s="32"/>
      <c r="AD124" s="32"/>
      <c r="AE124" s="32"/>
      <c r="AF124" s="32"/>
      <c r="AG124" s="32"/>
      <c r="AH124" s="32"/>
      <c r="AI124" s="32"/>
      <c r="AJ124" s="32"/>
      <c r="AK124" s="32"/>
      <c r="AL124" s="32"/>
      <c r="AM124" s="32"/>
      <c r="AN124" s="32"/>
      <c r="AO124" s="32"/>
      <c r="AP124" s="32"/>
      <c r="AQ124" s="32"/>
      <c r="AR124" s="32"/>
      <c r="AS124" s="32"/>
      <c r="AT124" s="32"/>
      <c r="AU124" s="32"/>
      <c r="AV124" s="32"/>
      <c r="AW124" s="32"/>
      <c r="AX124" s="32"/>
      <c r="AY124" s="32"/>
      <c r="AZ124" s="32"/>
    </row>
    <row r="125" spans="1:52" ht="14.25">
      <c r="A125" s="32"/>
      <c r="B125" s="32"/>
      <c r="C125" s="32"/>
      <c r="D125" s="32"/>
      <c r="E125" s="32"/>
      <c r="F125" s="32"/>
      <c r="G125" s="32"/>
      <c r="H125" s="32"/>
      <c r="I125" s="32"/>
      <c r="J125" s="32"/>
      <c r="K125" s="32"/>
      <c r="L125" s="32"/>
      <c r="M125" s="32"/>
      <c r="N125" s="32"/>
      <c r="O125" s="32"/>
      <c r="P125" s="32"/>
      <c r="Q125" s="32"/>
      <c r="R125" s="32"/>
      <c r="S125" s="32"/>
      <c r="T125" s="32"/>
      <c r="U125" s="32"/>
      <c r="V125" s="32"/>
      <c r="W125" s="32"/>
      <c r="X125" s="32"/>
      <c r="Y125" s="32"/>
      <c r="Z125" s="32"/>
      <c r="AA125" s="32"/>
      <c r="AB125" s="32"/>
      <c r="AC125" s="32"/>
      <c r="AD125" s="32"/>
      <c r="AE125" s="32"/>
      <c r="AF125" s="32"/>
      <c r="AG125" s="32"/>
      <c r="AH125" s="32"/>
      <c r="AI125" s="32"/>
      <c r="AJ125" s="32"/>
      <c r="AK125" s="32"/>
      <c r="AL125" s="32"/>
      <c r="AM125" s="32"/>
      <c r="AN125" s="32"/>
      <c r="AO125" s="32"/>
      <c r="AP125" s="32"/>
      <c r="AQ125" s="32"/>
      <c r="AR125" s="32"/>
      <c r="AS125" s="32"/>
      <c r="AT125" s="32"/>
      <c r="AU125" s="32"/>
      <c r="AV125" s="32"/>
      <c r="AW125" s="32"/>
      <c r="AX125" s="32"/>
      <c r="AY125" s="32"/>
      <c r="AZ125" s="32"/>
    </row>
    <row r="126" spans="1:52" ht="14.25">
      <c r="A126" s="32"/>
      <c r="B126" s="32"/>
      <c r="C126" s="32"/>
      <c r="D126" s="32"/>
      <c r="E126" s="32"/>
      <c r="F126" s="32"/>
      <c r="G126" s="32"/>
      <c r="H126" s="32"/>
      <c r="I126" s="32"/>
      <c r="J126" s="32"/>
      <c r="K126" s="32"/>
      <c r="L126" s="32"/>
      <c r="M126" s="32"/>
      <c r="N126" s="32"/>
      <c r="O126" s="32"/>
      <c r="P126" s="32"/>
      <c r="Q126" s="32"/>
      <c r="R126" s="32"/>
      <c r="S126" s="32"/>
      <c r="T126" s="32"/>
      <c r="U126" s="32"/>
      <c r="V126" s="32"/>
      <c r="W126" s="32"/>
      <c r="X126" s="32"/>
      <c r="Y126" s="32"/>
      <c r="Z126" s="32"/>
      <c r="AA126" s="32"/>
      <c r="AB126" s="32"/>
      <c r="AC126" s="32"/>
      <c r="AD126" s="32"/>
      <c r="AE126" s="32"/>
      <c r="AF126" s="32"/>
      <c r="AG126" s="32"/>
      <c r="AH126" s="32"/>
      <c r="AI126" s="32"/>
      <c r="AJ126" s="32"/>
      <c r="AK126" s="32"/>
      <c r="AL126" s="32"/>
      <c r="AM126" s="32"/>
      <c r="AN126" s="32"/>
      <c r="AO126" s="32"/>
      <c r="AP126" s="32"/>
      <c r="AQ126" s="32"/>
      <c r="AR126" s="32"/>
      <c r="AS126" s="32"/>
      <c r="AT126" s="32"/>
      <c r="AU126" s="32"/>
      <c r="AV126" s="32"/>
      <c r="AW126" s="32"/>
      <c r="AX126" s="32"/>
      <c r="AY126" s="32"/>
      <c r="AZ126" s="32"/>
    </row>
    <row r="127" spans="1:52" ht="14.25">
      <c r="A127" s="32"/>
      <c r="B127" s="32"/>
      <c r="C127" s="32"/>
      <c r="D127" s="32"/>
      <c r="E127" s="32"/>
      <c r="F127" s="32"/>
      <c r="G127" s="32"/>
      <c r="H127" s="32"/>
      <c r="I127" s="32"/>
      <c r="J127" s="32"/>
      <c r="K127" s="32"/>
      <c r="L127" s="32"/>
      <c r="M127" s="32"/>
      <c r="N127" s="32"/>
      <c r="O127" s="32"/>
      <c r="P127" s="32"/>
      <c r="Q127" s="32"/>
      <c r="R127" s="32"/>
      <c r="S127" s="32"/>
      <c r="T127" s="32"/>
      <c r="U127" s="32"/>
      <c r="V127" s="32"/>
      <c r="W127" s="32"/>
      <c r="X127" s="32"/>
      <c r="Y127" s="32"/>
      <c r="Z127" s="32"/>
      <c r="AA127" s="32"/>
      <c r="AB127" s="32"/>
      <c r="AC127" s="32"/>
      <c r="AD127" s="32"/>
      <c r="AE127" s="32"/>
      <c r="AF127" s="32"/>
      <c r="AG127" s="32"/>
      <c r="AH127" s="32"/>
      <c r="AI127" s="32"/>
      <c r="AJ127" s="32"/>
      <c r="AK127" s="32"/>
      <c r="AL127" s="32"/>
      <c r="AM127" s="32"/>
      <c r="AN127" s="32"/>
      <c r="AO127" s="32"/>
      <c r="AP127" s="32"/>
      <c r="AQ127" s="32"/>
      <c r="AR127" s="32"/>
      <c r="AS127" s="32"/>
      <c r="AT127" s="32"/>
      <c r="AU127" s="32"/>
      <c r="AV127" s="32"/>
      <c r="AW127" s="32"/>
      <c r="AX127" s="32"/>
      <c r="AY127" s="32"/>
      <c r="AZ127" s="32"/>
    </row>
    <row r="128" spans="1:52" ht="14.25">
      <c r="A128" s="32"/>
      <c r="B128" s="32"/>
      <c r="C128" s="32"/>
      <c r="D128" s="32"/>
      <c r="E128" s="32"/>
      <c r="F128" s="32"/>
      <c r="G128" s="32"/>
      <c r="H128" s="32"/>
      <c r="I128" s="32"/>
      <c r="J128" s="32"/>
      <c r="K128" s="32"/>
      <c r="L128" s="32"/>
      <c r="M128" s="32"/>
      <c r="N128" s="32"/>
      <c r="O128" s="32"/>
      <c r="P128" s="32"/>
      <c r="Q128" s="32"/>
      <c r="R128" s="32"/>
      <c r="S128" s="32"/>
      <c r="T128" s="32"/>
      <c r="U128" s="32"/>
      <c r="V128" s="32"/>
      <c r="W128" s="32"/>
      <c r="X128" s="32"/>
      <c r="Y128" s="32"/>
      <c r="Z128" s="32"/>
      <c r="AA128" s="32"/>
      <c r="AB128" s="32"/>
      <c r="AC128" s="32"/>
      <c r="AD128" s="32"/>
      <c r="AE128" s="32"/>
      <c r="AF128" s="32"/>
      <c r="AG128" s="32"/>
      <c r="AH128" s="32"/>
      <c r="AI128" s="32"/>
      <c r="AJ128" s="32"/>
      <c r="AK128" s="32"/>
      <c r="AL128" s="32"/>
      <c r="AM128" s="32"/>
      <c r="AN128" s="32"/>
      <c r="AO128" s="32"/>
      <c r="AP128" s="32"/>
      <c r="AQ128" s="32"/>
      <c r="AR128" s="32"/>
      <c r="AS128" s="32"/>
      <c r="AT128" s="32"/>
      <c r="AU128" s="32"/>
      <c r="AV128" s="32"/>
      <c r="AW128" s="32"/>
      <c r="AX128" s="32"/>
      <c r="AY128" s="32"/>
      <c r="AZ128" s="32"/>
    </row>
  </sheetData>
  <sheetProtection algorithmName="SHA-512" hashValue="nP+3HzwdnXWpqgDAYS6PUysoPeljPEwQCzw5S5wLJ28utuqjhFRhe7Hyk6CLrKVHspsB3UOv7BSuOILHbz7nTA==" saltValue="UmNoS0TmSbeEE3/ip+L4yg==" spinCount="100000" sheet="1" selectLockedCells="1"/>
  <mergeCells count="150">
    <mergeCell ref="W50:X51"/>
    <mergeCell ref="R48:T49"/>
    <mergeCell ref="R50:T51"/>
    <mergeCell ref="L52:P53"/>
    <mergeCell ref="R52:T53"/>
    <mergeCell ref="W52:X53"/>
    <mergeCell ref="B50:D53"/>
    <mergeCell ref="E50:G53"/>
    <mergeCell ref="H50:J53"/>
    <mergeCell ref="B48:D49"/>
    <mergeCell ref="E48:G49"/>
    <mergeCell ref="H48:J49"/>
    <mergeCell ref="AH50:AJ53"/>
    <mergeCell ref="AB50:AD53"/>
    <mergeCell ref="AE50:AG53"/>
    <mergeCell ref="AL48:AP49"/>
    <mergeCell ref="AR48:AT49"/>
    <mergeCell ref="AW48:AX49"/>
    <mergeCell ref="AL50:AP51"/>
    <mergeCell ref="AR50:AT51"/>
    <mergeCell ref="AW50:AX51"/>
    <mergeCell ref="AL52:AP53"/>
    <mergeCell ref="AR52:AT53"/>
    <mergeCell ref="AW52:AX53"/>
    <mergeCell ref="AB48:AD49"/>
    <mergeCell ref="AE48:AG49"/>
    <mergeCell ref="AH48:AJ49"/>
    <mergeCell ref="W44:X45"/>
    <mergeCell ref="W46:X47"/>
    <mergeCell ref="R44:T45"/>
    <mergeCell ref="R46:T47"/>
    <mergeCell ref="W48:X49"/>
    <mergeCell ref="AL44:AP45"/>
    <mergeCell ref="AR44:AT45"/>
    <mergeCell ref="AW44:AX45"/>
    <mergeCell ref="AL46:AP47"/>
    <mergeCell ref="AR46:AT47"/>
    <mergeCell ref="AW46:AX47"/>
    <mergeCell ref="W40:X41"/>
    <mergeCell ref="W42:X43"/>
    <mergeCell ref="R40:T41"/>
    <mergeCell ref="R42:T43"/>
    <mergeCell ref="AL40:AP41"/>
    <mergeCell ref="AR40:AT41"/>
    <mergeCell ref="AW40:AX41"/>
    <mergeCell ref="AL42:AP43"/>
    <mergeCell ref="AR42:AT43"/>
    <mergeCell ref="AW42:AX43"/>
    <mergeCell ref="N39:Y39"/>
    <mergeCell ref="AN39:AY39"/>
    <mergeCell ref="R37:X38"/>
    <mergeCell ref="M36:Q37"/>
    <mergeCell ref="A34:T34"/>
    <mergeCell ref="W34:Y34"/>
    <mergeCell ref="A35:R35"/>
    <mergeCell ref="AM36:AQ37"/>
    <mergeCell ref="AR37:AX38"/>
    <mergeCell ref="AA35:AN35"/>
    <mergeCell ref="AA34:AT34"/>
    <mergeCell ref="AW34:AY34"/>
    <mergeCell ref="B22:G29"/>
    <mergeCell ref="I28:Y28"/>
    <mergeCell ref="I29:Y29"/>
    <mergeCell ref="AB22:AG29"/>
    <mergeCell ref="AI28:AY28"/>
    <mergeCell ref="AI29:AY29"/>
    <mergeCell ref="R21:Y21"/>
    <mergeCell ref="AR21:AY21"/>
    <mergeCell ref="O21:P21"/>
    <mergeCell ref="H21:N21"/>
    <mergeCell ref="I22:Y22"/>
    <mergeCell ref="I24:Y24"/>
    <mergeCell ref="AI24:AY24"/>
    <mergeCell ref="I26:Y26"/>
    <mergeCell ref="AI26:AY26"/>
    <mergeCell ref="I27:Y27"/>
    <mergeCell ref="AI27:AY27"/>
    <mergeCell ref="AI22:AY22"/>
    <mergeCell ref="I23:Y23"/>
    <mergeCell ref="AI23:AY23"/>
    <mergeCell ref="I25:Y25"/>
    <mergeCell ref="AI25:AY25"/>
    <mergeCell ref="N12:Z12"/>
    <mergeCell ref="N13:Z13"/>
    <mergeCell ref="N14:Z14"/>
    <mergeCell ref="AK12:AO12"/>
    <mergeCell ref="H20:Y20"/>
    <mergeCell ref="AH20:AY20"/>
    <mergeCell ref="B20:G20"/>
    <mergeCell ref="B21:G21"/>
    <mergeCell ref="AB20:AG20"/>
    <mergeCell ref="AB21:AG21"/>
    <mergeCell ref="AH21:AN21"/>
    <mergeCell ref="AO21:AP21"/>
    <mergeCell ref="H19:J19"/>
    <mergeCell ref="Q19:R19"/>
    <mergeCell ref="AH19:AJ19"/>
    <mergeCell ref="AQ19:AR19"/>
    <mergeCell ref="AW19:AY19"/>
    <mergeCell ref="K14:M14"/>
    <mergeCell ref="K19:P19"/>
    <mergeCell ref="S19:Y19"/>
    <mergeCell ref="BE2:BF2"/>
    <mergeCell ref="L40:P41"/>
    <mergeCell ref="L42:P43"/>
    <mergeCell ref="L44:P45"/>
    <mergeCell ref="A16:Z16"/>
    <mergeCell ref="AA16:AZ16"/>
    <mergeCell ref="A17:Z17"/>
    <mergeCell ref="AA17:AZ17"/>
    <mergeCell ref="B19:G19"/>
    <mergeCell ref="AB19:AG19"/>
    <mergeCell ref="AP14:AY14"/>
    <mergeCell ref="AK14:AO14"/>
    <mergeCell ref="AA9:AZ9"/>
    <mergeCell ref="A10:Z10"/>
    <mergeCell ref="AA10:AZ10"/>
    <mergeCell ref="K11:M11"/>
    <mergeCell ref="AP11:AZ11"/>
    <mergeCell ref="N11:Z11"/>
    <mergeCell ref="A18:Z18"/>
    <mergeCell ref="AA18:AZ18"/>
    <mergeCell ref="K12:M12"/>
    <mergeCell ref="AP12:AZ12"/>
    <mergeCell ref="K13:M13"/>
    <mergeCell ref="AP13:AZ13"/>
    <mergeCell ref="L46:P47"/>
    <mergeCell ref="L48:P49"/>
    <mergeCell ref="L50:P51"/>
    <mergeCell ref="A1:Z1"/>
    <mergeCell ref="AA1:AZ1"/>
    <mergeCell ref="A2:Z2"/>
    <mergeCell ref="AA2:AZ2"/>
    <mergeCell ref="A3:Z3"/>
    <mergeCell ref="AA3:AZ3"/>
    <mergeCell ref="A5:Z5"/>
    <mergeCell ref="AA5:AZ5"/>
    <mergeCell ref="A6:Z6"/>
    <mergeCell ref="AA6:AZ6"/>
    <mergeCell ref="AA4:AT4"/>
    <mergeCell ref="R4:T4"/>
    <mergeCell ref="A7:Z7"/>
    <mergeCell ref="AA7:AZ7"/>
    <mergeCell ref="A8:Z8"/>
    <mergeCell ref="AA8:AZ8"/>
    <mergeCell ref="A9:Z9"/>
    <mergeCell ref="AK11:AO11"/>
    <mergeCell ref="AK13:AO13"/>
    <mergeCell ref="A15:Z15"/>
    <mergeCell ref="AA15:AZ15"/>
  </mergeCells>
  <phoneticPr fontId="27"/>
  <conditionalFormatting sqref="V4 X4 H20:Y20 AH20:AY20">
    <cfRule type="cellIs" dxfId="18" priority="13" stopIfTrue="1" operator="equal">
      <formula>""</formula>
    </cfRule>
  </conditionalFormatting>
  <conditionalFormatting sqref="V4 X4 R4:T4 N11:Z14 K19 S19 O21:P21 AO21:AP21 R37:X38 L40:P53 R40:T53 W40:X53">
    <cfRule type="containsBlanks" dxfId="17" priority="14">
      <formula>LEN(TRIM(K4))=0</formula>
    </cfRule>
  </conditionalFormatting>
  <dataValidations count="5">
    <dataValidation type="list" allowBlank="1" showInputMessage="1" showErrorMessage="1" sqref="R4:T4" xr:uid="{95C778F1-6890-4012-93AA-6424716DEAF7}">
      <formula1>$BB$2:$BB$3</formula1>
    </dataValidation>
    <dataValidation type="list" allowBlank="1" showInputMessage="1" showErrorMessage="1" sqref="V4" xr:uid="{69DF9354-4457-4601-A71F-A9234C03257E}">
      <formula1>$BC$2:$BC$13</formula1>
    </dataValidation>
    <dataValidation type="list" allowBlank="1" showInputMessage="1" showErrorMessage="1" sqref="X4" xr:uid="{8DD1D08E-13F5-4B8B-A0AC-D729BBCCD1FF}">
      <formula1>$BC$2:$BC$33</formula1>
    </dataValidation>
    <dataValidation type="list" allowBlank="1" showInputMessage="1" showErrorMessage="1" sqref="AH22:AH29 H30" xr:uid="{547A9F27-1A09-46EB-87AD-CC7719BCC178}">
      <formula1>$AH$23</formula1>
    </dataValidation>
    <dataValidation type="list" allowBlank="1" showInputMessage="1" showErrorMessage="1" sqref="H22:H29" xr:uid="{EC423768-5C1B-4469-89F2-BCB13D44DB25}">
      <formula1>$BB$4:$BB$5</formula1>
    </dataValidation>
  </dataValidations>
  <printOptions horizontalCentered="1"/>
  <pageMargins left="0.39370078740157483" right="0.39370078740157483" top="0.39370078740157483" bottom="0.39370078740157483" header="0" footer="0"/>
  <pageSetup paperSize="9" scale="85" orientation="portrait" r:id="rId1"/>
  <headerFooter>
    <oddHeader>&amp;RⅥ-8</oddHeader>
    <oddFooter>&amp;R&amp;D &amp;T</oddFooter>
  </headerFooter>
  <colBreaks count="1" manualBreakCount="1">
    <brk id="26" max="53"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56F854-8F6B-4F53-BD4F-DC9E396909B9}">
  <sheetPr codeName="Sheet4">
    <tabColor theme="9" tint="0.59999389629810485"/>
  </sheetPr>
  <dimension ref="A1:CD72"/>
  <sheetViews>
    <sheetView showZeros="0" view="pageBreakPreview" topLeftCell="A34" zoomScale="70" zoomScaleNormal="115" zoomScaleSheetLayoutView="70" workbookViewId="0">
      <selection activeCell="H21" sqref="H21:J22"/>
    </sheetView>
  </sheetViews>
  <sheetFormatPr defaultColWidth="9" defaultRowHeight="21"/>
  <cols>
    <col min="1" max="1" width="5.25" style="429" customWidth="1"/>
    <col min="2" max="7" width="4" style="429" customWidth="1"/>
    <col min="8" max="8" width="4" style="430" customWidth="1"/>
    <col min="9" max="37" width="4" style="429" customWidth="1"/>
    <col min="38" max="38" width="3.875" style="429" customWidth="1"/>
    <col min="39" max="39" width="8.25" style="429" hidden="1" customWidth="1"/>
    <col min="40" max="45" width="9" style="429" hidden="1" customWidth="1"/>
    <col min="46" max="51" width="4" style="429" customWidth="1"/>
    <col min="52" max="52" width="4" style="430" customWidth="1"/>
    <col min="53" max="81" width="4" style="429" customWidth="1"/>
    <col min="82" max="82" width="3.875" style="429" customWidth="1"/>
    <col min="83" max="83" width="9" style="429" customWidth="1"/>
    <col min="84" max="16384" width="9" style="429"/>
  </cols>
  <sheetData>
    <row r="1" spans="1:82" ht="21" customHeight="1" thickBot="1">
      <c r="B1" s="2306" t="s">
        <v>701</v>
      </c>
      <c r="C1" s="2306"/>
      <c r="D1" s="2306"/>
      <c r="E1" s="2306"/>
      <c r="F1" s="2306"/>
      <c r="G1" s="2306"/>
      <c r="H1" s="2306"/>
      <c r="I1" s="2306"/>
      <c r="J1" s="2306"/>
      <c r="K1" s="2306"/>
      <c r="L1" s="2306"/>
      <c r="M1" s="2306"/>
      <c r="AT1" s="2306" t="s">
        <v>701</v>
      </c>
      <c r="AU1" s="2306"/>
      <c r="AV1" s="2306"/>
      <c r="AW1" s="2306"/>
      <c r="AX1" s="2306"/>
      <c r="AY1" s="2306"/>
      <c r="AZ1" s="2306"/>
      <c r="BA1" s="2306"/>
      <c r="BB1" s="2306"/>
      <c r="BC1" s="2306"/>
      <c r="BD1" s="2306"/>
      <c r="BE1" s="2306"/>
    </row>
    <row r="2" spans="1:82" ht="24.75" customHeight="1" thickTop="1">
      <c r="A2" s="2201"/>
      <c r="B2" s="2197" t="s">
        <v>623</v>
      </c>
      <c r="C2" s="2198"/>
      <c r="D2" s="2198" t="str">
        <f>CONCATENATE('01 使用承認申請書'!D4)</f>
        <v/>
      </c>
      <c r="E2" s="2198"/>
      <c r="F2" s="2198"/>
      <c r="G2" s="2198"/>
      <c r="H2" s="2198"/>
      <c r="I2" s="2198"/>
      <c r="J2" s="2198"/>
      <c r="K2" s="2198"/>
      <c r="L2" s="2199"/>
      <c r="M2" s="2307" t="s">
        <v>702</v>
      </c>
      <c r="N2" s="2308"/>
      <c r="O2" s="2308"/>
      <c r="P2" s="2308"/>
      <c r="Q2" s="2308"/>
      <c r="R2" s="2308"/>
      <c r="S2" s="2308"/>
      <c r="T2" s="2308"/>
      <c r="U2" s="2308"/>
      <c r="V2" s="2308"/>
      <c r="W2" s="2308"/>
      <c r="X2" s="2308"/>
      <c r="Y2" s="2308"/>
      <c r="Z2" s="2308"/>
      <c r="AA2" s="2308"/>
      <c r="AB2" s="2308"/>
      <c r="AC2" s="2308"/>
      <c r="AD2" s="2308"/>
      <c r="AE2" s="2308"/>
      <c r="AF2" s="2308"/>
      <c r="AG2" s="2308"/>
      <c r="AH2" s="2308"/>
      <c r="AI2" s="2308"/>
      <c r="AJ2" s="2308"/>
      <c r="AK2" s="2308"/>
      <c r="AL2" s="2309"/>
      <c r="AT2" s="615"/>
      <c r="AU2" s="2197" t="s">
        <v>623</v>
      </c>
      <c r="AV2" s="2198"/>
      <c r="AW2" s="2198" t="s">
        <v>639</v>
      </c>
      <c r="AX2" s="2198"/>
      <c r="AY2" s="2198"/>
      <c r="AZ2" s="2198"/>
      <c r="BA2" s="2198"/>
      <c r="BB2" s="2198"/>
      <c r="BC2" s="2198"/>
      <c r="BD2" s="2199"/>
      <c r="BE2" s="2307" t="s">
        <v>702</v>
      </c>
      <c r="BF2" s="2308"/>
      <c r="BG2" s="2308"/>
      <c r="BH2" s="2308"/>
      <c r="BI2" s="2308"/>
      <c r="BJ2" s="2308"/>
      <c r="BK2" s="2308"/>
      <c r="BL2" s="2308"/>
      <c r="BM2" s="2308"/>
      <c r="BN2" s="2308"/>
      <c r="BO2" s="2308"/>
      <c r="BP2" s="2308"/>
      <c r="BQ2" s="2308"/>
      <c r="BR2" s="2308"/>
      <c r="BS2" s="2308"/>
      <c r="BT2" s="2308"/>
      <c r="BU2" s="2308"/>
      <c r="BV2" s="2308"/>
      <c r="BW2" s="2308"/>
      <c r="BX2" s="2308"/>
      <c r="BY2" s="2308"/>
      <c r="BZ2" s="2308"/>
      <c r="CA2" s="2308"/>
      <c r="CB2" s="2308"/>
      <c r="CC2" s="2308"/>
      <c r="CD2" s="2309"/>
    </row>
    <row r="3" spans="1:82" ht="31.15" customHeight="1">
      <c r="A3" s="2202"/>
      <c r="B3" s="2193"/>
      <c r="C3" s="2194"/>
      <c r="D3" s="2194"/>
      <c r="E3" s="2194"/>
      <c r="F3" s="2194"/>
      <c r="G3" s="2194"/>
      <c r="H3" s="2194"/>
      <c r="I3" s="2194"/>
      <c r="J3" s="2194"/>
      <c r="K3" s="2194"/>
      <c r="L3" s="2200"/>
      <c r="M3" s="2310" t="s">
        <v>873</v>
      </c>
      <c r="N3" s="2311"/>
      <c r="O3" s="2311"/>
      <c r="P3" s="2311"/>
      <c r="Q3" s="2311"/>
      <c r="R3" s="2311"/>
      <c r="S3" s="2311"/>
      <c r="T3" s="2311"/>
      <c r="U3" s="2311"/>
      <c r="V3" s="2311"/>
      <c r="W3" s="2311"/>
      <c r="X3" s="2311"/>
      <c r="Y3" s="2311"/>
      <c r="Z3" s="2311"/>
      <c r="AA3" s="2311"/>
      <c r="AB3" s="2311"/>
      <c r="AC3" s="2311"/>
      <c r="AD3" s="2311"/>
      <c r="AE3" s="2311"/>
      <c r="AF3" s="2311"/>
      <c r="AG3" s="2311"/>
      <c r="AH3" s="2311"/>
      <c r="AI3" s="2311"/>
      <c r="AJ3" s="2311"/>
      <c r="AK3" s="2311"/>
      <c r="AL3" s="2312"/>
      <c r="AM3" s="612" t="s">
        <v>627</v>
      </c>
      <c r="AN3" s="612" t="s">
        <v>627</v>
      </c>
      <c r="AO3" s="612" t="s">
        <v>627</v>
      </c>
      <c r="AP3" s="612" t="s">
        <v>627</v>
      </c>
      <c r="AQ3" s="612" t="s">
        <v>627</v>
      </c>
      <c r="AR3" s="612" t="s">
        <v>627</v>
      </c>
      <c r="AS3" s="429" t="s">
        <v>703</v>
      </c>
      <c r="AT3" s="614"/>
      <c r="AU3" s="2193"/>
      <c r="AV3" s="2194"/>
      <c r="AW3" s="2194"/>
      <c r="AX3" s="2194"/>
      <c r="AY3" s="2194"/>
      <c r="AZ3" s="2194"/>
      <c r="BA3" s="2194"/>
      <c r="BB3" s="2194"/>
      <c r="BC3" s="2194"/>
      <c r="BD3" s="2200"/>
      <c r="BE3" s="2310" t="s">
        <v>871</v>
      </c>
      <c r="BF3" s="2311"/>
      <c r="BG3" s="2311"/>
      <c r="BH3" s="2311"/>
      <c r="BI3" s="2311"/>
      <c r="BJ3" s="2311"/>
      <c r="BK3" s="2311"/>
      <c r="BL3" s="2311"/>
      <c r="BM3" s="2311"/>
      <c r="BN3" s="2311"/>
      <c r="BO3" s="2311"/>
      <c r="BP3" s="2311"/>
      <c r="BQ3" s="2311"/>
      <c r="BR3" s="2311"/>
      <c r="BS3" s="2311"/>
      <c r="BT3" s="2311"/>
      <c r="BU3" s="2311"/>
      <c r="BV3" s="2311"/>
      <c r="BW3" s="2311"/>
      <c r="BX3" s="2311"/>
      <c r="BY3" s="2311"/>
      <c r="BZ3" s="2311"/>
      <c r="CA3" s="2311"/>
      <c r="CB3" s="2311"/>
      <c r="CC3" s="2311"/>
      <c r="CD3" s="2312"/>
    </row>
    <row r="4" spans="1:82" ht="24.75" customHeight="1">
      <c r="A4" s="2202"/>
      <c r="B4" s="2193" t="s">
        <v>704</v>
      </c>
      <c r="C4" s="2194"/>
      <c r="D4" s="2319">
        <f>'01 使用承認申請書'!C14</f>
        <v>0</v>
      </c>
      <c r="E4" s="2319"/>
      <c r="F4" s="2319"/>
      <c r="G4" s="2319"/>
      <c r="H4" s="2319"/>
      <c r="I4" s="2319"/>
      <c r="J4" s="2319"/>
      <c r="K4" s="2319"/>
      <c r="L4" s="2330"/>
      <c r="M4" s="2310"/>
      <c r="N4" s="2311"/>
      <c r="O4" s="2311"/>
      <c r="P4" s="2311"/>
      <c r="Q4" s="2311"/>
      <c r="R4" s="2311"/>
      <c r="S4" s="2311"/>
      <c r="T4" s="2311"/>
      <c r="U4" s="2311"/>
      <c r="V4" s="2311"/>
      <c r="W4" s="2311"/>
      <c r="X4" s="2311"/>
      <c r="Y4" s="2311"/>
      <c r="Z4" s="2311"/>
      <c r="AA4" s="2311"/>
      <c r="AB4" s="2311"/>
      <c r="AC4" s="2311"/>
      <c r="AD4" s="2311"/>
      <c r="AE4" s="2311"/>
      <c r="AF4" s="2311"/>
      <c r="AG4" s="2311"/>
      <c r="AH4" s="2311"/>
      <c r="AI4" s="2311"/>
      <c r="AJ4" s="2311"/>
      <c r="AK4" s="2311"/>
      <c r="AL4" s="2312"/>
      <c r="AM4" s="610">
        <v>1</v>
      </c>
      <c r="AN4" s="613" t="s">
        <v>705</v>
      </c>
      <c r="AO4" s="687" t="s">
        <v>629</v>
      </c>
      <c r="AP4" s="429" t="s">
        <v>628</v>
      </c>
      <c r="AQ4" s="688">
        <v>0.29166666666666669</v>
      </c>
      <c r="AR4" s="616" t="s">
        <v>637</v>
      </c>
      <c r="AS4" s="429" t="s">
        <v>706</v>
      </c>
      <c r="AT4" s="614"/>
      <c r="AU4" s="2193" t="s">
        <v>704</v>
      </c>
      <c r="AV4" s="2194"/>
      <c r="AW4" s="2194">
        <v>10</v>
      </c>
      <c r="AX4" s="2194" t="s">
        <v>633</v>
      </c>
      <c r="AY4" s="2194">
        <v>13</v>
      </c>
      <c r="AZ4" s="2194" t="s">
        <v>632</v>
      </c>
      <c r="BA4" s="2194" t="s">
        <v>631</v>
      </c>
      <c r="BB4" s="2339" t="s">
        <v>768</v>
      </c>
      <c r="BC4" s="2194" t="s">
        <v>630</v>
      </c>
      <c r="BD4" s="2200"/>
      <c r="BE4" s="2310"/>
      <c r="BF4" s="2311"/>
      <c r="BG4" s="2311"/>
      <c r="BH4" s="2311"/>
      <c r="BI4" s="2311"/>
      <c r="BJ4" s="2311"/>
      <c r="BK4" s="2311"/>
      <c r="BL4" s="2311"/>
      <c r="BM4" s="2311"/>
      <c r="BN4" s="2311"/>
      <c r="BO4" s="2311"/>
      <c r="BP4" s="2311"/>
      <c r="BQ4" s="2311"/>
      <c r="BR4" s="2311"/>
      <c r="BS4" s="2311"/>
      <c r="BT4" s="2311"/>
      <c r="BU4" s="2311"/>
      <c r="BV4" s="2311"/>
      <c r="BW4" s="2311"/>
      <c r="BX4" s="2311"/>
      <c r="BY4" s="2311"/>
      <c r="BZ4" s="2311"/>
      <c r="CA4" s="2311"/>
      <c r="CB4" s="2311"/>
      <c r="CC4" s="2311"/>
      <c r="CD4" s="2312"/>
    </row>
    <row r="5" spans="1:82" ht="24.75" customHeight="1" thickBot="1">
      <c r="A5" s="2203"/>
      <c r="B5" s="2195"/>
      <c r="C5" s="2196"/>
      <c r="D5" s="2320"/>
      <c r="E5" s="2320"/>
      <c r="F5" s="2320"/>
      <c r="G5" s="2320"/>
      <c r="H5" s="2320"/>
      <c r="I5" s="2320"/>
      <c r="J5" s="2320"/>
      <c r="K5" s="2320"/>
      <c r="L5" s="2331"/>
      <c r="M5" s="2313"/>
      <c r="N5" s="2314"/>
      <c r="O5" s="2314"/>
      <c r="P5" s="2314"/>
      <c r="Q5" s="2314"/>
      <c r="R5" s="2314"/>
      <c r="S5" s="2314"/>
      <c r="T5" s="2314"/>
      <c r="U5" s="2314"/>
      <c r="V5" s="2314"/>
      <c r="W5" s="2314"/>
      <c r="X5" s="2314"/>
      <c r="Y5" s="2314"/>
      <c r="Z5" s="2314"/>
      <c r="AA5" s="2314"/>
      <c r="AB5" s="2314"/>
      <c r="AC5" s="2314"/>
      <c r="AD5" s="2314"/>
      <c r="AE5" s="2314"/>
      <c r="AF5" s="2314"/>
      <c r="AG5" s="2314"/>
      <c r="AH5" s="2314"/>
      <c r="AI5" s="2314"/>
      <c r="AJ5" s="2314"/>
      <c r="AK5" s="2314"/>
      <c r="AL5" s="2315"/>
      <c r="AM5" s="613">
        <v>2</v>
      </c>
      <c r="AN5" s="613" t="s">
        <v>707</v>
      </c>
      <c r="AO5" s="687" t="s">
        <v>626</v>
      </c>
      <c r="AP5" s="429" t="s">
        <v>625</v>
      </c>
      <c r="AQ5" s="688">
        <v>0.3125</v>
      </c>
      <c r="AR5" s="429">
        <v>15</v>
      </c>
      <c r="AS5" s="429" t="s">
        <v>708</v>
      </c>
      <c r="AT5" s="689"/>
      <c r="AU5" s="2195"/>
      <c r="AV5" s="2196"/>
      <c r="AW5" s="2196"/>
      <c r="AX5" s="2196"/>
      <c r="AY5" s="2196"/>
      <c r="AZ5" s="2196"/>
      <c r="BA5" s="2196"/>
      <c r="BB5" s="2196"/>
      <c r="BC5" s="2196"/>
      <c r="BD5" s="2316"/>
      <c r="BE5" s="2313"/>
      <c r="BF5" s="2314"/>
      <c r="BG5" s="2314"/>
      <c r="BH5" s="2314"/>
      <c r="BI5" s="2314"/>
      <c r="BJ5" s="2314"/>
      <c r="BK5" s="2314"/>
      <c r="BL5" s="2314"/>
      <c r="BM5" s="2314"/>
      <c r="BN5" s="2314"/>
      <c r="BO5" s="2314"/>
      <c r="BP5" s="2314"/>
      <c r="BQ5" s="2314"/>
      <c r="BR5" s="2314"/>
      <c r="BS5" s="2314"/>
      <c r="BT5" s="2314"/>
      <c r="BU5" s="2314"/>
      <c r="BV5" s="2314"/>
      <c r="BW5" s="2314"/>
      <c r="BX5" s="2314"/>
      <c r="BY5" s="2314"/>
      <c r="BZ5" s="2314"/>
      <c r="CA5" s="2314"/>
      <c r="CB5" s="2314"/>
      <c r="CC5" s="2314"/>
      <c r="CD5" s="2315"/>
    </row>
    <row r="6" spans="1:82" ht="15" customHeight="1" thickTop="1" thickBot="1">
      <c r="B6" s="690"/>
      <c r="C6" s="687"/>
      <c r="D6" s="687"/>
      <c r="E6" s="687"/>
      <c r="F6" s="687"/>
      <c r="G6" s="687"/>
      <c r="H6" s="687"/>
      <c r="I6" s="687"/>
      <c r="J6" s="687"/>
      <c r="K6" s="687"/>
      <c r="L6" s="687"/>
      <c r="M6" s="691"/>
      <c r="N6" s="691"/>
      <c r="O6" s="691"/>
      <c r="P6" s="691"/>
      <c r="Q6" s="691"/>
      <c r="R6" s="691"/>
      <c r="S6" s="691"/>
      <c r="T6" s="691"/>
      <c r="U6" s="691"/>
      <c r="V6" s="691"/>
      <c r="W6" s="691"/>
      <c r="X6" s="691"/>
      <c r="Y6" s="691"/>
      <c r="Z6" s="691"/>
      <c r="AA6" s="691"/>
      <c r="AB6" s="691"/>
      <c r="AC6" s="691"/>
      <c r="AD6" s="691"/>
      <c r="AE6" s="691"/>
      <c r="AF6" s="691"/>
      <c r="AG6" s="691"/>
      <c r="AH6" s="691"/>
      <c r="AI6" s="691"/>
      <c r="AJ6" s="741"/>
      <c r="AK6" s="692"/>
      <c r="AL6" s="693"/>
      <c r="AM6" s="613">
        <v>3</v>
      </c>
      <c r="AN6" s="613" t="s">
        <v>709</v>
      </c>
      <c r="AO6" s="687" t="s">
        <v>636</v>
      </c>
      <c r="AP6" s="694" t="s">
        <v>951</v>
      </c>
      <c r="AQ6" s="688">
        <v>0.33333333333333331</v>
      </c>
      <c r="AS6" s="429" t="s">
        <v>710</v>
      </c>
      <c r="AT6" s="690"/>
      <c r="AU6" s="687"/>
      <c r="AV6" s="687"/>
      <c r="AW6" s="687"/>
      <c r="AX6" s="687"/>
      <c r="AY6" s="687"/>
      <c r="AZ6" s="687"/>
      <c r="BA6" s="687"/>
      <c r="BB6" s="687"/>
      <c r="BC6" s="687"/>
      <c r="BD6" s="687"/>
      <c r="BE6" s="691"/>
      <c r="BF6" s="691"/>
      <c r="BG6" s="691"/>
      <c r="BH6" s="691"/>
      <c r="BI6" s="691"/>
      <c r="BJ6" s="691"/>
      <c r="BK6" s="691"/>
      <c r="BL6" s="691"/>
      <c r="BM6" s="691"/>
      <c r="BN6" s="691"/>
      <c r="BO6" s="691"/>
      <c r="BP6" s="691"/>
      <c r="BQ6" s="691"/>
      <c r="BR6" s="691"/>
      <c r="BS6" s="691"/>
      <c r="BT6" s="691"/>
      <c r="BU6" s="691"/>
      <c r="BV6" s="691"/>
      <c r="BW6" s="691"/>
      <c r="BX6" s="691"/>
      <c r="BY6" s="691"/>
      <c r="BZ6" s="691"/>
      <c r="CA6" s="738"/>
      <c r="CB6" s="742"/>
      <c r="CC6" s="692"/>
      <c r="CD6" s="693"/>
    </row>
    <row r="7" spans="1:82" ht="18.75" customHeight="1">
      <c r="A7" s="2206" t="s">
        <v>869</v>
      </c>
      <c r="B7" s="2332" t="s">
        <v>711</v>
      </c>
      <c r="C7" s="2333"/>
      <c r="D7" s="2333"/>
      <c r="E7" s="2333"/>
      <c r="F7" s="2333"/>
      <c r="G7" s="2333"/>
      <c r="H7" s="2333"/>
      <c r="I7" s="2333"/>
      <c r="J7" s="2333"/>
      <c r="K7" s="2333"/>
      <c r="L7" s="2333"/>
      <c r="M7" s="2333"/>
      <c r="N7" s="2333"/>
      <c r="O7" s="2333"/>
      <c r="P7" s="2333"/>
      <c r="Q7" s="2333"/>
      <c r="R7" s="2333"/>
      <c r="S7" s="2333"/>
      <c r="T7" s="2333"/>
      <c r="U7" s="2334"/>
      <c r="V7" s="2335" t="s">
        <v>712</v>
      </c>
      <c r="W7" s="2308"/>
      <c r="X7" s="2309"/>
      <c r="Y7" s="2307" t="s">
        <v>713</v>
      </c>
      <c r="Z7" s="2308"/>
      <c r="AA7" s="2308"/>
      <c r="AB7" s="2308"/>
      <c r="AC7" s="2308"/>
      <c r="AD7" s="2308"/>
      <c r="AE7" s="2308"/>
      <c r="AF7" s="2309"/>
      <c r="AG7" s="2307" t="s">
        <v>634</v>
      </c>
      <c r="AH7" s="2308"/>
      <c r="AI7" s="2308"/>
      <c r="AJ7" s="2308"/>
      <c r="AK7" s="2308"/>
      <c r="AL7" s="2309"/>
      <c r="AM7" s="613">
        <v>4</v>
      </c>
      <c r="AN7" s="613"/>
      <c r="AO7" s="687"/>
      <c r="AQ7" s="688">
        <v>0.35416666666666702</v>
      </c>
      <c r="AS7" s="429" t="s">
        <v>714</v>
      </c>
      <c r="AT7" s="2340" t="s">
        <v>711</v>
      </c>
      <c r="AU7" s="2333"/>
      <c r="AV7" s="2333"/>
      <c r="AW7" s="2333"/>
      <c r="AX7" s="2333"/>
      <c r="AY7" s="2333"/>
      <c r="AZ7" s="2333"/>
      <c r="BA7" s="2333"/>
      <c r="BB7" s="2333"/>
      <c r="BC7" s="2333"/>
      <c r="BD7" s="2333"/>
      <c r="BE7" s="2333"/>
      <c r="BF7" s="2333"/>
      <c r="BG7" s="2333"/>
      <c r="BH7" s="2333"/>
      <c r="BI7" s="2333"/>
      <c r="BJ7" s="2333"/>
      <c r="BK7" s="2333"/>
      <c r="BL7" s="2333"/>
      <c r="BM7" s="2334"/>
      <c r="BN7" s="2335" t="s">
        <v>712</v>
      </c>
      <c r="BO7" s="2308"/>
      <c r="BP7" s="2309"/>
      <c r="BQ7" s="2307" t="s">
        <v>713</v>
      </c>
      <c r="BR7" s="2308"/>
      <c r="BS7" s="2308"/>
      <c r="BT7" s="2308"/>
      <c r="BU7" s="2308"/>
      <c r="BV7" s="2308"/>
      <c r="BW7" s="2308"/>
      <c r="BX7" s="2309"/>
      <c r="BY7" s="2307" t="s">
        <v>634</v>
      </c>
      <c r="BZ7" s="2308"/>
      <c r="CA7" s="2308"/>
      <c r="CB7" s="2308"/>
      <c r="CC7" s="2308"/>
      <c r="CD7" s="2309"/>
    </row>
    <row r="8" spans="1:82" ht="18.75" customHeight="1">
      <c r="A8" s="2207"/>
      <c r="B8" s="2317" t="s">
        <v>624</v>
      </c>
      <c r="C8" s="2260"/>
      <c r="D8" s="2260"/>
      <c r="E8" s="2260" t="s">
        <v>715</v>
      </c>
      <c r="F8" s="2260"/>
      <c r="G8" s="2260"/>
      <c r="H8" s="2260" t="s">
        <v>716</v>
      </c>
      <c r="I8" s="2260"/>
      <c r="J8" s="2260"/>
      <c r="K8" s="2260" t="s">
        <v>717</v>
      </c>
      <c r="L8" s="2260"/>
      <c r="M8" s="2260"/>
      <c r="N8" s="2260"/>
      <c r="O8" s="2260"/>
      <c r="P8" s="2260"/>
      <c r="Q8" s="2260" t="s">
        <v>718</v>
      </c>
      <c r="R8" s="2260"/>
      <c r="S8" s="2260"/>
      <c r="T8" s="2260" t="s">
        <v>719</v>
      </c>
      <c r="U8" s="2318"/>
      <c r="V8" s="2336"/>
      <c r="W8" s="2298"/>
      <c r="X8" s="2299"/>
      <c r="Y8" s="2297"/>
      <c r="Z8" s="2298"/>
      <c r="AA8" s="2298"/>
      <c r="AB8" s="2298"/>
      <c r="AC8" s="2298"/>
      <c r="AD8" s="2298"/>
      <c r="AE8" s="2298"/>
      <c r="AF8" s="2299"/>
      <c r="AG8" s="2297"/>
      <c r="AH8" s="2298"/>
      <c r="AI8" s="2298"/>
      <c r="AJ8" s="2298"/>
      <c r="AK8" s="2298"/>
      <c r="AL8" s="2299"/>
      <c r="AM8" s="612"/>
      <c r="AN8" s="612"/>
      <c r="AO8" s="687"/>
      <c r="AQ8" s="688">
        <v>0.375</v>
      </c>
      <c r="AR8" s="429">
        <v>30</v>
      </c>
      <c r="AS8" s="429" t="s">
        <v>720</v>
      </c>
      <c r="AT8" s="2341" t="s">
        <v>624</v>
      </c>
      <c r="AU8" s="2260"/>
      <c r="AV8" s="2260"/>
      <c r="AW8" s="2260" t="s">
        <v>715</v>
      </c>
      <c r="AX8" s="2260"/>
      <c r="AY8" s="2260"/>
      <c r="AZ8" s="2260" t="s">
        <v>716</v>
      </c>
      <c r="BA8" s="2260"/>
      <c r="BB8" s="2260"/>
      <c r="BC8" s="2260" t="s">
        <v>717</v>
      </c>
      <c r="BD8" s="2260"/>
      <c r="BE8" s="2260"/>
      <c r="BF8" s="2260"/>
      <c r="BG8" s="2260"/>
      <c r="BH8" s="2260"/>
      <c r="BI8" s="2260" t="s">
        <v>718</v>
      </c>
      <c r="BJ8" s="2260"/>
      <c r="BK8" s="2260"/>
      <c r="BL8" s="2260" t="s">
        <v>719</v>
      </c>
      <c r="BM8" s="2318"/>
      <c r="BN8" s="2336"/>
      <c r="BO8" s="2298"/>
      <c r="BP8" s="2299"/>
      <c r="BQ8" s="2297"/>
      <c r="BR8" s="2298"/>
      <c r="BS8" s="2298"/>
      <c r="BT8" s="2298"/>
      <c r="BU8" s="2298"/>
      <c r="BV8" s="2298"/>
      <c r="BW8" s="2298"/>
      <c r="BX8" s="2299"/>
      <c r="BY8" s="2297"/>
      <c r="BZ8" s="2298"/>
      <c r="CA8" s="2298"/>
      <c r="CB8" s="2298"/>
      <c r="CC8" s="2298"/>
      <c r="CD8" s="2299"/>
    </row>
    <row r="9" spans="1:82" ht="18" customHeight="1">
      <c r="A9" s="2204" t="s">
        <v>961</v>
      </c>
      <c r="B9" s="2209" t="s">
        <v>628</v>
      </c>
      <c r="C9" s="2210"/>
      <c r="D9" s="2210"/>
      <c r="E9" s="2211"/>
      <c r="F9" s="2211"/>
      <c r="G9" s="2211"/>
      <c r="H9" s="2211"/>
      <c r="I9" s="2211"/>
      <c r="J9" s="2211"/>
      <c r="K9" s="2210"/>
      <c r="L9" s="2210"/>
      <c r="M9" s="2210"/>
      <c r="N9" s="2210"/>
      <c r="O9" s="2210"/>
      <c r="P9" s="2210"/>
      <c r="Q9" s="2210"/>
      <c r="R9" s="2210"/>
      <c r="S9" s="2210"/>
      <c r="T9" s="2218">
        <v>1</v>
      </c>
      <c r="U9" s="2219"/>
      <c r="V9" s="2327" t="str">
        <f>_xlfn.IFS(Q9=$AO$4,$AN$4,Q9=$AO$5,$AN$5,Q9=$AO$6,$AN$5,,,Q9="","")</f>
        <v/>
      </c>
      <c r="W9" s="2278"/>
      <c r="X9" s="2279"/>
      <c r="Y9" s="2294"/>
      <c r="Z9" s="2295"/>
      <c r="AA9" s="2295"/>
      <c r="AB9" s="2295"/>
      <c r="AC9" s="2295"/>
      <c r="AD9" s="2295"/>
      <c r="AE9" s="2295"/>
      <c r="AF9" s="2296"/>
      <c r="AG9" s="2300"/>
      <c r="AH9" s="2301"/>
      <c r="AI9" s="2301"/>
      <c r="AJ9" s="2301"/>
      <c r="AK9" s="2301"/>
      <c r="AL9" s="2302"/>
      <c r="AM9" s="612"/>
      <c r="AN9" s="612"/>
      <c r="AO9" s="612"/>
      <c r="AQ9" s="688">
        <v>0.39583333333333398</v>
      </c>
      <c r="AR9" s="429">
        <v>45</v>
      </c>
      <c r="AS9" s="429" t="s">
        <v>721</v>
      </c>
      <c r="AT9" s="2234" t="s">
        <v>628</v>
      </c>
      <c r="AU9" s="2235"/>
      <c r="AV9" s="2235"/>
      <c r="AW9" s="2236">
        <v>0.41666666666666702</v>
      </c>
      <c r="AX9" s="2236"/>
      <c r="AY9" s="2236"/>
      <c r="AZ9" s="2236">
        <v>0.41666666666666702</v>
      </c>
      <c r="BA9" s="2236"/>
      <c r="BB9" s="2236"/>
      <c r="BC9" s="2235" t="s">
        <v>952</v>
      </c>
      <c r="BD9" s="2235"/>
      <c r="BE9" s="2235"/>
      <c r="BF9" s="2235"/>
      <c r="BG9" s="2235"/>
      <c r="BH9" s="2235"/>
      <c r="BI9" s="2235" t="s">
        <v>957</v>
      </c>
      <c r="BJ9" s="2235"/>
      <c r="BK9" s="2235"/>
      <c r="BL9" s="2218">
        <v>1</v>
      </c>
      <c r="BM9" s="2219"/>
      <c r="BN9" s="2327" t="str">
        <f>_xlfn.IFS(BI9=$AO$4,$AN$4,BI9=$AO$5,$AN$5,BI9=$AO$6,$AN$5,,,BI9="","")</f>
        <v>山の家駐車場</v>
      </c>
      <c r="BO9" s="2278"/>
      <c r="BP9" s="2279"/>
      <c r="BQ9" s="2294"/>
      <c r="BR9" s="2295"/>
      <c r="BS9" s="2295"/>
      <c r="BT9" s="2295"/>
      <c r="BU9" s="2295"/>
      <c r="BV9" s="2295"/>
      <c r="BW9" s="2295"/>
      <c r="BX9" s="2296"/>
      <c r="BY9" s="2294"/>
      <c r="BZ9" s="2295"/>
      <c r="CA9" s="2295"/>
      <c r="CB9" s="2295"/>
      <c r="CC9" s="2295"/>
      <c r="CD9" s="2296"/>
    </row>
    <row r="10" spans="1:82" ht="18" customHeight="1">
      <c r="A10" s="2205"/>
      <c r="B10" s="2292"/>
      <c r="C10" s="2293"/>
      <c r="D10" s="2293"/>
      <c r="E10" s="2212"/>
      <c r="F10" s="2212"/>
      <c r="G10" s="2212"/>
      <c r="H10" s="2212"/>
      <c r="I10" s="2212"/>
      <c r="J10" s="2212"/>
      <c r="K10" s="2293"/>
      <c r="L10" s="2293"/>
      <c r="M10" s="2293"/>
      <c r="N10" s="2293"/>
      <c r="O10" s="2293"/>
      <c r="P10" s="2293"/>
      <c r="Q10" s="2293"/>
      <c r="R10" s="2293"/>
      <c r="S10" s="2293"/>
      <c r="T10" s="2288"/>
      <c r="U10" s="2289"/>
      <c r="V10" s="2329" t="str">
        <f>_xlfn.IFS(AND(B9=$AP$4,Q9=$AO$4),$AS$6,AND(B9=$AP$5,Q9=$AO$4),$AS$6,AND(B9=$AP$6,Q9=$AO$4),$AS$9,AND(B9=$AP$4,Q9=$AO$5),$AS$3,AND(B9=$AP$5,Q9=$AO$5),$AS$3,AND(B9=$AP$6,Q9=$AO$5),$AS$9,AND(B9=$AP$7,Q9=$AO$5),$AS$7,AND(B9=$AP$4,Q9=$AO$6),$AS$3,AND(B9=$AP$5,Q9=$AO$6),$AS$3,AND(B9=$AP$6,Q9=$AO$6),$AS$9,Q9="","")</f>
        <v/>
      </c>
      <c r="W10" s="2290"/>
      <c r="X10" s="2291"/>
      <c r="Y10" s="2297"/>
      <c r="Z10" s="2298"/>
      <c r="AA10" s="2298"/>
      <c r="AB10" s="2298"/>
      <c r="AC10" s="2298"/>
      <c r="AD10" s="2298"/>
      <c r="AE10" s="2298"/>
      <c r="AF10" s="2299"/>
      <c r="AG10" s="2303"/>
      <c r="AH10" s="2304"/>
      <c r="AI10" s="2304"/>
      <c r="AJ10" s="2304"/>
      <c r="AK10" s="2304"/>
      <c r="AL10" s="2305"/>
      <c r="AM10" s="612"/>
      <c r="AN10" s="612"/>
      <c r="AO10" s="612"/>
      <c r="AP10" s="612"/>
      <c r="AQ10" s="688">
        <v>0.41666666666666702</v>
      </c>
      <c r="AT10" s="2342"/>
      <c r="AU10" s="2343"/>
      <c r="AV10" s="2343"/>
      <c r="AW10" s="2237"/>
      <c r="AX10" s="2237"/>
      <c r="AY10" s="2237"/>
      <c r="AZ10" s="2237"/>
      <c r="BA10" s="2237"/>
      <c r="BB10" s="2237"/>
      <c r="BC10" s="2343"/>
      <c r="BD10" s="2343"/>
      <c r="BE10" s="2343"/>
      <c r="BF10" s="2343"/>
      <c r="BG10" s="2343"/>
      <c r="BH10" s="2343"/>
      <c r="BI10" s="2343"/>
      <c r="BJ10" s="2343"/>
      <c r="BK10" s="2343"/>
      <c r="BL10" s="2288"/>
      <c r="BM10" s="2289"/>
      <c r="BN10" s="2329" t="str">
        <f>_xlfn.IFS(AND(AT9=$AP$4,BI9=$AO$4),$AS$6,AND(AT9=$AP$5,BI9=$AO$4),$AS$6,AND(AT9=$AP$6,BI9=$AO$4),$AS$9,AND(AT9=$AP$4,BI9=$AO$5),$AS$3,AND(AT9=$AP$5,BI9=$AO$5),$AS$3,AND(AT9=$AP$6,BI9=$AO$5),$AS$9,AND(AT9=$AP$7,BI9=$AO$5),$AS$7,AND(AT9=$AP$4,BI9=$AO$6),$AS$3,AND(AT9=$AP$5,BI9=$AO$6),$AS$3,AND(AT9=$AP$6,BI9=$AO$6),$AS$9,BI9="","")</f>
        <v>（ブルー）</v>
      </c>
      <c r="BO10" s="2290"/>
      <c r="BP10" s="2291"/>
      <c r="BQ10" s="2297"/>
      <c r="BR10" s="2298"/>
      <c r="BS10" s="2298"/>
      <c r="BT10" s="2298"/>
      <c r="BU10" s="2298"/>
      <c r="BV10" s="2298"/>
      <c r="BW10" s="2298"/>
      <c r="BX10" s="2299"/>
      <c r="BY10" s="2297"/>
      <c r="BZ10" s="2298"/>
      <c r="CA10" s="2298"/>
      <c r="CB10" s="2298"/>
      <c r="CC10" s="2298"/>
      <c r="CD10" s="2299"/>
    </row>
    <row r="11" spans="1:82" ht="18" customHeight="1">
      <c r="A11" s="2205"/>
      <c r="B11" s="2209"/>
      <c r="C11" s="2210"/>
      <c r="D11" s="2210"/>
      <c r="E11" s="2211"/>
      <c r="F11" s="2211"/>
      <c r="G11" s="2211"/>
      <c r="H11" s="2211"/>
      <c r="I11" s="2211"/>
      <c r="J11" s="2211"/>
      <c r="K11" s="2210"/>
      <c r="L11" s="2210"/>
      <c r="M11" s="2210"/>
      <c r="N11" s="2210"/>
      <c r="O11" s="2210"/>
      <c r="P11" s="2210"/>
      <c r="Q11" s="2210"/>
      <c r="R11" s="2210"/>
      <c r="S11" s="2210"/>
      <c r="T11" s="2218">
        <v>1</v>
      </c>
      <c r="U11" s="2219"/>
      <c r="V11" s="2327" t="str">
        <f>_xlfn.IFS(Q11=$AO$4,$AN$4,Q11=$AO$5,$AN$5,Q11=$AO$6,$AN$5,,,Q11="","")</f>
        <v/>
      </c>
      <c r="W11" s="2278"/>
      <c r="X11" s="2279"/>
      <c r="Y11" s="2222"/>
      <c r="Z11" s="2223"/>
      <c r="AA11" s="2223"/>
      <c r="AB11" s="2223"/>
      <c r="AC11" s="2223"/>
      <c r="AD11" s="2223"/>
      <c r="AE11" s="2223"/>
      <c r="AF11" s="2224"/>
      <c r="AG11" s="2228"/>
      <c r="AH11" s="2229"/>
      <c r="AI11" s="2229"/>
      <c r="AJ11" s="2229"/>
      <c r="AK11" s="2229"/>
      <c r="AL11" s="2230"/>
      <c r="AP11" s="610"/>
      <c r="AQ11" s="688">
        <v>0.4375</v>
      </c>
      <c r="AT11" s="2234" t="s">
        <v>628</v>
      </c>
      <c r="AU11" s="2235"/>
      <c r="AV11" s="2235"/>
      <c r="AW11" s="2236">
        <v>0.41666666666666702</v>
      </c>
      <c r="AX11" s="2236"/>
      <c r="AY11" s="2236"/>
      <c r="AZ11" s="2236">
        <v>0.41666666666666702</v>
      </c>
      <c r="BA11" s="2236"/>
      <c r="BB11" s="2236"/>
      <c r="BC11" s="2235" t="s">
        <v>953</v>
      </c>
      <c r="BD11" s="2235"/>
      <c r="BE11" s="2235"/>
      <c r="BF11" s="2235"/>
      <c r="BG11" s="2235"/>
      <c r="BH11" s="2235"/>
      <c r="BI11" s="2235" t="s">
        <v>626</v>
      </c>
      <c r="BJ11" s="2235"/>
      <c r="BK11" s="2235"/>
      <c r="BL11" s="2218">
        <v>1</v>
      </c>
      <c r="BM11" s="2219"/>
      <c r="BN11" s="2327" t="str">
        <f>_xlfn.IFS(BI11=$AO$4,$AN$4,BI11=$AO$5,$AN$5,BI11=$AO$6,$AN$5,,,BI11="","")</f>
        <v>山の家駐車場</v>
      </c>
      <c r="BO11" s="2278"/>
      <c r="BP11" s="2279"/>
      <c r="BQ11" s="2222"/>
      <c r="BR11" s="2223"/>
      <c r="BS11" s="2223"/>
      <c r="BT11" s="2223"/>
      <c r="BU11" s="2223"/>
      <c r="BV11" s="2223"/>
      <c r="BW11" s="2223"/>
      <c r="BX11" s="2224"/>
      <c r="BY11" s="2222"/>
      <c r="BZ11" s="2223"/>
      <c r="CA11" s="2223"/>
      <c r="CB11" s="2223"/>
      <c r="CC11" s="2223"/>
      <c r="CD11" s="2224"/>
    </row>
    <row r="12" spans="1:82" ht="18" customHeight="1">
      <c r="A12" s="2205"/>
      <c r="B12" s="2292"/>
      <c r="C12" s="2293"/>
      <c r="D12" s="2293"/>
      <c r="E12" s="2212"/>
      <c r="F12" s="2212"/>
      <c r="G12" s="2212"/>
      <c r="H12" s="2212"/>
      <c r="I12" s="2212"/>
      <c r="J12" s="2212"/>
      <c r="K12" s="2293"/>
      <c r="L12" s="2293"/>
      <c r="M12" s="2293"/>
      <c r="N12" s="2293"/>
      <c r="O12" s="2293"/>
      <c r="P12" s="2293"/>
      <c r="Q12" s="2293"/>
      <c r="R12" s="2293"/>
      <c r="S12" s="2293"/>
      <c r="T12" s="2288"/>
      <c r="U12" s="2289"/>
      <c r="V12" s="2329" t="str">
        <f>_xlfn.IFS(AND(B11=$AP$4,Q11=$AO$4),$AS$6,AND(B11=$AP$5,Q11=$AO$4),$AS$6,AND(B11=$AP$6,Q11=$AO$4),$AS$9,AND(B11=$AP$4,Q11=$AO$5),$AS$3,AND(B11=$AP$5,Q11=$AO$5),$AS$3,AND(B11=$AP$6,Q11=$AO$5),$AS$9,AND(B11=$AP$7,Q11=$AO$5),$AS$7,AND(B11=$AP$4,Q11=$AO$6),$AS$3,AND(B11=$AP$5,Q11=$AO$6),$AS$3,AND(B11=$AP$6,Q11=$AO$6),$AS$9,Q11="","")</f>
        <v/>
      </c>
      <c r="W12" s="2290"/>
      <c r="X12" s="2291"/>
      <c r="Y12" s="2222"/>
      <c r="Z12" s="2223"/>
      <c r="AA12" s="2223"/>
      <c r="AB12" s="2223"/>
      <c r="AC12" s="2223"/>
      <c r="AD12" s="2223"/>
      <c r="AE12" s="2223"/>
      <c r="AF12" s="2224"/>
      <c r="AG12" s="2228"/>
      <c r="AH12" s="2229"/>
      <c r="AI12" s="2229"/>
      <c r="AJ12" s="2229"/>
      <c r="AK12" s="2229"/>
      <c r="AL12" s="2230"/>
      <c r="AP12" s="958"/>
      <c r="AQ12" s="688">
        <v>0.45833333333333398</v>
      </c>
      <c r="AT12" s="2342"/>
      <c r="AU12" s="2343"/>
      <c r="AV12" s="2343"/>
      <c r="AW12" s="2237"/>
      <c r="AX12" s="2237"/>
      <c r="AY12" s="2237"/>
      <c r="AZ12" s="2237"/>
      <c r="BA12" s="2237"/>
      <c r="BB12" s="2237"/>
      <c r="BC12" s="2343"/>
      <c r="BD12" s="2343"/>
      <c r="BE12" s="2343"/>
      <c r="BF12" s="2343"/>
      <c r="BG12" s="2343"/>
      <c r="BH12" s="2343"/>
      <c r="BI12" s="2343"/>
      <c r="BJ12" s="2343"/>
      <c r="BK12" s="2343"/>
      <c r="BL12" s="2288"/>
      <c r="BM12" s="2289"/>
      <c r="BN12" s="2329" t="str">
        <f>_xlfn.IFS(AND(AT11=$AP$4,BI11=$AO$4),$AS$6,AND(AT11=$AP$5,BI11=$AO$4),$AS$6,AND(AT11=$AP$6,BI11=$AO$4),$AS$9,AND(AT11=$AP$4,BI11=$AO$5),$AS$3,AND(AT11=$AP$5,BI11=$AO$5),$AS$3,AND(AT11=$AP$6,BI11=$AO$5),$AS$9,AND(AT11=$AP$7,BI11=$AO$5),$AS$7,AND(AT11=$AP$4,BI11=$AO$6),$AS$3,AND(AT11=$AP$5,BI11=$AO$6),$AS$3,AND(AT11=$AP$6,BI11=$AO$6),$AS$9,BI11="","")</f>
        <v>（ブルー）</v>
      </c>
      <c r="BO12" s="2290"/>
      <c r="BP12" s="2291"/>
      <c r="BQ12" s="2222"/>
      <c r="BR12" s="2223"/>
      <c r="BS12" s="2223"/>
      <c r="BT12" s="2223"/>
      <c r="BU12" s="2223"/>
      <c r="BV12" s="2223"/>
      <c r="BW12" s="2223"/>
      <c r="BX12" s="2224"/>
      <c r="BY12" s="2222"/>
      <c r="BZ12" s="2223"/>
      <c r="CA12" s="2223"/>
      <c r="CB12" s="2223"/>
      <c r="CC12" s="2223"/>
      <c r="CD12" s="2224"/>
    </row>
    <row r="13" spans="1:82" ht="18" customHeight="1">
      <c r="A13" s="2205"/>
      <c r="B13" s="2209"/>
      <c r="C13" s="2210"/>
      <c r="D13" s="2210"/>
      <c r="E13" s="2211"/>
      <c r="F13" s="2211"/>
      <c r="G13" s="2211"/>
      <c r="H13" s="2211"/>
      <c r="I13" s="2211"/>
      <c r="J13" s="2211"/>
      <c r="K13" s="2210"/>
      <c r="L13" s="2210"/>
      <c r="M13" s="2210"/>
      <c r="N13" s="2210"/>
      <c r="O13" s="2210"/>
      <c r="P13" s="2210"/>
      <c r="Q13" s="2210"/>
      <c r="R13" s="2210"/>
      <c r="S13" s="2210"/>
      <c r="T13" s="2218">
        <v>1</v>
      </c>
      <c r="U13" s="2219"/>
      <c r="V13" s="2327" t="str">
        <f>_xlfn.IFS(Q13=$AO$4,$AN$4,Q13=$AO$5,$AN$5,Q13=$AO$6,$AN$5,,,Q13="","")</f>
        <v/>
      </c>
      <c r="W13" s="2278"/>
      <c r="X13" s="2279"/>
      <c r="Y13" s="2222"/>
      <c r="Z13" s="2223"/>
      <c r="AA13" s="2223"/>
      <c r="AB13" s="2223"/>
      <c r="AC13" s="2223"/>
      <c r="AD13" s="2223"/>
      <c r="AE13" s="2223"/>
      <c r="AF13" s="2224"/>
      <c r="AG13" s="2228"/>
      <c r="AH13" s="2229"/>
      <c r="AI13" s="2229"/>
      <c r="AJ13" s="2229"/>
      <c r="AK13" s="2229"/>
      <c r="AL13" s="2230"/>
      <c r="AQ13" s="688">
        <v>0.47916666666666702</v>
      </c>
      <c r="AT13" s="2234" t="s">
        <v>628</v>
      </c>
      <c r="AU13" s="2235"/>
      <c r="AV13" s="2235"/>
      <c r="AW13" s="2236">
        <v>0.41666666666666702</v>
      </c>
      <c r="AX13" s="2236"/>
      <c r="AY13" s="2236"/>
      <c r="AZ13" s="2236">
        <v>0.41666666666666702</v>
      </c>
      <c r="BA13" s="2236"/>
      <c r="BB13" s="2236"/>
      <c r="BC13" s="2235" t="s">
        <v>954</v>
      </c>
      <c r="BD13" s="2235"/>
      <c r="BE13" s="2235"/>
      <c r="BF13" s="2235"/>
      <c r="BG13" s="2235"/>
      <c r="BH13" s="2235"/>
      <c r="BI13" s="2235" t="s">
        <v>626</v>
      </c>
      <c r="BJ13" s="2235"/>
      <c r="BK13" s="2235"/>
      <c r="BL13" s="2218">
        <v>1</v>
      </c>
      <c r="BM13" s="2219"/>
      <c r="BN13" s="2327" t="str">
        <f>_xlfn.IFS(BI13=$AO$4,$AN$4,BI13=$AO$5,$AN$5,BI13=$AO$6,$AN$5,,,BI13="","")</f>
        <v>山の家駐車場</v>
      </c>
      <c r="BO13" s="2278"/>
      <c r="BP13" s="2279"/>
      <c r="BQ13" s="2222"/>
      <c r="BR13" s="2223"/>
      <c r="BS13" s="2223"/>
      <c r="BT13" s="2223"/>
      <c r="BU13" s="2223"/>
      <c r="BV13" s="2223"/>
      <c r="BW13" s="2223"/>
      <c r="BX13" s="2224"/>
      <c r="BY13" s="2222"/>
      <c r="BZ13" s="2223"/>
      <c r="CA13" s="2223"/>
      <c r="CB13" s="2223"/>
      <c r="CC13" s="2223"/>
      <c r="CD13" s="2224"/>
    </row>
    <row r="14" spans="1:82" ht="18" customHeight="1">
      <c r="A14" s="2205"/>
      <c r="B14" s="2292"/>
      <c r="C14" s="2293"/>
      <c r="D14" s="2293"/>
      <c r="E14" s="2212"/>
      <c r="F14" s="2212"/>
      <c r="G14" s="2212"/>
      <c r="H14" s="2212"/>
      <c r="I14" s="2212"/>
      <c r="J14" s="2212"/>
      <c r="K14" s="2293"/>
      <c r="L14" s="2293"/>
      <c r="M14" s="2293"/>
      <c r="N14" s="2293"/>
      <c r="O14" s="2293"/>
      <c r="P14" s="2293"/>
      <c r="Q14" s="2293"/>
      <c r="R14" s="2293"/>
      <c r="S14" s="2293"/>
      <c r="T14" s="2288"/>
      <c r="U14" s="2289"/>
      <c r="V14" s="2329" t="str">
        <f>_xlfn.IFS(AND(B13=$AP$4,Q13=$AO$4),$AS$6,AND(B13=$AP$5,Q13=$AO$4),$AS$6,AND(B13=$AP$6,Q13=$AO$4),$AS$9,AND(B13=$AP$4,Q13=$AO$5),$AS$3,AND(B13=$AP$5,Q13=$AO$5),$AS$3,AND(B13=$AP$6,Q13=$AO$5),$AS$9,AND(B13=$AP$7,Q13=$AO$5),$AS$7,AND(B13=$AP$4,Q13=$AO$6),$AS$3,AND(B13=$AP$5,Q13=$AO$6),$AS$3,AND(B13=$AP$6,Q13=$AO$6),$AS$9,Q13="","")</f>
        <v/>
      </c>
      <c r="W14" s="2290"/>
      <c r="X14" s="2291"/>
      <c r="Y14" s="2222"/>
      <c r="Z14" s="2223"/>
      <c r="AA14" s="2223"/>
      <c r="AB14" s="2223"/>
      <c r="AC14" s="2223"/>
      <c r="AD14" s="2223"/>
      <c r="AE14" s="2223"/>
      <c r="AF14" s="2224"/>
      <c r="AG14" s="2228"/>
      <c r="AH14" s="2229"/>
      <c r="AI14" s="2229"/>
      <c r="AJ14" s="2229"/>
      <c r="AK14" s="2229"/>
      <c r="AL14" s="2230"/>
      <c r="AQ14" s="688">
        <v>0.5</v>
      </c>
      <c r="AT14" s="2342"/>
      <c r="AU14" s="2343"/>
      <c r="AV14" s="2343"/>
      <c r="AW14" s="2237"/>
      <c r="AX14" s="2237"/>
      <c r="AY14" s="2237"/>
      <c r="AZ14" s="2237"/>
      <c r="BA14" s="2237"/>
      <c r="BB14" s="2237"/>
      <c r="BC14" s="2343"/>
      <c r="BD14" s="2343"/>
      <c r="BE14" s="2343"/>
      <c r="BF14" s="2343"/>
      <c r="BG14" s="2343"/>
      <c r="BH14" s="2343"/>
      <c r="BI14" s="2343"/>
      <c r="BJ14" s="2343"/>
      <c r="BK14" s="2343"/>
      <c r="BL14" s="2288"/>
      <c r="BM14" s="2289"/>
      <c r="BN14" s="2329" t="str">
        <f>_xlfn.IFS(AND(AT13=$AP$4,BI13=$AO$4),$AS$6,AND(AT13=$AP$5,BI13=$AO$4),$AS$6,AND(AT13=$AP$6,BI13=$AO$4),$AS$9,AND(AT13=$AP$4,BI13=$AO$5),$AS$3,AND(AT13=$AP$5,BI13=$AO$5),$AS$3,AND(AT13=$AP$6,BI13=$AO$5),$AS$9,AND(AT13=$AP$7,BI13=$AO$5),$AS$7,AND(AT13=$AP$4,BI13=$AO$6),$AS$3,AND(AT13=$AP$5,BI13=$AO$6),$AS$3,AND(AT13=$AP$6,BI13=$AO$6),$AS$9,BI13="","")</f>
        <v>（ブルー）</v>
      </c>
      <c r="BO14" s="2290"/>
      <c r="BP14" s="2291"/>
      <c r="BQ14" s="2222"/>
      <c r="BR14" s="2223"/>
      <c r="BS14" s="2223"/>
      <c r="BT14" s="2223"/>
      <c r="BU14" s="2223"/>
      <c r="BV14" s="2223"/>
      <c r="BW14" s="2223"/>
      <c r="BX14" s="2224"/>
      <c r="BY14" s="2222"/>
      <c r="BZ14" s="2223"/>
      <c r="CA14" s="2223"/>
      <c r="CB14" s="2223"/>
      <c r="CC14" s="2223"/>
      <c r="CD14" s="2224"/>
    </row>
    <row r="15" spans="1:82" ht="18" customHeight="1">
      <c r="A15" s="2205"/>
      <c r="B15" s="2209"/>
      <c r="C15" s="2210"/>
      <c r="D15" s="2210"/>
      <c r="E15" s="2211"/>
      <c r="F15" s="2211"/>
      <c r="G15" s="2211"/>
      <c r="H15" s="2211"/>
      <c r="I15" s="2211"/>
      <c r="J15" s="2211"/>
      <c r="K15" s="2210"/>
      <c r="L15" s="2210"/>
      <c r="M15" s="2210"/>
      <c r="N15" s="2210"/>
      <c r="O15" s="2210"/>
      <c r="P15" s="2210"/>
      <c r="Q15" s="2210"/>
      <c r="R15" s="2210"/>
      <c r="S15" s="2210"/>
      <c r="T15" s="2218">
        <v>1</v>
      </c>
      <c r="U15" s="2219"/>
      <c r="V15" s="2327" t="str">
        <f>_xlfn.IFS(Q15=$AO$4,$AN$4,Q15=$AO$5,$AN$5,Q15=$AO$6,$AN$5,,,Q15="","")</f>
        <v/>
      </c>
      <c r="W15" s="2278"/>
      <c r="X15" s="2279"/>
      <c r="Y15" s="2222"/>
      <c r="Z15" s="2223"/>
      <c r="AA15" s="2223"/>
      <c r="AB15" s="2223"/>
      <c r="AC15" s="2223"/>
      <c r="AD15" s="2223"/>
      <c r="AE15" s="2223"/>
      <c r="AF15" s="2224"/>
      <c r="AG15" s="2228"/>
      <c r="AH15" s="2229"/>
      <c r="AI15" s="2229"/>
      <c r="AJ15" s="2229"/>
      <c r="AK15" s="2229"/>
      <c r="AL15" s="2230"/>
      <c r="AP15" s="612"/>
      <c r="AQ15" s="688">
        <v>0.52083333333333304</v>
      </c>
      <c r="AT15" s="2234" t="s">
        <v>628</v>
      </c>
      <c r="AU15" s="2235"/>
      <c r="AV15" s="2235"/>
      <c r="AW15" s="2236">
        <v>0.41666666666666702</v>
      </c>
      <c r="AX15" s="2236"/>
      <c r="AY15" s="2236"/>
      <c r="AZ15" s="2236">
        <v>0.41666666666666702</v>
      </c>
      <c r="BA15" s="2236"/>
      <c r="BB15" s="2236"/>
      <c r="BC15" s="2235" t="s">
        <v>955</v>
      </c>
      <c r="BD15" s="2235"/>
      <c r="BE15" s="2235"/>
      <c r="BF15" s="2235"/>
      <c r="BG15" s="2235"/>
      <c r="BH15" s="2235"/>
      <c r="BI15" s="2235" t="s">
        <v>626</v>
      </c>
      <c r="BJ15" s="2235"/>
      <c r="BK15" s="2235"/>
      <c r="BL15" s="2218">
        <v>1</v>
      </c>
      <c r="BM15" s="2219"/>
      <c r="BN15" s="2327" t="str">
        <f>_xlfn.IFS(BI15=$AO$4,$AN$4,BI15=$AO$5,$AN$5,BI15=$AO$6,$AN$5,,,BI15="","")</f>
        <v>山の家駐車場</v>
      </c>
      <c r="BO15" s="2278"/>
      <c r="BP15" s="2279"/>
      <c r="BQ15" s="2222"/>
      <c r="BR15" s="2223"/>
      <c r="BS15" s="2223"/>
      <c r="BT15" s="2223"/>
      <c r="BU15" s="2223"/>
      <c r="BV15" s="2223"/>
      <c r="BW15" s="2223"/>
      <c r="BX15" s="2224"/>
      <c r="BY15" s="2222"/>
      <c r="BZ15" s="2223"/>
      <c r="CA15" s="2223"/>
      <c r="CB15" s="2223"/>
      <c r="CC15" s="2223"/>
      <c r="CD15" s="2224"/>
    </row>
    <row r="16" spans="1:82" ht="18" customHeight="1">
      <c r="A16" s="2205"/>
      <c r="B16" s="2292"/>
      <c r="C16" s="2293"/>
      <c r="D16" s="2293"/>
      <c r="E16" s="2212"/>
      <c r="F16" s="2212"/>
      <c r="G16" s="2212"/>
      <c r="H16" s="2212"/>
      <c r="I16" s="2212"/>
      <c r="J16" s="2212"/>
      <c r="K16" s="2293"/>
      <c r="L16" s="2293"/>
      <c r="M16" s="2293"/>
      <c r="N16" s="2293"/>
      <c r="O16" s="2293"/>
      <c r="P16" s="2293"/>
      <c r="Q16" s="2293"/>
      <c r="R16" s="2293"/>
      <c r="S16" s="2293"/>
      <c r="T16" s="2288"/>
      <c r="U16" s="2289"/>
      <c r="V16" s="2329" t="str">
        <f>_xlfn.IFS(AND(B15=$AP$4,Q15=$AO$4),$AS$6,AND(B15=$AP$5,Q15=$AO$4),$AS$6,AND(B15=$AP$6,Q15=$AO$4),$AS$9,AND(B15=$AP$4,Q15=$AO$5),$AS$3,AND(B15=$AP$5,Q15=$AO$5),$AS$3,AND(B15=$AP$6,Q15=$AO$5),$AS$9,AND(B15=$AP$7,Q15=$AO$5),$AS$7,AND(B15=$AP$4,Q15=$AO$6),$AS$3,AND(B15=$AP$5,Q15=$AO$6),$AS$3,AND(B15=$AP$6,Q15=$AO$6),$AS$9,Q15="","")</f>
        <v/>
      </c>
      <c r="W16" s="2290"/>
      <c r="X16" s="2291"/>
      <c r="Y16" s="2222"/>
      <c r="Z16" s="2223"/>
      <c r="AA16" s="2223"/>
      <c r="AB16" s="2223"/>
      <c r="AC16" s="2223"/>
      <c r="AD16" s="2223"/>
      <c r="AE16" s="2223"/>
      <c r="AF16" s="2224"/>
      <c r="AG16" s="2228"/>
      <c r="AH16" s="2229"/>
      <c r="AI16" s="2229"/>
      <c r="AJ16" s="2229"/>
      <c r="AK16" s="2229"/>
      <c r="AL16" s="2230"/>
      <c r="AP16" s="612"/>
      <c r="AQ16" s="688">
        <v>0.54166666666666696</v>
      </c>
      <c r="AT16" s="2342"/>
      <c r="AU16" s="2343"/>
      <c r="AV16" s="2343"/>
      <c r="AW16" s="2237"/>
      <c r="AX16" s="2237"/>
      <c r="AY16" s="2237"/>
      <c r="AZ16" s="2237"/>
      <c r="BA16" s="2237"/>
      <c r="BB16" s="2237"/>
      <c r="BC16" s="2343"/>
      <c r="BD16" s="2343"/>
      <c r="BE16" s="2343"/>
      <c r="BF16" s="2343"/>
      <c r="BG16" s="2343"/>
      <c r="BH16" s="2343"/>
      <c r="BI16" s="2343"/>
      <c r="BJ16" s="2343"/>
      <c r="BK16" s="2343"/>
      <c r="BL16" s="2288"/>
      <c r="BM16" s="2289"/>
      <c r="BN16" s="2329" t="str">
        <f>_xlfn.IFS(AND(AT15=$AP$4,BI15=$AO$4),$AS$6,AND(AT15=$AP$5,BI15=$AO$4),$AS$6,AND(AT15=$AP$6,BI15=$AO$4),$AS$9,AND(AT15=$AP$4,BI15=$AO$5),$AS$3,AND(AT15=$AP$5,BI15=$AO$5),$AS$3,AND(AT15=$AP$6,BI15=$AO$5),$AS$9,AND(AT15=$AP$7,BI15=$AO$5),$AS$7,AND(AT15=$AP$4,BI15=$AO$6),$AS$3,AND(AT15=$AP$5,BI15=$AO$6),$AS$3,AND(AT15=$AP$6,BI15=$AO$6),$AS$9,BI15="","")</f>
        <v>（ブルー）</v>
      </c>
      <c r="BO16" s="2290"/>
      <c r="BP16" s="2291"/>
      <c r="BQ16" s="2222"/>
      <c r="BR16" s="2223"/>
      <c r="BS16" s="2223"/>
      <c r="BT16" s="2223"/>
      <c r="BU16" s="2223"/>
      <c r="BV16" s="2223"/>
      <c r="BW16" s="2223"/>
      <c r="BX16" s="2224"/>
      <c r="BY16" s="2222"/>
      <c r="BZ16" s="2223"/>
      <c r="CA16" s="2223"/>
      <c r="CB16" s="2223"/>
      <c r="CC16" s="2223"/>
      <c r="CD16" s="2224"/>
    </row>
    <row r="17" spans="1:82" ht="18" customHeight="1">
      <c r="A17" s="2205"/>
      <c r="B17" s="2337"/>
      <c r="C17" s="2210"/>
      <c r="D17" s="2210"/>
      <c r="E17" s="2211"/>
      <c r="F17" s="2211"/>
      <c r="G17" s="2211"/>
      <c r="H17" s="2211"/>
      <c r="I17" s="2211"/>
      <c r="J17" s="2211"/>
      <c r="K17" s="2210"/>
      <c r="L17" s="2210"/>
      <c r="M17" s="2210"/>
      <c r="N17" s="2210"/>
      <c r="O17" s="2210"/>
      <c r="P17" s="2210"/>
      <c r="Q17" s="2210"/>
      <c r="R17" s="2210"/>
      <c r="S17" s="2210"/>
      <c r="T17" s="2218">
        <v>1</v>
      </c>
      <c r="U17" s="2219"/>
      <c r="V17" s="2327" t="str">
        <f>_xlfn.IFS(Q17=$AO$4,$AN$4,Q17=$AO$5,$AN$5,Q17=$AO$6,$AN$5,,,Q17="","")</f>
        <v/>
      </c>
      <c r="W17" s="2278"/>
      <c r="X17" s="2279"/>
      <c r="Y17" s="2222"/>
      <c r="Z17" s="2223"/>
      <c r="AA17" s="2223"/>
      <c r="AB17" s="2223"/>
      <c r="AC17" s="2223"/>
      <c r="AD17" s="2223"/>
      <c r="AE17" s="2223"/>
      <c r="AF17" s="2224"/>
      <c r="AG17" s="2228"/>
      <c r="AH17" s="2229"/>
      <c r="AI17" s="2229"/>
      <c r="AJ17" s="2229"/>
      <c r="AK17" s="2229"/>
      <c r="AL17" s="2230"/>
      <c r="AP17" s="958"/>
      <c r="AQ17" s="688">
        <v>0.5625</v>
      </c>
      <c r="AT17" s="2234" t="s">
        <v>625</v>
      </c>
      <c r="AU17" s="2235"/>
      <c r="AV17" s="2235"/>
      <c r="AW17" s="2236">
        <v>0.41666666666666702</v>
      </c>
      <c r="AX17" s="2236"/>
      <c r="AY17" s="2236"/>
      <c r="AZ17" s="2236">
        <v>0.70833333333333304</v>
      </c>
      <c r="BA17" s="2236"/>
      <c r="BB17" s="2236"/>
      <c r="BC17" s="2235" t="s">
        <v>956</v>
      </c>
      <c r="BD17" s="2235"/>
      <c r="BE17" s="2235"/>
      <c r="BF17" s="2235"/>
      <c r="BG17" s="2235"/>
      <c r="BH17" s="2235"/>
      <c r="BI17" s="2235" t="s">
        <v>626</v>
      </c>
      <c r="BJ17" s="2235"/>
      <c r="BK17" s="2235"/>
      <c r="BL17" s="2218">
        <v>1</v>
      </c>
      <c r="BM17" s="2219"/>
      <c r="BN17" s="2327" t="str">
        <f>_xlfn.IFS(BI17=$AO$4,$AN$4,BI17=$AO$5,$AN$5,BI17=$AO$6,$AN$5,,,BI17="","")</f>
        <v>山の家駐車場</v>
      </c>
      <c r="BO17" s="2278"/>
      <c r="BP17" s="2279"/>
      <c r="BQ17" s="2222"/>
      <c r="BR17" s="2223"/>
      <c r="BS17" s="2223"/>
      <c r="BT17" s="2223"/>
      <c r="BU17" s="2223"/>
      <c r="BV17" s="2223"/>
      <c r="BW17" s="2223"/>
      <c r="BX17" s="2224"/>
      <c r="BY17" s="2222"/>
      <c r="BZ17" s="2223"/>
      <c r="CA17" s="2223"/>
      <c r="CB17" s="2223"/>
      <c r="CC17" s="2223"/>
      <c r="CD17" s="2224"/>
    </row>
    <row r="18" spans="1:82" ht="18" customHeight="1" thickBot="1">
      <c r="A18" s="2205"/>
      <c r="B18" s="2338"/>
      <c r="C18" s="2251"/>
      <c r="D18" s="2251"/>
      <c r="E18" s="2252"/>
      <c r="F18" s="2252"/>
      <c r="G18" s="2252"/>
      <c r="H18" s="2252"/>
      <c r="I18" s="2252"/>
      <c r="J18" s="2252"/>
      <c r="K18" s="2251"/>
      <c r="L18" s="2251"/>
      <c r="M18" s="2251"/>
      <c r="N18" s="2251"/>
      <c r="O18" s="2251"/>
      <c r="P18" s="2251"/>
      <c r="Q18" s="2251"/>
      <c r="R18" s="2251"/>
      <c r="S18" s="2251"/>
      <c r="T18" s="2220"/>
      <c r="U18" s="2221"/>
      <c r="V18" s="2328" t="str">
        <f>_xlfn.IFS(AND(B17=$AP$4,Q17=$AO$4),$AS$6,AND(B17=$AP$5,Q17=$AO$4),$AS$6,AND(B17=$AP$6,Q17=$AO$4),$AS$9,AND(B17=$AP$4,Q17=$AO$5),$AS$3,AND(B17=$AP$5,Q17=$AO$5),$AS$3,AND(B17=$AP$6,Q17=$AO$5),$AS$9,AND(B17=$AP$7,Q17=$AO$5),$AS$7,AND(B17=$AP$4,Q17=$AO$6),$AS$3,AND(B17=$AP$5,Q17=$AO$6),$AS$3,AND(B17=$AP$6,Q17=$AO$6),$AS$9,Q17="","")</f>
        <v/>
      </c>
      <c r="W18" s="2286"/>
      <c r="X18" s="2287"/>
      <c r="Y18" s="2280"/>
      <c r="Z18" s="2281"/>
      <c r="AA18" s="2281"/>
      <c r="AB18" s="2281"/>
      <c r="AC18" s="2281"/>
      <c r="AD18" s="2281"/>
      <c r="AE18" s="2281"/>
      <c r="AF18" s="2282"/>
      <c r="AG18" s="2283"/>
      <c r="AH18" s="2284"/>
      <c r="AI18" s="2284"/>
      <c r="AJ18" s="2284"/>
      <c r="AK18" s="2284"/>
      <c r="AL18" s="2285"/>
      <c r="AQ18" s="688">
        <v>0.58333333333333304</v>
      </c>
      <c r="AT18" s="2344"/>
      <c r="AU18" s="2345"/>
      <c r="AV18" s="2345"/>
      <c r="AW18" s="2346"/>
      <c r="AX18" s="2346"/>
      <c r="AY18" s="2346"/>
      <c r="AZ18" s="2346"/>
      <c r="BA18" s="2346"/>
      <c r="BB18" s="2346"/>
      <c r="BC18" s="2345"/>
      <c r="BD18" s="2345"/>
      <c r="BE18" s="2345"/>
      <c r="BF18" s="2345"/>
      <c r="BG18" s="2345"/>
      <c r="BH18" s="2345"/>
      <c r="BI18" s="2345"/>
      <c r="BJ18" s="2345"/>
      <c r="BK18" s="2345"/>
      <c r="BL18" s="2220"/>
      <c r="BM18" s="2221"/>
      <c r="BN18" s="2328" t="str">
        <f>_xlfn.IFS(AND(AT17=$AP$4,BI17=$AO$4),$AS$6,AND(AT17=$AP$5,BI17=$AO$4),$AS$6,AND(AT17=$AP$6,BI17=$AO$4),$AS$9,AND(AT17=$AP$4,BI17=$AO$5),$AS$3,AND(AT17=$AP$5,BI17=$AO$5),$AS$3,AND(AT17=$AP$6,BI17=$AO$5),$AS$9,AND(AT17=$AP$7,BI17=$AO$5),$AS$7,AND(AT17=$AP$4,BI17=$AO$6),$AS$3,AND(AT17=$AP$5,BI17=$AO$6),$AS$3,AND(AT17=$AP$6,BI17=$AO$6),$AS$9,BI17="","")</f>
        <v>（ブルー）</v>
      </c>
      <c r="BO18" s="2286"/>
      <c r="BP18" s="2287"/>
      <c r="BQ18" s="2280"/>
      <c r="BR18" s="2281"/>
      <c r="BS18" s="2281"/>
      <c r="BT18" s="2281"/>
      <c r="BU18" s="2281"/>
      <c r="BV18" s="2281"/>
      <c r="BW18" s="2281"/>
      <c r="BX18" s="2282"/>
      <c r="BY18" s="2280"/>
      <c r="BZ18" s="2281"/>
      <c r="CA18" s="2281"/>
      <c r="CB18" s="2281"/>
      <c r="CC18" s="2281"/>
      <c r="CD18" s="2282"/>
    </row>
    <row r="19" spans="1:82" ht="18" customHeight="1">
      <c r="A19" s="2190" t="s">
        <v>948</v>
      </c>
      <c r="B19" s="2253" t="s">
        <v>947</v>
      </c>
      <c r="C19" s="2244"/>
      <c r="D19" s="2244"/>
      <c r="E19" s="2254"/>
      <c r="F19" s="2254"/>
      <c r="G19" s="2254"/>
      <c r="H19" s="2254"/>
      <c r="I19" s="2254"/>
      <c r="J19" s="2254"/>
      <c r="K19" s="2244"/>
      <c r="L19" s="2244"/>
      <c r="M19" s="2244"/>
      <c r="N19" s="2244"/>
      <c r="O19" s="2244"/>
      <c r="P19" s="2244"/>
      <c r="Q19" s="2244"/>
      <c r="R19" s="2244"/>
      <c r="S19" s="2244"/>
      <c r="T19" s="2245" t="s">
        <v>722</v>
      </c>
      <c r="U19" s="2246"/>
      <c r="V19" s="2327"/>
      <c r="W19" s="2278"/>
      <c r="X19" s="2279"/>
      <c r="Y19" s="2238"/>
      <c r="Z19" s="2239"/>
      <c r="AA19" s="2239"/>
      <c r="AB19" s="2239"/>
      <c r="AC19" s="2239"/>
      <c r="AD19" s="2239"/>
      <c r="AE19" s="2239"/>
      <c r="AF19" s="2240"/>
      <c r="AG19" s="2241"/>
      <c r="AH19" s="2242"/>
      <c r="AI19" s="2242"/>
      <c r="AJ19" s="2242"/>
      <c r="AK19" s="2242"/>
      <c r="AL19" s="2243"/>
      <c r="AQ19" s="688">
        <v>0.60416666666666696</v>
      </c>
      <c r="AT19" s="2347" t="s">
        <v>625</v>
      </c>
      <c r="AU19" s="2348"/>
      <c r="AV19" s="2348"/>
      <c r="AW19" s="2349">
        <v>0.45833333333333398</v>
      </c>
      <c r="AX19" s="2349"/>
      <c r="AY19" s="2349"/>
      <c r="AZ19" s="2349">
        <v>0.66666666666666696</v>
      </c>
      <c r="BA19" s="2349"/>
      <c r="BB19" s="2349"/>
      <c r="BC19" s="2348" t="s">
        <v>958</v>
      </c>
      <c r="BD19" s="2348"/>
      <c r="BE19" s="2348"/>
      <c r="BF19" s="2348"/>
      <c r="BG19" s="2348"/>
      <c r="BH19" s="2348"/>
      <c r="BI19" s="2348" t="s">
        <v>626</v>
      </c>
      <c r="BJ19" s="2348"/>
      <c r="BK19" s="2348"/>
      <c r="BL19" s="2350">
        <v>1</v>
      </c>
      <c r="BM19" s="2351"/>
      <c r="BN19" s="2247" t="s">
        <v>705</v>
      </c>
      <c r="BO19" s="2248"/>
      <c r="BP19" s="2249"/>
      <c r="BQ19" s="2238"/>
      <c r="BR19" s="2239"/>
      <c r="BS19" s="2239"/>
      <c r="BT19" s="2239"/>
      <c r="BU19" s="2239"/>
      <c r="BV19" s="2239"/>
      <c r="BW19" s="2239"/>
      <c r="BX19" s="2240"/>
      <c r="BY19" s="2238"/>
      <c r="BZ19" s="2239"/>
      <c r="CA19" s="2239"/>
      <c r="CB19" s="2239"/>
      <c r="CC19" s="2239"/>
      <c r="CD19" s="2240"/>
    </row>
    <row r="20" spans="1:82" ht="18" customHeight="1">
      <c r="A20" s="2191"/>
      <c r="B20" s="2209"/>
      <c r="C20" s="2210"/>
      <c r="D20" s="2210"/>
      <c r="E20" s="2212"/>
      <c r="F20" s="2212"/>
      <c r="G20" s="2212"/>
      <c r="H20" s="2212"/>
      <c r="I20" s="2212"/>
      <c r="J20" s="2212"/>
      <c r="K20" s="2210"/>
      <c r="L20" s="2210"/>
      <c r="M20" s="2210"/>
      <c r="N20" s="2210"/>
      <c r="O20" s="2210"/>
      <c r="P20" s="2210"/>
      <c r="Q20" s="2210"/>
      <c r="R20" s="2210"/>
      <c r="S20" s="2210"/>
      <c r="T20" s="2213"/>
      <c r="U20" s="2214"/>
      <c r="V20" s="2329"/>
      <c r="W20" s="2290"/>
      <c r="X20" s="2291"/>
      <c r="Y20" s="2294"/>
      <c r="Z20" s="2295"/>
      <c r="AA20" s="2295"/>
      <c r="AB20" s="2295"/>
      <c r="AC20" s="2295"/>
      <c r="AD20" s="2295"/>
      <c r="AE20" s="2295"/>
      <c r="AF20" s="2296"/>
      <c r="AG20" s="2300"/>
      <c r="AH20" s="2301"/>
      <c r="AI20" s="2301"/>
      <c r="AJ20" s="2301"/>
      <c r="AK20" s="2301"/>
      <c r="AL20" s="2302"/>
      <c r="AP20" s="612"/>
      <c r="AQ20" s="688">
        <v>0.625</v>
      </c>
      <c r="AT20" s="2234"/>
      <c r="AU20" s="2235"/>
      <c r="AV20" s="2235"/>
      <c r="AW20" s="2237"/>
      <c r="AX20" s="2237"/>
      <c r="AY20" s="2237"/>
      <c r="AZ20" s="2237"/>
      <c r="BA20" s="2237"/>
      <c r="BB20" s="2237"/>
      <c r="BC20" s="2235"/>
      <c r="BD20" s="2235"/>
      <c r="BE20" s="2235"/>
      <c r="BF20" s="2235"/>
      <c r="BG20" s="2235"/>
      <c r="BH20" s="2235"/>
      <c r="BI20" s="2235"/>
      <c r="BJ20" s="2235"/>
      <c r="BK20" s="2235"/>
      <c r="BL20" s="2218"/>
      <c r="BM20" s="2219"/>
      <c r="BN20" s="2187" t="s">
        <v>870</v>
      </c>
      <c r="BO20" s="2188"/>
      <c r="BP20" s="2189"/>
      <c r="BQ20" s="2294"/>
      <c r="BR20" s="2295"/>
      <c r="BS20" s="2295"/>
      <c r="BT20" s="2295"/>
      <c r="BU20" s="2295"/>
      <c r="BV20" s="2295"/>
      <c r="BW20" s="2295"/>
      <c r="BX20" s="2296"/>
      <c r="BY20" s="2294"/>
      <c r="BZ20" s="2295"/>
      <c r="CA20" s="2295"/>
      <c r="CB20" s="2295"/>
      <c r="CC20" s="2295"/>
      <c r="CD20" s="2296"/>
    </row>
    <row r="21" spans="1:82" ht="18" customHeight="1">
      <c r="A21" s="2191"/>
      <c r="B21" s="2209"/>
      <c r="C21" s="2210"/>
      <c r="D21" s="2210"/>
      <c r="E21" s="2211"/>
      <c r="F21" s="2211"/>
      <c r="G21" s="2211"/>
      <c r="H21" s="2211"/>
      <c r="I21" s="2211"/>
      <c r="J21" s="2211"/>
      <c r="K21" s="2210"/>
      <c r="L21" s="2210"/>
      <c r="M21" s="2210"/>
      <c r="N21" s="2210"/>
      <c r="O21" s="2210"/>
      <c r="P21" s="2210"/>
      <c r="Q21" s="2210"/>
      <c r="R21" s="2210"/>
      <c r="S21" s="2210"/>
      <c r="T21" s="2213" t="s">
        <v>722</v>
      </c>
      <c r="U21" s="2214"/>
      <c r="V21" s="2215"/>
      <c r="W21" s="2216"/>
      <c r="X21" s="2217"/>
      <c r="Y21" s="2222"/>
      <c r="Z21" s="2223"/>
      <c r="AA21" s="2223"/>
      <c r="AB21" s="2223"/>
      <c r="AC21" s="2223"/>
      <c r="AD21" s="2223"/>
      <c r="AE21" s="2223"/>
      <c r="AF21" s="2224"/>
      <c r="AG21" s="2228"/>
      <c r="AH21" s="2229"/>
      <c r="AI21" s="2229"/>
      <c r="AJ21" s="2229"/>
      <c r="AK21" s="2229"/>
      <c r="AL21" s="2230"/>
      <c r="AP21" s="612"/>
      <c r="AQ21" s="688">
        <v>0.64583333333333304</v>
      </c>
      <c r="AT21" s="2234" t="s">
        <v>947</v>
      </c>
      <c r="AU21" s="2235"/>
      <c r="AV21" s="2235"/>
      <c r="AW21" s="2236">
        <v>0.41666666666666702</v>
      </c>
      <c r="AX21" s="2236"/>
      <c r="AY21" s="2236"/>
      <c r="AZ21" s="2236">
        <v>0.4375</v>
      </c>
      <c r="BA21" s="2236"/>
      <c r="BB21" s="2236"/>
      <c r="BC21" s="2235" t="s">
        <v>959</v>
      </c>
      <c r="BD21" s="2235"/>
      <c r="BE21" s="2235"/>
      <c r="BF21" s="2235"/>
      <c r="BG21" s="2235"/>
      <c r="BH21" s="2235"/>
      <c r="BI21" s="2235" t="s">
        <v>801</v>
      </c>
      <c r="BJ21" s="2235"/>
      <c r="BK21" s="2235"/>
      <c r="BL21" s="2218">
        <v>3</v>
      </c>
      <c r="BM21" s="2219"/>
      <c r="BN21" s="2215" t="s">
        <v>705</v>
      </c>
      <c r="BO21" s="2216"/>
      <c r="BP21" s="2217"/>
      <c r="BQ21" s="2222"/>
      <c r="BR21" s="2223"/>
      <c r="BS21" s="2223"/>
      <c r="BT21" s="2223"/>
      <c r="BU21" s="2223"/>
      <c r="BV21" s="2223"/>
      <c r="BW21" s="2223"/>
      <c r="BX21" s="2224"/>
      <c r="BY21" s="2222"/>
      <c r="BZ21" s="2223"/>
      <c r="CA21" s="2223"/>
      <c r="CB21" s="2223"/>
      <c r="CC21" s="2223"/>
      <c r="CD21" s="2224"/>
    </row>
    <row r="22" spans="1:82" ht="18" customHeight="1">
      <c r="A22" s="2191"/>
      <c r="B22" s="2209"/>
      <c r="C22" s="2210"/>
      <c r="D22" s="2210"/>
      <c r="E22" s="2212"/>
      <c r="F22" s="2212"/>
      <c r="G22" s="2212"/>
      <c r="H22" s="2212"/>
      <c r="I22" s="2212"/>
      <c r="J22" s="2212"/>
      <c r="K22" s="2210"/>
      <c r="L22" s="2210"/>
      <c r="M22" s="2210"/>
      <c r="N22" s="2210"/>
      <c r="O22" s="2210"/>
      <c r="P22" s="2210"/>
      <c r="Q22" s="2210"/>
      <c r="R22" s="2210"/>
      <c r="S22" s="2210"/>
      <c r="T22" s="2213"/>
      <c r="U22" s="2214"/>
      <c r="V22" s="2187"/>
      <c r="W22" s="2188"/>
      <c r="X22" s="2189"/>
      <c r="Y22" s="2222"/>
      <c r="Z22" s="2223"/>
      <c r="AA22" s="2223"/>
      <c r="AB22" s="2223"/>
      <c r="AC22" s="2223"/>
      <c r="AD22" s="2223"/>
      <c r="AE22" s="2223"/>
      <c r="AF22" s="2224"/>
      <c r="AG22" s="2228"/>
      <c r="AH22" s="2229"/>
      <c r="AI22" s="2229"/>
      <c r="AJ22" s="2229"/>
      <c r="AK22" s="2229"/>
      <c r="AL22" s="2230"/>
      <c r="AP22" s="958"/>
      <c r="AQ22" s="688">
        <v>0.66666666666666696</v>
      </c>
      <c r="AT22" s="2234"/>
      <c r="AU22" s="2235"/>
      <c r="AV22" s="2235"/>
      <c r="AW22" s="2237"/>
      <c r="AX22" s="2237"/>
      <c r="AY22" s="2237"/>
      <c r="AZ22" s="2237"/>
      <c r="BA22" s="2237"/>
      <c r="BB22" s="2237"/>
      <c r="BC22" s="2235"/>
      <c r="BD22" s="2235"/>
      <c r="BE22" s="2235"/>
      <c r="BF22" s="2235"/>
      <c r="BG22" s="2235"/>
      <c r="BH22" s="2235"/>
      <c r="BI22" s="2235"/>
      <c r="BJ22" s="2235"/>
      <c r="BK22" s="2235"/>
      <c r="BL22" s="2218"/>
      <c r="BM22" s="2219"/>
      <c r="BN22" s="2187" t="s">
        <v>721</v>
      </c>
      <c r="BO22" s="2188"/>
      <c r="BP22" s="2189"/>
      <c r="BQ22" s="2222"/>
      <c r="BR22" s="2223"/>
      <c r="BS22" s="2223"/>
      <c r="BT22" s="2223"/>
      <c r="BU22" s="2223"/>
      <c r="BV22" s="2223"/>
      <c r="BW22" s="2223"/>
      <c r="BX22" s="2224"/>
      <c r="BY22" s="2222"/>
      <c r="BZ22" s="2223"/>
      <c r="CA22" s="2223"/>
      <c r="CB22" s="2223"/>
      <c r="CC22" s="2223"/>
      <c r="CD22" s="2224"/>
    </row>
    <row r="23" spans="1:82" ht="18" customHeight="1">
      <c r="A23" s="2191"/>
      <c r="B23" s="2209"/>
      <c r="C23" s="2210"/>
      <c r="D23" s="2210"/>
      <c r="E23" s="2211"/>
      <c r="F23" s="2211"/>
      <c r="G23" s="2211"/>
      <c r="H23" s="2211"/>
      <c r="I23" s="2211"/>
      <c r="J23" s="2211"/>
      <c r="K23" s="2210"/>
      <c r="L23" s="2210"/>
      <c r="M23" s="2210"/>
      <c r="N23" s="2210"/>
      <c r="O23" s="2210"/>
      <c r="P23" s="2210"/>
      <c r="Q23" s="2210"/>
      <c r="R23" s="2210"/>
      <c r="S23" s="2210"/>
      <c r="T23" s="2213" t="s">
        <v>722</v>
      </c>
      <c r="U23" s="2214"/>
      <c r="V23" s="2215"/>
      <c r="W23" s="2216"/>
      <c r="X23" s="2217"/>
      <c r="Y23" s="2222"/>
      <c r="Z23" s="2223"/>
      <c r="AA23" s="2223"/>
      <c r="AB23" s="2223"/>
      <c r="AC23" s="2223"/>
      <c r="AD23" s="2223"/>
      <c r="AE23" s="2223"/>
      <c r="AF23" s="2224"/>
      <c r="AG23" s="2228"/>
      <c r="AH23" s="2229"/>
      <c r="AI23" s="2229"/>
      <c r="AJ23" s="2229"/>
      <c r="AK23" s="2229"/>
      <c r="AL23" s="2230"/>
      <c r="AQ23" s="688">
        <v>0.6875</v>
      </c>
      <c r="AT23" s="2234" t="s">
        <v>947</v>
      </c>
      <c r="AU23" s="2235"/>
      <c r="AV23" s="2235"/>
      <c r="AW23" s="2236">
        <v>0.4375</v>
      </c>
      <c r="AX23" s="2236"/>
      <c r="AY23" s="2236"/>
      <c r="AZ23" s="2236">
        <v>0.45833333333333398</v>
      </c>
      <c r="BA23" s="2236"/>
      <c r="BB23" s="2236"/>
      <c r="BC23" s="2235" t="s">
        <v>941</v>
      </c>
      <c r="BD23" s="2235"/>
      <c r="BE23" s="2235"/>
      <c r="BF23" s="2235"/>
      <c r="BG23" s="2235"/>
      <c r="BH23" s="2235"/>
      <c r="BI23" s="2235" t="s">
        <v>626</v>
      </c>
      <c r="BJ23" s="2235"/>
      <c r="BK23" s="2235"/>
      <c r="BL23" s="2218">
        <v>1</v>
      </c>
      <c r="BM23" s="2219"/>
      <c r="BN23" s="2215" t="s">
        <v>960</v>
      </c>
      <c r="BO23" s="2216"/>
      <c r="BP23" s="2217"/>
      <c r="BQ23" s="2222"/>
      <c r="BR23" s="2223"/>
      <c r="BS23" s="2223"/>
      <c r="BT23" s="2223"/>
      <c r="BU23" s="2223"/>
      <c r="BV23" s="2223"/>
      <c r="BW23" s="2223"/>
      <c r="BX23" s="2224"/>
      <c r="BY23" s="2222"/>
      <c r="BZ23" s="2223"/>
      <c r="CA23" s="2223"/>
      <c r="CB23" s="2223"/>
      <c r="CC23" s="2223"/>
      <c r="CD23" s="2224"/>
    </row>
    <row r="24" spans="1:82" ht="18" customHeight="1">
      <c r="A24" s="2191"/>
      <c r="B24" s="2209"/>
      <c r="C24" s="2210"/>
      <c r="D24" s="2210"/>
      <c r="E24" s="2212"/>
      <c r="F24" s="2212"/>
      <c r="G24" s="2212"/>
      <c r="H24" s="2212"/>
      <c r="I24" s="2212"/>
      <c r="J24" s="2212"/>
      <c r="K24" s="2210"/>
      <c r="L24" s="2210"/>
      <c r="M24" s="2210"/>
      <c r="N24" s="2210"/>
      <c r="O24" s="2210"/>
      <c r="P24" s="2210"/>
      <c r="Q24" s="2210"/>
      <c r="R24" s="2210"/>
      <c r="S24" s="2210"/>
      <c r="T24" s="2213"/>
      <c r="U24" s="2214"/>
      <c r="V24" s="2187"/>
      <c r="W24" s="2188"/>
      <c r="X24" s="2189"/>
      <c r="Y24" s="2222"/>
      <c r="Z24" s="2223"/>
      <c r="AA24" s="2223"/>
      <c r="AB24" s="2223"/>
      <c r="AC24" s="2223"/>
      <c r="AD24" s="2223"/>
      <c r="AE24" s="2223"/>
      <c r="AF24" s="2224"/>
      <c r="AG24" s="2228"/>
      <c r="AH24" s="2229"/>
      <c r="AI24" s="2229"/>
      <c r="AJ24" s="2229"/>
      <c r="AK24" s="2229"/>
      <c r="AL24" s="2230"/>
      <c r="AQ24" s="688">
        <v>0.70833333333333304</v>
      </c>
      <c r="AT24" s="2234"/>
      <c r="AU24" s="2235"/>
      <c r="AV24" s="2235"/>
      <c r="AW24" s="2237"/>
      <c r="AX24" s="2237"/>
      <c r="AY24" s="2237"/>
      <c r="AZ24" s="2237"/>
      <c r="BA24" s="2237"/>
      <c r="BB24" s="2237"/>
      <c r="BC24" s="2235"/>
      <c r="BD24" s="2235"/>
      <c r="BE24" s="2235"/>
      <c r="BF24" s="2235"/>
      <c r="BG24" s="2235"/>
      <c r="BH24" s="2235"/>
      <c r="BI24" s="2235"/>
      <c r="BJ24" s="2235"/>
      <c r="BK24" s="2235"/>
      <c r="BL24" s="2218"/>
      <c r="BM24" s="2219"/>
      <c r="BN24" s="2187" t="s">
        <v>721</v>
      </c>
      <c r="BO24" s="2188"/>
      <c r="BP24" s="2189"/>
      <c r="BQ24" s="2222"/>
      <c r="BR24" s="2223"/>
      <c r="BS24" s="2223"/>
      <c r="BT24" s="2223"/>
      <c r="BU24" s="2223"/>
      <c r="BV24" s="2223"/>
      <c r="BW24" s="2223"/>
      <c r="BX24" s="2224"/>
      <c r="BY24" s="2222"/>
      <c r="BZ24" s="2223"/>
      <c r="CA24" s="2223"/>
      <c r="CB24" s="2223"/>
      <c r="CC24" s="2223"/>
      <c r="CD24" s="2224"/>
    </row>
    <row r="25" spans="1:82" ht="18" customHeight="1">
      <c r="A25" s="2191"/>
      <c r="B25" s="2209"/>
      <c r="C25" s="2210"/>
      <c r="D25" s="2210"/>
      <c r="E25" s="2211"/>
      <c r="F25" s="2211"/>
      <c r="G25" s="2211"/>
      <c r="H25" s="2211"/>
      <c r="I25" s="2211"/>
      <c r="J25" s="2211"/>
      <c r="K25" s="2210"/>
      <c r="L25" s="2210"/>
      <c r="M25" s="2210"/>
      <c r="N25" s="2210"/>
      <c r="O25" s="2210"/>
      <c r="P25" s="2210"/>
      <c r="Q25" s="2210"/>
      <c r="R25" s="2210"/>
      <c r="S25" s="2210"/>
      <c r="T25" s="2213" t="s">
        <v>722</v>
      </c>
      <c r="U25" s="2214"/>
      <c r="V25" s="2215"/>
      <c r="W25" s="2216"/>
      <c r="X25" s="2217"/>
      <c r="Y25" s="2222"/>
      <c r="Z25" s="2223"/>
      <c r="AA25" s="2223"/>
      <c r="AB25" s="2223"/>
      <c r="AC25" s="2223"/>
      <c r="AD25" s="2223"/>
      <c r="AE25" s="2223"/>
      <c r="AF25" s="2224"/>
      <c r="AG25" s="2228"/>
      <c r="AH25" s="2229"/>
      <c r="AI25" s="2229"/>
      <c r="AJ25" s="2229"/>
      <c r="AK25" s="2229"/>
      <c r="AL25" s="2230"/>
      <c r="AQ25" s="688">
        <v>0.6875</v>
      </c>
      <c r="AT25" s="2234"/>
      <c r="AU25" s="2235"/>
      <c r="AV25" s="2235"/>
      <c r="AW25" s="2236"/>
      <c r="AX25" s="2236"/>
      <c r="AY25" s="2236"/>
      <c r="AZ25" s="2236"/>
      <c r="BA25" s="2236"/>
      <c r="BB25" s="2236"/>
      <c r="BC25" s="2235"/>
      <c r="BD25" s="2235"/>
      <c r="BE25" s="2235"/>
      <c r="BF25" s="2235"/>
      <c r="BG25" s="2235"/>
      <c r="BH25" s="2235"/>
      <c r="BI25" s="2235"/>
      <c r="BJ25" s="2235"/>
      <c r="BK25" s="2235"/>
      <c r="BL25" s="2218" t="s">
        <v>722</v>
      </c>
      <c r="BM25" s="2219"/>
      <c r="BN25" s="2215"/>
      <c r="BO25" s="2216"/>
      <c r="BP25" s="2217"/>
      <c r="BQ25" s="2222"/>
      <c r="BR25" s="2223"/>
      <c r="BS25" s="2223"/>
      <c r="BT25" s="2223"/>
      <c r="BU25" s="2223"/>
      <c r="BV25" s="2223"/>
      <c r="BW25" s="2223"/>
      <c r="BX25" s="2224"/>
      <c r="BY25" s="2222"/>
      <c r="BZ25" s="2223"/>
      <c r="CA25" s="2223"/>
      <c r="CB25" s="2223"/>
      <c r="CC25" s="2223"/>
      <c r="CD25" s="2224"/>
    </row>
    <row r="26" spans="1:82" ht="18" customHeight="1">
      <c r="A26" s="2191"/>
      <c r="B26" s="2209"/>
      <c r="C26" s="2210"/>
      <c r="D26" s="2210"/>
      <c r="E26" s="2212"/>
      <c r="F26" s="2212"/>
      <c r="G26" s="2212"/>
      <c r="H26" s="2212"/>
      <c r="I26" s="2212"/>
      <c r="J26" s="2212"/>
      <c r="K26" s="2210"/>
      <c r="L26" s="2210"/>
      <c r="M26" s="2210"/>
      <c r="N26" s="2210"/>
      <c r="O26" s="2210"/>
      <c r="P26" s="2210"/>
      <c r="Q26" s="2210"/>
      <c r="R26" s="2210"/>
      <c r="S26" s="2210"/>
      <c r="T26" s="2213"/>
      <c r="U26" s="2214"/>
      <c r="V26" s="2187"/>
      <c r="W26" s="2188"/>
      <c r="X26" s="2189"/>
      <c r="Y26" s="2222"/>
      <c r="Z26" s="2223"/>
      <c r="AA26" s="2223"/>
      <c r="AB26" s="2223"/>
      <c r="AC26" s="2223"/>
      <c r="AD26" s="2223"/>
      <c r="AE26" s="2223"/>
      <c r="AF26" s="2224"/>
      <c r="AG26" s="2228"/>
      <c r="AH26" s="2229"/>
      <c r="AI26" s="2229"/>
      <c r="AJ26" s="2229"/>
      <c r="AK26" s="2229"/>
      <c r="AL26" s="2230"/>
      <c r="AQ26" s="688">
        <v>0.70833333333333304</v>
      </c>
      <c r="AT26" s="2234"/>
      <c r="AU26" s="2235"/>
      <c r="AV26" s="2235"/>
      <c r="AW26" s="2237"/>
      <c r="AX26" s="2237"/>
      <c r="AY26" s="2237"/>
      <c r="AZ26" s="2237"/>
      <c r="BA26" s="2237"/>
      <c r="BB26" s="2237"/>
      <c r="BC26" s="2235"/>
      <c r="BD26" s="2235"/>
      <c r="BE26" s="2235"/>
      <c r="BF26" s="2235"/>
      <c r="BG26" s="2235"/>
      <c r="BH26" s="2235"/>
      <c r="BI26" s="2235"/>
      <c r="BJ26" s="2235"/>
      <c r="BK26" s="2235"/>
      <c r="BL26" s="2218"/>
      <c r="BM26" s="2219"/>
      <c r="BN26" s="2187"/>
      <c r="BO26" s="2188"/>
      <c r="BP26" s="2189"/>
      <c r="BQ26" s="2222"/>
      <c r="BR26" s="2223"/>
      <c r="BS26" s="2223"/>
      <c r="BT26" s="2223"/>
      <c r="BU26" s="2223"/>
      <c r="BV26" s="2223"/>
      <c r="BW26" s="2223"/>
      <c r="BX26" s="2224"/>
      <c r="BY26" s="2222"/>
      <c r="BZ26" s="2223"/>
      <c r="CA26" s="2223"/>
      <c r="CB26" s="2223"/>
      <c r="CC26" s="2223"/>
      <c r="CD26" s="2224"/>
    </row>
    <row r="27" spans="1:82" ht="18" customHeight="1">
      <c r="A27" s="2191"/>
      <c r="B27" s="2209"/>
      <c r="C27" s="2210"/>
      <c r="D27" s="2210"/>
      <c r="E27" s="2211"/>
      <c r="F27" s="2211"/>
      <c r="G27" s="2211"/>
      <c r="H27" s="2211"/>
      <c r="I27" s="2211"/>
      <c r="J27" s="2211"/>
      <c r="K27" s="2210"/>
      <c r="L27" s="2210"/>
      <c r="M27" s="2210"/>
      <c r="N27" s="2210"/>
      <c r="O27" s="2210"/>
      <c r="P27" s="2210"/>
      <c r="Q27" s="2210"/>
      <c r="R27" s="2210"/>
      <c r="S27" s="2210"/>
      <c r="T27" s="2213" t="s">
        <v>722</v>
      </c>
      <c r="U27" s="2214"/>
      <c r="V27" s="2215"/>
      <c r="W27" s="2216"/>
      <c r="X27" s="2217"/>
      <c r="Y27" s="2238"/>
      <c r="Z27" s="2239"/>
      <c r="AA27" s="2239"/>
      <c r="AB27" s="2239"/>
      <c r="AC27" s="2239"/>
      <c r="AD27" s="2239"/>
      <c r="AE27" s="2239"/>
      <c r="AF27" s="2240"/>
      <c r="AG27" s="2241"/>
      <c r="AH27" s="2242"/>
      <c r="AI27" s="2242"/>
      <c r="AJ27" s="2242"/>
      <c r="AK27" s="2242"/>
      <c r="AL27" s="2243"/>
      <c r="AQ27" s="688">
        <v>0.72916666666666696</v>
      </c>
      <c r="AT27" s="2234"/>
      <c r="AU27" s="2235"/>
      <c r="AV27" s="2235"/>
      <c r="AW27" s="2236"/>
      <c r="AX27" s="2236"/>
      <c r="AY27" s="2236"/>
      <c r="AZ27" s="2236"/>
      <c r="BA27" s="2236"/>
      <c r="BB27" s="2236"/>
      <c r="BC27" s="2235"/>
      <c r="BD27" s="2235"/>
      <c r="BE27" s="2235"/>
      <c r="BF27" s="2235"/>
      <c r="BG27" s="2235"/>
      <c r="BH27" s="2235"/>
      <c r="BI27" s="2235"/>
      <c r="BJ27" s="2235"/>
      <c r="BK27" s="2235"/>
      <c r="BL27" s="2218" t="s">
        <v>722</v>
      </c>
      <c r="BM27" s="2219"/>
      <c r="BN27" s="2215"/>
      <c r="BO27" s="2216"/>
      <c r="BP27" s="2217"/>
      <c r="BQ27" s="2238"/>
      <c r="BR27" s="2239"/>
      <c r="BS27" s="2239"/>
      <c r="BT27" s="2239"/>
      <c r="BU27" s="2239"/>
      <c r="BV27" s="2239"/>
      <c r="BW27" s="2239"/>
      <c r="BX27" s="2240"/>
      <c r="BY27" s="2238"/>
      <c r="BZ27" s="2239"/>
      <c r="CA27" s="2239"/>
      <c r="CB27" s="2239"/>
      <c r="CC27" s="2239"/>
      <c r="CD27" s="2240"/>
    </row>
    <row r="28" spans="1:82" ht="18" customHeight="1" thickBot="1">
      <c r="A28" s="2192"/>
      <c r="B28" s="2264"/>
      <c r="C28" s="2265"/>
      <c r="D28" s="2265"/>
      <c r="E28" s="2266"/>
      <c r="F28" s="2266"/>
      <c r="G28" s="2266"/>
      <c r="H28" s="2266"/>
      <c r="I28" s="2266"/>
      <c r="J28" s="2266"/>
      <c r="K28" s="2265"/>
      <c r="L28" s="2265"/>
      <c r="M28" s="2265"/>
      <c r="N28" s="2265"/>
      <c r="O28" s="2265"/>
      <c r="P28" s="2265"/>
      <c r="Q28" s="2265"/>
      <c r="R28" s="2265"/>
      <c r="S28" s="2265"/>
      <c r="T28" s="2267"/>
      <c r="U28" s="2268"/>
      <c r="V28" s="2269"/>
      <c r="W28" s="2270"/>
      <c r="X28" s="2271"/>
      <c r="Y28" s="2225"/>
      <c r="Z28" s="2226"/>
      <c r="AA28" s="2226"/>
      <c r="AB28" s="2226"/>
      <c r="AC28" s="2226"/>
      <c r="AD28" s="2226"/>
      <c r="AE28" s="2226"/>
      <c r="AF28" s="2227"/>
      <c r="AG28" s="2231"/>
      <c r="AH28" s="2232"/>
      <c r="AI28" s="2232"/>
      <c r="AJ28" s="2232"/>
      <c r="AK28" s="2232"/>
      <c r="AL28" s="2233"/>
      <c r="AQ28" s="688">
        <v>0.75</v>
      </c>
      <c r="AT28" s="2352"/>
      <c r="AU28" s="2353"/>
      <c r="AV28" s="2353"/>
      <c r="AW28" s="2354"/>
      <c r="AX28" s="2354"/>
      <c r="AY28" s="2354"/>
      <c r="AZ28" s="2354"/>
      <c r="BA28" s="2354"/>
      <c r="BB28" s="2354"/>
      <c r="BC28" s="2353"/>
      <c r="BD28" s="2353"/>
      <c r="BE28" s="2353"/>
      <c r="BF28" s="2353"/>
      <c r="BG28" s="2353"/>
      <c r="BH28" s="2353"/>
      <c r="BI28" s="2353"/>
      <c r="BJ28" s="2353"/>
      <c r="BK28" s="2353"/>
      <c r="BL28" s="2355"/>
      <c r="BM28" s="2356"/>
      <c r="BN28" s="2269"/>
      <c r="BO28" s="2270"/>
      <c r="BP28" s="2271"/>
      <c r="BQ28" s="2225"/>
      <c r="BR28" s="2226"/>
      <c r="BS28" s="2226"/>
      <c r="BT28" s="2226"/>
      <c r="BU28" s="2226"/>
      <c r="BV28" s="2226"/>
      <c r="BW28" s="2226"/>
      <c r="BX28" s="2227"/>
      <c r="BY28" s="2225"/>
      <c r="BZ28" s="2226"/>
      <c r="CA28" s="2226"/>
      <c r="CB28" s="2226"/>
      <c r="CC28" s="2226"/>
      <c r="CD28" s="2227"/>
    </row>
    <row r="29" spans="1:82" ht="9" customHeight="1">
      <c r="B29" s="703"/>
      <c r="C29" s="703"/>
      <c r="D29" s="703"/>
      <c r="E29" s="703"/>
      <c r="F29" s="703"/>
      <c r="G29" s="703"/>
      <c r="H29" s="703"/>
      <c r="I29" s="703"/>
      <c r="J29" s="703"/>
      <c r="K29" s="703"/>
      <c r="L29" s="703"/>
      <c r="M29" s="703"/>
      <c r="N29" s="703"/>
      <c r="O29" s="703"/>
      <c r="P29" s="703"/>
      <c r="Q29" s="703"/>
      <c r="R29" s="703"/>
      <c r="S29" s="703"/>
      <c r="T29" s="703"/>
      <c r="U29" s="703"/>
      <c r="V29" s="703"/>
      <c r="W29" s="703"/>
      <c r="X29" s="703"/>
      <c r="Y29" s="703"/>
      <c r="Z29" s="703"/>
      <c r="AA29" s="703"/>
      <c r="AB29" s="703"/>
      <c r="AC29" s="703"/>
      <c r="AD29" s="703"/>
      <c r="AE29" s="703"/>
      <c r="AF29" s="703"/>
      <c r="AG29" s="703"/>
      <c r="AH29" s="703"/>
      <c r="AI29" s="703"/>
      <c r="AJ29" s="703"/>
      <c r="AK29" s="703"/>
      <c r="AL29" s="704"/>
      <c r="AQ29" s="688">
        <v>0.77083333333333304</v>
      </c>
      <c r="AT29" s="743"/>
      <c r="AU29" s="610"/>
      <c r="AV29" s="610"/>
      <c r="AW29" s="610"/>
      <c r="AX29" s="610"/>
      <c r="AY29" s="610"/>
      <c r="AZ29" s="610"/>
      <c r="BA29" s="610"/>
      <c r="BB29" s="610"/>
      <c r="BC29" s="610"/>
      <c r="BD29" s="610"/>
      <c r="BE29" s="610"/>
      <c r="BF29" s="610"/>
      <c r="BG29" s="610"/>
      <c r="BH29" s="610"/>
      <c r="BI29" s="610"/>
      <c r="BJ29" s="610"/>
      <c r="BK29" s="610"/>
      <c r="BL29" s="610"/>
      <c r="BM29" s="610"/>
      <c r="BN29" s="610"/>
      <c r="BO29" s="610"/>
      <c r="BP29" s="610"/>
      <c r="BQ29" s="610"/>
      <c r="BR29" s="610"/>
      <c r="BS29" s="610"/>
      <c r="BT29" s="610"/>
      <c r="BU29" s="610"/>
      <c r="BV29" s="610"/>
      <c r="BW29" s="610"/>
      <c r="BX29" s="610"/>
      <c r="BY29" s="610"/>
      <c r="BZ29" s="610"/>
      <c r="CA29" s="610"/>
      <c r="CB29" s="610"/>
      <c r="CC29" s="610"/>
      <c r="CD29" s="744"/>
    </row>
    <row r="30" spans="1:82" ht="9" customHeight="1">
      <c r="B30" s="610"/>
      <c r="C30" s="610"/>
      <c r="D30" s="610"/>
      <c r="E30" s="610"/>
      <c r="F30" s="610"/>
      <c r="G30" s="610"/>
      <c r="H30" s="610"/>
      <c r="I30" s="610"/>
      <c r="J30" s="610"/>
      <c r="K30" s="610"/>
      <c r="L30" s="610"/>
      <c r="M30" s="610"/>
      <c r="N30" s="610"/>
      <c r="O30" s="610"/>
      <c r="P30" s="610"/>
      <c r="Q30" s="610"/>
      <c r="R30" s="610"/>
      <c r="S30" s="610"/>
      <c r="T30" s="610"/>
      <c r="U30" s="610"/>
      <c r="V30" s="610"/>
      <c r="W30" s="610"/>
      <c r="X30" s="610"/>
      <c r="Y30" s="610"/>
      <c r="Z30" s="610"/>
      <c r="AA30" s="610"/>
      <c r="AB30" s="610"/>
      <c r="AC30" s="610"/>
      <c r="AD30" s="610"/>
      <c r="AE30" s="610"/>
      <c r="AF30" s="610"/>
      <c r="AG30" s="610"/>
      <c r="AH30" s="610"/>
      <c r="AI30" s="610"/>
      <c r="AJ30" s="678"/>
      <c r="AK30" s="678"/>
      <c r="AL30" s="679"/>
      <c r="AQ30" s="688">
        <v>0.79166666666666696</v>
      </c>
      <c r="AT30" s="611"/>
      <c r="AU30" s="610"/>
      <c r="AV30" s="610"/>
      <c r="AW30" s="610"/>
      <c r="AX30" s="610"/>
      <c r="AY30" s="610"/>
      <c r="AZ30" s="610"/>
      <c r="BA30" s="610"/>
      <c r="BB30" s="610"/>
      <c r="BC30" s="610"/>
      <c r="BD30" s="610"/>
      <c r="BE30" s="610"/>
      <c r="BF30" s="610"/>
      <c r="BG30" s="610"/>
      <c r="BH30" s="610"/>
      <c r="BI30" s="610"/>
      <c r="BJ30" s="610"/>
      <c r="BK30" s="610"/>
      <c r="BL30" s="610"/>
      <c r="BM30" s="610"/>
      <c r="BN30" s="610"/>
      <c r="BO30" s="610"/>
      <c r="BP30" s="610"/>
      <c r="BQ30" s="610"/>
      <c r="BR30" s="610"/>
      <c r="BS30" s="610"/>
      <c r="BT30" s="610"/>
      <c r="BU30" s="610"/>
      <c r="BV30" s="610"/>
      <c r="BW30" s="610"/>
      <c r="BX30" s="610"/>
      <c r="BY30" s="610"/>
      <c r="BZ30" s="610"/>
      <c r="CA30" s="610"/>
      <c r="CB30" s="694"/>
      <c r="CC30" s="694"/>
      <c r="CD30" s="745"/>
    </row>
    <row r="31" spans="1:82" ht="21.75" customHeight="1">
      <c r="B31" s="2272" t="s">
        <v>713</v>
      </c>
      <c r="C31" s="2198"/>
      <c r="D31" s="2198"/>
      <c r="E31" s="2198"/>
      <c r="F31" s="2198"/>
      <c r="G31" s="2198"/>
      <c r="H31" s="2198"/>
      <c r="I31" s="2198"/>
      <c r="J31" s="2199"/>
      <c r="K31" s="610"/>
      <c r="L31" s="610"/>
      <c r="M31" s="610"/>
      <c r="N31" s="610"/>
      <c r="O31" s="610"/>
      <c r="P31" s="610"/>
      <c r="Q31" s="610"/>
      <c r="R31" s="610"/>
      <c r="S31" s="610"/>
      <c r="T31" s="610"/>
      <c r="U31" s="610"/>
      <c r="V31" s="610"/>
      <c r="W31" s="610"/>
      <c r="X31" s="610"/>
      <c r="Y31" s="610"/>
      <c r="Z31" s="610"/>
      <c r="AA31" s="610"/>
      <c r="AB31" s="610"/>
      <c r="AC31" s="610"/>
      <c r="AD31" s="610"/>
      <c r="AE31" s="610"/>
      <c r="AF31" s="610"/>
      <c r="AG31" s="610"/>
      <c r="AH31" s="610"/>
      <c r="AI31" s="610"/>
      <c r="AJ31" s="705"/>
      <c r="AK31" s="705"/>
      <c r="AL31" s="706"/>
      <c r="AQ31" s="688">
        <v>0.8125</v>
      </c>
      <c r="AT31" s="2272" t="s">
        <v>713</v>
      </c>
      <c r="AU31" s="2198"/>
      <c r="AV31" s="2198"/>
      <c r="AW31" s="2198"/>
      <c r="AX31" s="2198"/>
      <c r="AY31" s="2198"/>
      <c r="AZ31" s="2198"/>
      <c r="BA31" s="2198"/>
      <c r="BB31" s="2199"/>
      <c r="BC31" s="610"/>
      <c r="BD31" s="610"/>
      <c r="BE31" s="610"/>
      <c r="BF31" s="610"/>
      <c r="BG31" s="610"/>
      <c r="BH31" s="610"/>
      <c r="BI31" s="610"/>
      <c r="BJ31" s="610"/>
      <c r="BK31" s="610"/>
      <c r="BL31" s="610"/>
      <c r="BM31" s="610"/>
      <c r="BN31" s="610"/>
      <c r="BO31" s="610"/>
      <c r="BP31" s="610"/>
      <c r="BQ31" s="610"/>
      <c r="BR31" s="610"/>
      <c r="BS31" s="610"/>
      <c r="BT31" s="610"/>
      <c r="BU31" s="610"/>
      <c r="BV31" s="610"/>
      <c r="BW31" s="610"/>
      <c r="BX31" s="610"/>
      <c r="BY31" s="610"/>
      <c r="BZ31" s="610"/>
      <c r="CA31" s="610"/>
      <c r="CB31" s="746"/>
      <c r="CC31" s="746"/>
      <c r="CD31" s="747"/>
    </row>
    <row r="32" spans="1:82" ht="21.75" customHeight="1">
      <c r="B32" s="2273"/>
      <c r="C32" s="2260"/>
      <c r="D32" s="2260"/>
      <c r="E32" s="2260" t="s">
        <v>723</v>
      </c>
      <c r="F32" s="2260"/>
      <c r="G32" s="2260"/>
      <c r="H32" s="2260" t="s">
        <v>724</v>
      </c>
      <c r="I32" s="2260"/>
      <c r="J32" s="2260"/>
      <c r="K32" s="2260" t="s">
        <v>725</v>
      </c>
      <c r="L32" s="2260"/>
      <c r="M32" s="2260"/>
      <c r="N32" s="2260" t="s">
        <v>726</v>
      </c>
      <c r="O32" s="2260"/>
      <c r="P32" s="2260"/>
      <c r="Q32" s="2260" t="s">
        <v>635</v>
      </c>
      <c r="R32" s="2260"/>
      <c r="S32" s="2260"/>
      <c r="T32" s="2260" t="s">
        <v>727</v>
      </c>
      <c r="U32" s="2260"/>
      <c r="V32" s="2260"/>
      <c r="W32" s="2260" t="s">
        <v>728</v>
      </c>
      <c r="X32" s="2260"/>
      <c r="Y32" s="2260"/>
      <c r="Z32" s="2260" t="s">
        <v>729</v>
      </c>
      <c r="AA32" s="2260"/>
      <c r="AB32" s="2260"/>
      <c r="AC32" s="2274" t="s">
        <v>949</v>
      </c>
      <c r="AD32" s="2275"/>
      <c r="AE32" s="2276" t="s">
        <v>950</v>
      </c>
      <c r="AF32" s="2277"/>
      <c r="AG32" s="2262" t="s">
        <v>730</v>
      </c>
      <c r="AH32" s="2262"/>
      <c r="AI32" s="2262"/>
      <c r="AJ32" s="2263" t="s">
        <v>731</v>
      </c>
      <c r="AK32" s="2263"/>
      <c r="AL32" s="2263"/>
      <c r="AQ32" s="688">
        <v>0.83333333333333304</v>
      </c>
      <c r="AT32" s="2273"/>
      <c r="AU32" s="2260"/>
      <c r="AV32" s="2260"/>
      <c r="AW32" s="2260" t="s">
        <v>723</v>
      </c>
      <c r="AX32" s="2260"/>
      <c r="AY32" s="2260"/>
      <c r="AZ32" s="2260" t="s">
        <v>724</v>
      </c>
      <c r="BA32" s="2260"/>
      <c r="BB32" s="2260"/>
      <c r="BC32" s="2260" t="s">
        <v>725</v>
      </c>
      <c r="BD32" s="2260"/>
      <c r="BE32" s="2260"/>
      <c r="BF32" s="2260" t="s">
        <v>726</v>
      </c>
      <c r="BG32" s="2260"/>
      <c r="BH32" s="2260"/>
      <c r="BI32" s="2260" t="s">
        <v>635</v>
      </c>
      <c r="BJ32" s="2260"/>
      <c r="BK32" s="2260"/>
      <c r="BL32" s="2260" t="s">
        <v>727</v>
      </c>
      <c r="BM32" s="2260"/>
      <c r="BN32" s="2260"/>
      <c r="BO32" s="2260" t="s">
        <v>728</v>
      </c>
      <c r="BP32" s="2260"/>
      <c r="BQ32" s="2260"/>
      <c r="BR32" s="2260" t="s">
        <v>729</v>
      </c>
      <c r="BS32" s="2260"/>
      <c r="BT32" s="2261"/>
      <c r="BU32" s="2274" t="s">
        <v>949</v>
      </c>
      <c r="BV32" s="2275"/>
      <c r="BW32" s="2276" t="s">
        <v>950</v>
      </c>
      <c r="BX32" s="2277"/>
      <c r="BY32" s="2262" t="s">
        <v>730</v>
      </c>
      <c r="BZ32" s="2262"/>
      <c r="CA32" s="2262"/>
      <c r="CB32" s="2357" t="s">
        <v>731</v>
      </c>
      <c r="CC32" s="2357"/>
      <c r="CD32" s="2357"/>
    </row>
    <row r="33" spans="1:82" ht="18" customHeight="1">
      <c r="B33" s="2255" t="s">
        <v>732</v>
      </c>
      <c r="C33" s="2235"/>
      <c r="D33" s="2235"/>
      <c r="E33" s="2235"/>
      <c r="F33" s="2235"/>
      <c r="G33" s="2235"/>
      <c r="H33" s="2235"/>
      <c r="I33" s="2235"/>
      <c r="J33" s="2235"/>
      <c r="K33" s="2235"/>
      <c r="L33" s="2235"/>
      <c r="M33" s="2235"/>
      <c r="N33" s="2235"/>
      <c r="O33" s="2235"/>
      <c r="P33" s="2235"/>
      <c r="Q33" s="2235"/>
      <c r="R33" s="2235"/>
      <c r="S33" s="2235"/>
      <c r="T33" s="2235"/>
      <c r="U33" s="2235"/>
      <c r="V33" s="2235"/>
      <c r="W33" s="2235"/>
      <c r="X33" s="2235"/>
      <c r="Y33" s="2235"/>
      <c r="Z33" s="2235"/>
      <c r="AA33" s="2235"/>
      <c r="AB33" s="2235"/>
      <c r="AC33" s="2363"/>
      <c r="AD33" s="2364"/>
      <c r="AE33" s="2367"/>
      <c r="AF33" s="2367"/>
      <c r="AG33" s="2321"/>
      <c r="AH33" s="2321"/>
      <c r="AI33" s="2321"/>
      <c r="AJ33" s="2324"/>
      <c r="AK33" s="2324"/>
      <c r="AL33" s="2324"/>
      <c r="AQ33" s="688">
        <v>0.85416666666666696</v>
      </c>
      <c r="AT33" s="2255" t="s">
        <v>732</v>
      </c>
      <c r="AU33" s="2235"/>
      <c r="AV33" s="2235"/>
      <c r="AW33" s="2235"/>
      <c r="AX33" s="2235"/>
      <c r="AY33" s="2235"/>
      <c r="AZ33" s="2235"/>
      <c r="BA33" s="2235"/>
      <c r="BB33" s="2235"/>
      <c r="BC33" s="2235"/>
      <c r="BD33" s="2235"/>
      <c r="BE33" s="2235"/>
      <c r="BF33" s="2235"/>
      <c r="BG33" s="2235"/>
      <c r="BH33" s="2235"/>
      <c r="BI33" s="2235"/>
      <c r="BJ33" s="2235"/>
      <c r="BK33" s="2235"/>
      <c r="BL33" s="2235"/>
      <c r="BM33" s="2235"/>
      <c r="BN33" s="2235"/>
      <c r="BO33" s="2235"/>
      <c r="BP33" s="2235"/>
      <c r="BQ33" s="2235"/>
      <c r="BR33" s="2235"/>
      <c r="BS33" s="2235"/>
      <c r="BT33" s="2258"/>
      <c r="BU33" s="2363"/>
      <c r="BV33" s="2364"/>
      <c r="BW33" s="2367"/>
      <c r="BX33" s="2367"/>
      <c r="BY33" s="2262"/>
      <c r="BZ33" s="2262"/>
      <c r="CA33" s="2262"/>
      <c r="CB33" s="2360"/>
      <c r="CC33" s="2360"/>
      <c r="CD33" s="2360"/>
    </row>
    <row r="34" spans="1:82" ht="18" customHeight="1">
      <c r="B34" s="2255"/>
      <c r="C34" s="2235"/>
      <c r="D34" s="2235"/>
      <c r="E34" s="2235"/>
      <c r="F34" s="2235"/>
      <c r="G34" s="2235"/>
      <c r="H34" s="2235"/>
      <c r="I34" s="2235"/>
      <c r="J34" s="2235"/>
      <c r="K34" s="2235"/>
      <c r="L34" s="2235"/>
      <c r="M34" s="2235"/>
      <c r="N34" s="2235"/>
      <c r="O34" s="2235"/>
      <c r="P34" s="2235"/>
      <c r="Q34" s="2235"/>
      <c r="R34" s="2235"/>
      <c r="S34" s="2235"/>
      <c r="T34" s="2235"/>
      <c r="U34" s="2235"/>
      <c r="V34" s="2235"/>
      <c r="W34" s="2235"/>
      <c r="X34" s="2235"/>
      <c r="Y34" s="2235"/>
      <c r="Z34" s="2235"/>
      <c r="AA34" s="2235"/>
      <c r="AB34" s="2235"/>
      <c r="AC34" s="2365"/>
      <c r="AD34" s="2366"/>
      <c r="AE34" s="2368"/>
      <c r="AF34" s="2368"/>
      <c r="AG34" s="2322"/>
      <c r="AH34" s="2322"/>
      <c r="AI34" s="2322"/>
      <c r="AJ34" s="2325"/>
      <c r="AK34" s="2325"/>
      <c r="AL34" s="2325"/>
      <c r="AQ34" s="688">
        <v>0.875</v>
      </c>
      <c r="AT34" s="2255"/>
      <c r="AU34" s="2235"/>
      <c r="AV34" s="2235"/>
      <c r="AW34" s="2235"/>
      <c r="AX34" s="2235"/>
      <c r="AY34" s="2235"/>
      <c r="AZ34" s="2235"/>
      <c r="BA34" s="2235"/>
      <c r="BB34" s="2235"/>
      <c r="BC34" s="2235"/>
      <c r="BD34" s="2235"/>
      <c r="BE34" s="2235"/>
      <c r="BF34" s="2235"/>
      <c r="BG34" s="2235"/>
      <c r="BH34" s="2235"/>
      <c r="BI34" s="2235"/>
      <c r="BJ34" s="2235"/>
      <c r="BK34" s="2235"/>
      <c r="BL34" s="2235"/>
      <c r="BM34" s="2235"/>
      <c r="BN34" s="2235"/>
      <c r="BO34" s="2235"/>
      <c r="BP34" s="2235"/>
      <c r="BQ34" s="2235"/>
      <c r="BR34" s="2235"/>
      <c r="BS34" s="2235"/>
      <c r="BT34" s="2258"/>
      <c r="BU34" s="2365"/>
      <c r="BV34" s="2366"/>
      <c r="BW34" s="2368"/>
      <c r="BX34" s="2368"/>
      <c r="BY34" s="2358"/>
      <c r="BZ34" s="2358"/>
      <c r="CA34" s="2358"/>
      <c r="CB34" s="2361"/>
      <c r="CC34" s="2361"/>
      <c r="CD34" s="2361"/>
    </row>
    <row r="35" spans="1:82" ht="18" customHeight="1">
      <c r="B35" s="2255" t="s">
        <v>733</v>
      </c>
      <c r="C35" s="2235"/>
      <c r="D35" s="2235"/>
      <c r="E35" s="2235"/>
      <c r="F35" s="2235"/>
      <c r="G35" s="2235"/>
      <c r="H35" s="2235"/>
      <c r="I35" s="2235"/>
      <c r="J35" s="2235"/>
      <c r="K35" s="2235"/>
      <c r="L35" s="2235"/>
      <c r="M35" s="2235"/>
      <c r="N35" s="2235"/>
      <c r="O35" s="2235"/>
      <c r="P35" s="2235"/>
      <c r="Q35" s="2235"/>
      <c r="R35" s="2235"/>
      <c r="S35" s="2235"/>
      <c r="T35" s="2235"/>
      <c r="U35" s="2235"/>
      <c r="V35" s="2235"/>
      <c r="W35" s="2235"/>
      <c r="X35" s="2235"/>
      <c r="Y35" s="2235"/>
      <c r="Z35" s="2235"/>
      <c r="AA35" s="2235"/>
      <c r="AB35" s="2235"/>
      <c r="AC35" s="2369"/>
      <c r="AD35" s="2370"/>
      <c r="AE35" s="2371"/>
      <c r="AF35" s="2371"/>
      <c r="AG35" s="2322"/>
      <c r="AH35" s="2322"/>
      <c r="AI35" s="2322"/>
      <c r="AJ35" s="2325"/>
      <c r="AK35" s="2325"/>
      <c r="AL35" s="2325"/>
      <c r="AT35" s="2255" t="s">
        <v>733</v>
      </c>
      <c r="AU35" s="2235"/>
      <c r="AV35" s="2235"/>
      <c r="AW35" s="2235"/>
      <c r="AX35" s="2235"/>
      <c r="AY35" s="2235"/>
      <c r="AZ35" s="2235"/>
      <c r="BA35" s="2235"/>
      <c r="BB35" s="2235"/>
      <c r="BC35" s="2235"/>
      <c r="BD35" s="2235"/>
      <c r="BE35" s="2235"/>
      <c r="BF35" s="2235"/>
      <c r="BG35" s="2235"/>
      <c r="BH35" s="2235"/>
      <c r="BI35" s="2235"/>
      <c r="BJ35" s="2235"/>
      <c r="BK35" s="2235"/>
      <c r="BL35" s="2235"/>
      <c r="BM35" s="2235"/>
      <c r="BN35" s="2235"/>
      <c r="BO35" s="2235"/>
      <c r="BP35" s="2235"/>
      <c r="BQ35" s="2235"/>
      <c r="BR35" s="2235"/>
      <c r="BS35" s="2235"/>
      <c r="BT35" s="2258"/>
      <c r="BU35" s="2369"/>
      <c r="BV35" s="2370"/>
      <c r="BW35" s="2371"/>
      <c r="BX35" s="2371"/>
      <c r="BY35" s="2358"/>
      <c r="BZ35" s="2358"/>
      <c r="CA35" s="2358"/>
      <c r="CB35" s="2361"/>
      <c r="CC35" s="2361"/>
      <c r="CD35" s="2361"/>
    </row>
    <row r="36" spans="1:82" ht="18" customHeight="1">
      <c r="B36" s="2256"/>
      <c r="C36" s="2257"/>
      <c r="D36" s="2257"/>
      <c r="E36" s="2257"/>
      <c r="F36" s="2257"/>
      <c r="G36" s="2257"/>
      <c r="H36" s="2257"/>
      <c r="I36" s="2257"/>
      <c r="J36" s="2257"/>
      <c r="K36" s="2257"/>
      <c r="L36" s="2257"/>
      <c r="M36" s="2257"/>
      <c r="N36" s="2257"/>
      <c r="O36" s="2257"/>
      <c r="P36" s="2257"/>
      <c r="Q36" s="2257"/>
      <c r="R36" s="2257"/>
      <c r="S36" s="2257"/>
      <c r="T36" s="2257"/>
      <c r="U36" s="2257"/>
      <c r="V36" s="2257"/>
      <c r="W36" s="2257"/>
      <c r="X36" s="2257"/>
      <c r="Y36" s="2257"/>
      <c r="Z36" s="2257"/>
      <c r="AA36" s="2257"/>
      <c r="AB36" s="2257"/>
      <c r="AC36" s="2369"/>
      <c r="AD36" s="2370"/>
      <c r="AE36" s="2371"/>
      <c r="AF36" s="2371"/>
      <c r="AG36" s="2323"/>
      <c r="AH36" s="2323"/>
      <c r="AI36" s="2323"/>
      <c r="AJ36" s="2326"/>
      <c r="AK36" s="2326"/>
      <c r="AL36" s="2326"/>
      <c r="AT36" s="2256"/>
      <c r="AU36" s="2257"/>
      <c r="AV36" s="2257"/>
      <c r="AW36" s="2257"/>
      <c r="AX36" s="2257"/>
      <c r="AY36" s="2257"/>
      <c r="AZ36" s="2257"/>
      <c r="BA36" s="2257"/>
      <c r="BB36" s="2257"/>
      <c r="BC36" s="2257"/>
      <c r="BD36" s="2257"/>
      <c r="BE36" s="2257"/>
      <c r="BF36" s="2257"/>
      <c r="BG36" s="2257"/>
      <c r="BH36" s="2257"/>
      <c r="BI36" s="2257"/>
      <c r="BJ36" s="2257"/>
      <c r="BK36" s="2257"/>
      <c r="BL36" s="2257"/>
      <c r="BM36" s="2257"/>
      <c r="BN36" s="2257"/>
      <c r="BO36" s="2257"/>
      <c r="BP36" s="2257"/>
      <c r="BQ36" s="2257"/>
      <c r="BR36" s="2257"/>
      <c r="BS36" s="2257"/>
      <c r="BT36" s="2259"/>
      <c r="BU36" s="2369"/>
      <c r="BV36" s="2370"/>
      <c r="BW36" s="2371"/>
      <c r="BX36" s="2371"/>
      <c r="BY36" s="2359"/>
      <c r="BZ36" s="2359"/>
      <c r="CA36" s="2359"/>
      <c r="CB36" s="2362"/>
      <c r="CC36" s="2362"/>
      <c r="CD36" s="2362"/>
    </row>
    <row r="37" spans="1:82" ht="21" customHeight="1" thickBot="1">
      <c r="B37" s="2306" t="s">
        <v>701</v>
      </c>
      <c r="C37" s="2306"/>
      <c r="D37" s="2306"/>
      <c r="E37" s="2306"/>
      <c r="F37" s="2306"/>
      <c r="G37" s="2306"/>
      <c r="H37" s="2306"/>
      <c r="I37" s="2306"/>
      <c r="J37" s="2306"/>
      <c r="K37" s="2306"/>
      <c r="L37" s="2306"/>
      <c r="M37" s="2306"/>
      <c r="AT37" s="2306"/>
      <c r="AU37" s="2306"/>
      <c r="AV37" s="2306"/>
      <c r="AW37" s="2306"/>
      <c r="AX37" s="2306"/>
      <c r="AY37" s="2306"/>
      <c r="AZ37" s="2306"/>
      <c r="BA37" s="2306"/>
      <c r="BB37" s="2306"/>
      <c r="BC37" s="2306"/>
      <c r="BD37" s="2306"/>
      <c r="BE37" s="2306"/>
    </row>
    <row r="38" spans="1:82" ht="24.75" customHeight="1" thickTop="1">
      <c r="A38" s="2201"/>
      <c r="B38" s="2197" t="s">
        <v>623</v>
      </c>
      <c r="C38" s="2198"/>
      <c r="D38" s="2198" t="str">
        <f>CONCATENATE('01 使用承認申請書'!D4)</f>
        <v/>
      </c>
      <c r="E38" s="2198"/>
      <c r="F38" s="2198"/>
      <c r="G38" s="2198"/>
      <c r="H38" s="2198"/>
      <c r="I38" s="2198"/>
      <c r="J38" s="2198"/>
      <c r="K38" s="2198"/>
      <c r="L38" s="2199"/>
      <c r="M38" s="2307" t="s">
        <v>702</v>
      </c>
      <c r="N38" s="2308"/>
      <c r="O38" s="2308"/>
      <c r="P38" s="2308"/>
      <c r="Q38" s="2308"/>
      <c r="R38" s="2308"/>
      <c r="S38" s="2308"/>
      <c r="T38" s="2308"/>
      <c r="U38" s="2308"/>
      <c r="V38" s="2308"/>
      <c r="W38" s="2308"/>
      <c r="X38" s="2308"/>
      <c r="Y38" s="2308"/>
      <c r="Z38" s="2308"/>
      <c r="AA38" s="2308"/>
      <c r="AB38" s="2308"/>
      <c r="AC38" s="2308"/>
      <c r="AD38" s="2308"/>
      <c r="AE38" s="2308"/>
      <c r="AF38" s="2308"/>
      <c r="AG38" s="2308"/>
      <c r="AH38" s="2308"/>
      <c r="AI38" s="2308"/>
      <c r="AJ38" s="2308"/>
      <c r="AK38" s="2308"/>
      <c r="AL38" s="2309"/>
      <c r="AT38" s="690"/>
      <c r="AU38" s="750"/>
      <c r="AV38" s="750"/>
      <c r="AW38" s="750"/>
      <c r="AX38" s="750"/>
      <c r="AY38" s="750"/>
      <c r="AZ38" s="750"/>
      <c r="BA38" s="750"/>
      <c r="BB38" s="750"/>
      <c r="BC38" s="750"/>
      <c r="BD38" s="750"/>
      <c r="BE38" s="749"/>
      <c r="BF38" s="749"/>
      <c r="BG38" s="749"/>
      <c r="BH38" s="749"/>
      <c r="BI38" s="749"/>
      <c r="BJ38" s="749"/>
      <c r="BK38" s="749"/>
      <c r="BL38" s="749"/>
      <c r="BM38" s="749"/>
      <c r="BN38" s="749"/>
      <c r="BO38" s="749"/>
      <c r="BP38" s="749"/>
      <c r="BQ38" s="749"/>
      <c r="BR38" s="749"/>
      <c r="BS38" s="749"/>
      <c r="BT38" s="749"/>
      <c r="BU38" s="749"/>
      <c r="BV38" s="749"/>
      <c r="BW38" s="749"/>
      <c r="BX38" s="749"/>
      <c r="BY38" s="749"/>
      <c r="BZ38" s="749"/>
      <c r="CA38" s="749"/>
      <c r="CB38" s="749"/>
      <c r="CC38" s="749"/>
      <c r="CD38" s="749"/>
    </row>
    <row r="39" spans="1:82" ht="30.6" customHeight="1">
      <c r="A39" s="2202"/>
      <c r="B39" s="2193"/>
      <c r="C39" s="2194"/>
      <c r="D39" s="2194"/>
      <c r="E39" s="2194"/>
      <c r="F39" s="2194"/>
      <c r="G39" s="2194"/>
      <c r="H39" s="2194"/>
      <c r="I39" s="2194"/>
      <c r="J39" s="2194"/>
      <c r="K39" s="2194"/>
      <c r="L39" s="2200"/>
      <c r="M39" s="2310" t="s">
        <v>871</v>
      </c>
      <c r="N39" s="2311"/>
      <c r="O39" s="2311"/>
      <c r="P39" s="2311"/>
      <c r="Q39" s="2311"/>
      <c r="R39" s="2311"/>
      <c r="S39" s="2311"/>
      <c r="T39" s="2311"/>
      <c r="U39" s="2311"/>
      <c r="V39" s="2311"/>
      <c r="W39" s="2311"/>
      <c r="X39" s="2311"/>
      <c r="Y39" s="2311"/>
      <c r="Z39" s="2311"/>
      <c r="AA39" s="2311"/>
      <c r="AB39" s="2311"/>
      <c r="AC39" s="2311"/>
      <c r="AD39" s="2311"/>
      <c r="AE39" s="2311"/>
      <c r="AF39" s="2311"/>
      <c r="AG39" s="2311"/>
      <c r="AH39" s="2311"/>
      <c r="AI39" s="2311"/>
      <c r="AJ39" s="2311"/>
      <c r="AK39" s="2311"/>
      <c r="AL39" s="2312"/>
      <c r="AM39" s="612"/>
      <c r="AN39" s="612"/>
      <c r="AO39" s="612"/>
      <c r="AP39" s="612"/>
      <c r="AQ39" s="612"/>
      <c r="AR39" s="612"/>
      <c r="AT39" s="690"/>
      <c r="AU39" s="750"/>
      <c r="AV39" s="750"/>
      <c r="AW39" s="750"/>
      <c r="AX39" s="750"/>
      <c r="AY39" s="750"/>
      <c r="AZ39" s="750"/>
      <c r="BA39" s="750"/>
      <c r="BB39" s="750"/>
      <c r="BC39" s="750"/>
      <c r="BD39" s="750"/>
      <c r="BE39" s="751"/>
      <c r="BF39" s="751"/>
      <c r="BG39" s="751"/>
      <c r="BH39" s="751"/>
      <c r="BI39" s="751"/>
      <c r="BJ39" s="751"/>
      <c r="BK39" s="751"/>
      <c r="BL39" s="751"/>
      <c r="BM39" s="751"/>
      <c r="BN39" s="751"/>
      <c r="BO39" s="751"/>
      <c r="BP39" s="751"/>
      <c r="BQ39" s="751"/>
      <c r="BR39" s="751"/>
      <c r="BS39" s="751"/>
      <c r="BT39" s="751"/>
      <c r="BU39" s="751"/>
      <c r="BV39" s="751"/>
      <c r="BW39" s="751"/>
      <c r="BX39" s="751"/>
      <c r="BY39" s="751"/>
      <c r="BZ39" s="751"/>
      <c r="CA39" s="751"/>
      <c r="CB39" s="751"/>
      <c r="CC39" s="751"/>
      <c r="CD39" s="751"/>
    </row>
    <row r="40" spans="1:82" ht="24.75" customHeight="1">
      <c r="A40" s="2202"/>
      <c r="B40" s="2193" t="s">
        <v>704</v>
      </c>
      <c r="C40" s="2194"/>
      <c r="D40" s="2319">
        <f>'01 使用承認申請書'!C16</f>
        <v>0</v>
      </c>
      <c r="E40" s="2319"/>
      <c r="F40" s="2319"/>
      <c r="G40" s="2319"/>
      <c r="H40" s="2319"/>
      <c r="I40" s="2319"/>
      <c r="J40" s="2319"/>
      <c r="K40" s="2319"/>
      <c r="L40" s="2200"/>
      <c r="M40" s="2310"/>
      <c r="N40" s="2311"/>
      <c r="O40" s="2311"/>
      <c r="P40" s="2311"/>
      <c r="Q40" s="2311"/>
      <c r="R40" s="2311"/>
      <c r="S40" s="2311"/>
      <c r="T40" s="2311"/>
      <c r="U40" s="2311"/>
      <c r="V40" s="2311"/>
      <c r="W40" s="2311"/>
      <c r="X40" s="2311"/>
      <c r="Y40" s="2311"/>
      <c r="Z40" s="2311"/>
      <c r="AA40" s="2311"/>
      <c r="AB40" s="2311"/>
      <c r="AC40" s="2311"/>
      <c r="AD40" s="2311"/>
      <c r="AE40" s="2311"/>
      <c r="AF40" s="2311"/>
      <c r="AG40" s="2311"/>
      <c r="AH40" s="2311"/>
      <c r="AI40" s="2311"/>
      <c r="AJ40" s="2311"/>
      <c r="AK40" s="2311"/>
      <c r="AL40" s="2312"/>
      <c r="AM40" s="610"/>
      <c r="AN40" s="613"/>
      <c r="AO40" s="687"/>
      <c r="AQ40" s="688"/>
      <c r="AR40" s="616"/>
      <c r="AT40" s="690"/>
      <c r="AU40" s="750"/>
      <c r="AV40" s="750"/>
      <c r="AW40" s="750"/>
      <c r="AX40" s="750"/>
      <c r="AY40" s="750"/>
      <c r="AZ40" s="750"/>
      <c r="BA40" s="750"/>
      <c r="BB40" s="752"/>
      <c r="BC40" s="750"/>
      <c r="BD40" s="750"/>
      <c r="BE40" s="751"/>
      <c r="BF40" s="751"/>
      <c r="BG40" s="751"/>
      <c r="BH40" s="751"/>
      <c r="BI40" s="751"/>
      <c r="BJ40" s="751"/>
      <c r="BK40" s="751"/>
      <c r="BL40" s="751"/>
      <c r="BM40" s="751"/>
      <c r="BN40" s="751"/>
      <c r="BO40" s="751"/>
      <c r="BP40" s="751"/>
      <c r="BQ40" s="751"/>
      <c r="BR40" s="751"/>
      <c r="BS40" s="751"/>
      <c r="BT40" s="751"/>
      <c r="BU40" s="751"/>
      <c r="BV40" s="751"/>
      <c r="BW40" s="751"/>
      <c r="BX40" s="751"/>
      <c r="BY40" s="751"/>
      <c r="BZ40" s="751"/>
      <c r="CA40" s="751"/>
      <c r="CB40" s="751"/>
      <c r="CC40" s="751"/>
      <c r="CD40" s="751"/>
    </row>
    <row r="41" spans="1:82" ht="24.75" customHeight="1" thickBot="1">
      <c r="A41" s="2203"/>
      <c r="B41" s="2195"/>
      <c r="C41" s="2196"/>
      <c r="D41" s="2320"/>
      <c r="E41" s="2320"/>
      <c r="F41" s="2320"/>
      <c r="G41" s="2320"/>
      <c r="H41" s="2320"/>
      <c r="I41" s="2320"/>
      <c r="J41" s="2320"/>
      <c r="K41" s="2320"/>
      <c r="L41" s="2316"/>
      <c r="M41" s="2313"/>
      <c r="N41" s="2314"/>
      <c r="O41" s="2314"/>
      <c r="P41" s="2314"/>
      <c r="Q41" s="2314"/>
      <c r="R41" s="2314"/>
      <c r="S41" s="2314"/>
      <c r="T41" s="2314"/>
      <c r="U41" s="2314"/>
      <c r="V41" s="2314"/>
      <c r="W41" s="2314"/>
      <c r="X41" s="2314"/>
      <c r="Y41" s="2314"/>
      <c r="Z41" s="2314"/>
      <c r="AA41" s="2314"/>
      <c r="AB41" s="2314"/>
      <c r="AC41" s="2314"/>
      <c r="AD41" s="2314"/>
      <c r="AE41" s="2314"/>
      <c r="AF41" s="2314"/>
      <c r="AG41" s="2314"/>
      <c r="AH41" s="2314"/>
      <c r="AI41" s="2314"/>
      <c r="AJ41" s="2314"/>
      <c r="AK41" s="2314"/>
      <c r="AL41" s="2315"/>
      <c r="AM41" s="613"/>
      <c r="AN41" s="613"/>
      <c r="AO41" s="687"/>
      <c r="AQ41" s="688"/>
      <c r="AT41" s="690"/>
      <c r="AU41" s="750"/>
      <c r="AV41" s="750"/>
      <c r="AW41" s="750"/>
      <c r="AX41" s="750"/>
      <c r="AY41" s="750"/>
      <c r="AZ41" s="750"/>
      <c r="BA41" s="750"/>
      <c r="BB41" s="750"/>
      <c r="BC41" s="750"/>
      <c r="BD41" s="750"/>
      <c r="BE41" s="751"/>
      <c r="BF41" s="751"/>
      <c r="BG41" s="751"/>
      <c r="BH41" s="751"/>
      <c r="BI41" s="751"/>
      <c r="BJ41" s="751"/>
      <c r="BK41" s="751"/>
      <c r="BL41" s="751"/>
      <c r="BM41" s="751"/>
      <c r="BN41" s="751"/>
      <c r="BO41" s="751"/>
      <c r="BP41" s="751"/>
      <c r="BQ41" s="751"/>
      <c r="BR41" s="751"/>
      <c r="BS41" s="751"/>
      <c r="BT41" s="751"/>
      <c r="BU41" s="751"/>
      <c r="BV41" s="751"/>
      <c r="BW41" s="751"/>
      <c r="BX41" s="751"/>
      <c r="BY41" s="751"/>
      <c r="BZ41" s="751"/>
      <c r="CA41" s="751"/>
      <c r="CB41" s="751"/>
      <c r="CC41" s="751"/>
      <c r="CD41" s="751"/>
    </row>
    <row r="42" spans="1:82" ht="15" customHeight="1" thickTop="1" thickBot="1">
      <c r="B42" s="690"/>
      <c r="C42" s="687"/>
      <c r="D42" s="687"/>
      <c r="E42" s="687"/>
      <c r="F42" s="687"/>
      <c r="G42" s="687"/>
      <c r="H42" s="687"/>
      <c r="I42" s="687"/>
      <c r="J42" s="687"/>
      <c r="K42" s="687"/>
      <c r="L42" s="687"/>
      <c r="M42" s="691"/>
      <c r="N42" s="691"/>
      <c r="O42" s="691"/>
      <c r="P42" s="691"/>
      <c r="Q42" s="691"/>
      <c r="R42" s="691"/>
      <c r="S42" s="691"/>
      <c r="T42" s="691"/>
      <c r="U42" s="691"/>
      <c r="V42" s="691"/>
      <c r="W42" s="691"/>
      <c r="X42" s="691"/>
      <c r="Y42" s="691"/>
      <c r="Z42" s="691"/>
      <c r="AA42" s="691"/>
      <c r="AB42" s="691"/>
      <c r="AC42" s="691"/>
      <c r="AD42" s="691"/>
      <c r="AE42" s="691"/>
      <c r="AF42" s="691"/>
      <c r="AG42" s="691"/>
      <c r="AH42" s="691"/>
      <c r="AI42" s="691"/>
      <c r="AJ42" s="741"/>
      <c r="AK42" s="692"/>
      <c r="AL42" s="693"/>
      <c r="AM42" s="613"/>
      <c r="AN42" s="613"/>
      <c r="AO42" s="687"/>
      <c r="AP42" s="694"/>
      <c r="AQ42" s="688"/>
      <c r="AT42" s="690"/>
      <c r="AU42" s="687"/>
      <c r="AV42" s="687"/>
      <c r="AW42" s="687"/>
      <c r="AX42" s="687"/>
      <c r="AY42" s="687"/>
      <c r="AZ42" s="687"/>
      <c r="BA42" s="687"/>
      <c r="BB42" s="687"/>
      <c r="BC42" s="687"/>
      <c r="BD42" s="687"/>
      <c r="BE42" s="691"/>
      <c r="BF42" s="691"/>
      <c r="BG42" s="691"/>
      <c r="BH42" s="691"/>
      <c r="BI42" s="691"/>
      <c r="BJ42" s="691"/>
      <c r="BK42" s="691"/>
      <c r="BL42" s="691"/>
      <c r="BM42" s="691"/>
      <c r="BN42" s="691"/>
      <c r="BO42" s="691"/>
      <c r="BP42" s="691"/>
      <c r="BQ42" s="691"/>
      <c r="BR42" s="691"/>
      <c r="BS42" s="691"/>
      <c r="BT42" s="691"/>
      <c r="BU42" s="691"/>
      <c r="BV42" s="691"/>
      <c r="BW42" s="691"/>
      <c r="BX42" s="691"/>
      <c r="BY42" s="691"/>
      <c r="BZ42" s="691"/>
      <c r="CA42" s="691"/>
      <c r="CB42" s="739"/>
      <c r="CC42" s="739"/>
      <c r="CD42" s="739"/>
    </row>
    <row r="43" spans="1:82" ht="18.75" customHeight="1">
      <c r="A43" s="2206" t="s">
        <v>869</v>
      </c>
      <c r="B43" s="2332" t="s">
        <v>711</v>
      </c>
      <c r="C43" s="2333"/>
      <c r="D43" s="2333"/>
      <c r="E43" s="2333"/>
      <c r="F43" s="2333"/>
      <c r="G43" s="2333"/>
      <c r="H43" s="2333"/>
      <c r="I43" s="2333"/>
      <c r="J43" s="2333"/>
      <c r="K43" s="2333"/>
      <c r="L43" s="2333"/>
      <c r="M43" s="2333"/>
      <c r="N43" s="2333"/>
      <c r="O43" s="2333"/>
      <c r="P43" s="2333"/>
      <c r="Q43" s="2333"/>
      <c r="R43" s="2333"/>
      <c r="S43" s="2333"/>
      <c r="T43" s="2333"/>
      <c r="U43" s="2334"/>
      <c r="V43" s="2308" t="s">
        <v>712</v>
      </c>
      <c r="W43" s="2308"/>
      <c r="X43" s="2309"/>
      <c r="Y43" s="2307" t="s">
        <v>713</v>
      </c>
      <c r="Z43" s="2308"/>
      <c r="AA43" s="2308"/>
      <c r="AB43" s="2308"/>
      <c r="AC43" s="2308"/>
      <c r="AD43" s="2308"/>
      <c r="AE43" s="2308"/>
      <c r="AF43" s="2309"/>
      <c r="AG43" s="2307" t="s">
        <v>634</v>
      </c>
      <c r="AH43" s="2308"/>
      <c r="AI43" s="2308"/>
      <c r="AJ43" s="2308"/>
      <c r="AK43" s="2308"/>
      <c r="AL43" s="2309"/>
      <c r="AM43" s="613"/>
      <c r="AN43" s="613"/>
      <c r="AO43" s="687"/>
      <c r="AQ43" s="688"/>
      <c r="AT43" s="750"/>
      <c r="AU43" s="750"/>
      <c r="AV43" s="750"/>
      <c r="AW43" s="750"/>
      <c r="AX43" s="750"/>
      <c r="AY43" s="750"/>
      <c r="AZ43" s="750"/>
      <c r="BA43" s="750"/>
      <c r="BB43" s="750"/>
      <c r="BC43" s="750"/>
      <c r="BD43" s="750"/>
      <c r="BE43" s="750"/>
      <c r="BF43" s="750"/>
      <c r="BG43" s="750"/>
      <c r="BH43" s="750"/>
      <c r="BI43" s="750"/>
      <c r="BJ43" s="750"/>
      <c r="BK43" s="750"/>
      <c r="BL43" s="750"/>
      <c r="BM43" s="750"/>
      <c r="BN43" s="749"/>
      <c r="BO43" s="749"/>
      <c r="BP43" s="749"/>
      <c r="BQ43" s="749"/>
      <c r="BR43" s="749"/>
      <c r="BS43" s="749"/>
      <c r="BT43" s="749"/>
      <c r="BU43" s="749"/>
      <c r="BV43" s="749"/>
      <c r="BW43" s="749"/>
      <c r="BX43" s="749"/>
      <c r="BY43" s="749"/>
      <c r="BZ43" s="749"/>
      <c r="CA43" s="749"/>
      <c r="CB43" s="749"/>
      <c r="CC43" s="749"/>
      <c r="CD43" s="749"/>
    </row>
    <row r="44" spans="1:82" ht="18.75" customHeight="1">
      <c r="A44" s="2207"/>
      <c r="B44" s="2317" t="s">
        <v>624</v>
      </c>
      <c r="C44" s="2260"/>
      <c r="D44" s="2260"/>
      <c r="E44" s="2260" t="s">
        <v>715</v>
      </c>
      <c r="F44" s="2260"/>
      <c r="G44" s="2260"/>
      <c r="H44" s="2260" t="s">
        <v>716</v>
      </c>
      <c r="I44" s="2260"/>
      <c r="J44" s="2260"/>
      <c r="K44" s="2260" t="s">
        <v>717</v>
      </c>
      <c r="L44" s="2260"/>
      <c r="M44" s="2260"/>
      <c r="N44" s="2260"/>
      <c r="O44" s="2260"/>
      <c r="P44" s="2260"/>
      <c r="Q44" s="2260" t="s">
        <v>718</v>
      </c>
      <c r="R44" s="2260"/>
      <c r="S44" s="2260"/>
      <c r="T44" s="2260" t="s">
        <v>719</v>
      </c>
      <c r="U44" s="2318"/>
      <c r="V44" s="2298"/>
      <c r="W44" s="2298"/>
      <c r="X44" s="2299"/>
      <c r="Y44" s="2297"/>
      <c r="Z44" s="2298"/>
      <c r="AA44" s="2298"/>
      <c r="AB44" s="2298"/>
      <c r="AC44" s="2298"/>
      <c r="AD44" s="2298"/>
      <c r="AE44" s="2298"/>
      <c r="AF44" s="2299"/>
      <c r="AG44" s="2297"/>
      <c r="AH44" s="2298"/>
      <c r="AI44" s="2298"/>
      <c r="AJ44" s="2298"/>
      <c r="AK44" s="2298"/>
      <c r="AL44" s="2299"/>
      <c r="AM44" s="612"/>
      <c r="AN44" s="612"/>
      <c r="AO44" s="687"/>
      <c r="AQ44" s="688"/>
      <c r="AT44" s="749"/>
      <c r="AU44" s="749"/>
      <c r="AV44" s="749"/>
      <c r="AW44" s="749"/>
      <c r="AX44" s="749"/>
      <c r="AY44" s="749"/>
      <c r="AZ44" s="749"/>
      <c r="BA44" s="749"/>
      <c r="BB44" s="749"/>
      <c r="BC44" s="749"/>
      <c r="BD44" s="749"/>
      <c r="BE44" s="749"/>
      <c r="BF44" s="749"/>
      <c r="BG44" s="749"/>
      <c r="BH44" s="749"/>
      <c r="BI44" s="749"/>
      <c r="BJ44" s="749"/>
      <c r="BK44" s="749"/>
      <c r="BL44" s="749"/>
      <c r="BM44" s="749"/>
      <c r="BN44" s="749"/>
      <c r="BO44" s="749"/>
      <c r="BP44" s="749"/>
      <c r="BQ44" s="749"/>
      <c r="BR44" s="749"/>
      <c r="BS44" s="749"/>
      <c r="BT44" s="749"/>
      <c r="BU44" s="749"/>
      <c r="BV44" s="749"/>
      <c r="BW44" s="749"/>
      <c r="BX44" s="749"/>
      <c r="BY44" s="749"/>
      <c r="BZ44" s="749"/>
      <c r="CA44" s="749"/>
      <c r="CB44" s="749"/>
      <c r="CC44" s="749"/>
      <c r="CD44" s="749"/>
    </row>
    <row r="45" spans="1:82" ht="18" customHeight="1">
      <c r="A45" s="2204" t="s">
        <v>961</v>
      </c>
      <c r="B45" s="2209"/>
      <c r="C45" s="2210"/>
      <c r="D45" s="2210"/>
      <c r="E45" s="2211"/>
      <c r="F45" s="2211"/>
      <c r="G45" s="2211"/>
      <c r="H45" s="2211"/>
      <c r="I45" s="2211"/>
      <c r="J45" s="2211"/>
      <c r="K45" s="2210"/>
      <c r="L45" s="2210"/>
      <c r="M45" s="2210"/>
      <c r="N45" s="2210"/>
      <c r="O45" s="2210"/>
      <c r="P45" s="2210"/>
      <c r="Q45" s="2210"/>
      <c r="R45" s="2210"/>
      <c r="S45" s="2210"/>
      <c r="T45" s="2218">
        <v>1</v>
      </c>
      <c r="U45" s="2219"/>
      <c r="V45" s="2278" t="str">
        <f>_xlfn.IFS(Q45=$AO$4,$AN$4,Q45=$AO$5,$AN$5,Q45=$AO$6,$AN$5,,,Q45="","")</f>
        <v/>
      </c>
      <c r="W45" s="2278"/>
      <c r="X45" s="2279"/>
      <c r="Y45" s="2294"/>
      <c r="Z45" s="2295"/>
      <c r="AA45" s="2295"/>
      <c r="AB45" s="2295"/>
      <c r="AC45" s="2295"/>
      <c r="AD45" s="2295"/>
      <c r="AE45" s="2295"/>
      <c r="AF45" s="2296"/>
      <c r="AG45" s="2300"/>
      <c r="AH45" s="2301"/>
      <c r="AI45" s="2301"/>
      <c r="AJ45" s="2301"/>
      <c r="AK45" s="2301"/>
      <c r="AL45" s="2302"/>
      <c r="AM45" s="612"/>
      <c r="AN45" s="612"/>
      <c r="AO45" s="612"/>
      <c r="AQ45" s="688"/>
      <c r="AT45" s="748"/>
      <c r="AU45" s="748"/>
      <c r="AV45" s="748"/>
      <c r="AW45" s="748"/>
      <c r="AX45" s="748"/>
      <c r="AY45" s="748"/>
      <c r="AZ45" s="748"/>
      <c r="BA45" s="748"/>
      <c r="BB45" s="748"/>
      <c r="BC45" s="748"/>
      <c r="BD45" s="748"/>
      <c r="BE45" s="748"/>
      <c r="BF45" s="748"/>
      <c r="BG45" s="748"/>
      <c r="BH45" s="748"/>
      <c r="BI45" s="748"/>
      <c r="BJ45" s="748"/>
      <c r="BK45" s="748"/>
      <c r="BL45" s="748"/>
      <c r="BM45" s="748"/>
      <c r="BN45" s="748"/>
      <c r="BO45" s="748"/>
      <c r="BP45" s="748"/>
      <c r="BQ45" s="749"/>
      <c r="BR45" s="749"/>
      <c r="BS45" s="749"/>
      <c r="BT45" s="749"/>
      <c r="BU45" s="749"/>
      <c r="BV45" s="749"/>
      <c r="BW45" s="749"/>
      <c r="BX45" s="749"/>
      <c r="BY45" s="740"/>
      <c r="BZ45" s="740"/>
      <c r="CA45" s="740"/>
      <c r="CB45" s="740"/>
      <c r="CC45" s="740"/>
      <c r="CD45" s="740"/>
    </row>
    <row r="46" spans="1:82" ht="18" customHeight="1">
      <c r="A46" s="2205"/>
      <c r="B46" s="2292"/>
      <c r="C46" s="2293"/>
      <c r="D46" s="2293"/>
      <c r="E46" s="2212"/>
      <c r="F46" s="2212"/>
      <c r="G46" s="2212"/>
      <c r="H46" s="2212"/>
      <c r="I46" s="2212"/>
      <c r="J46" s="2212"/>
      <c r="K46" s="2293"/>
      <c r="L46" s="2293"/>
      <c r="M46" s="2293"/>
      <c r="N46" s="2293"/>
      <c r="O46" s="2293"/>
      <c r="P46" s="2293"/>
      <c r="Q46" s="2293"/>
      <c r="R46" s="2293"/>
      <c r="S46" s="2293"/>
      <c r="T46" s="2288"/>
      <c r="U46" s="2289"/>
      <c r="V46" s="2290" t="str">
        <f>_xlfn.IFS(AND(B45=$AP$4,Q45=$AO$4),$AS$6,AND(B45=$AP$5,Q45=$AO$4),$AS$6,AND(B45=$AP$6,Q45=$AO$4),$AS$9,AND(B45=$AP$4,Q45=$AO$5),$AS$3,AND(B45=$AP$5,Q45=$AO$5),$AS$3,AND(B45=$AP$6,Q45=$AO$5),$AS$9,AND(B45=$AP$7,Q45=$AO$5),$AS$7,AND(B45=$AP$4,Q45=$AO$6),$AS$3,AND(B45=$AP$5,Q45=$AO$6),$AS$3,AND(B45=$AP$6,Q45=$AO$6),$AS$9,Q45="","")</f>
        <v/>
      </c>
      <c r="W46" s="2290"/>
      <c r="X46" s="2291"/>
      <c r="Y46" s="2297"/>
      <c r="Z46" s="2298"/>
      <c r="AA46" s="2298"/>
      <c r="AB46" s="2298"/>
      <c r="AC46" s="2298"/>
      <c r="AD46" s="2298"/>
      <c r="AE46" s="2298"/>
      <c r="AF46" s="2299"/>
      <c r="AG46" s="2303"/>
      <c r="AH46" s="2304"/>
      <c r="AI46" s="2304"/>
      <c r="AJ46" s="2304"/>
      <c r="AK46" s="2304"/>
      <c r="AL46" s="2305"/>
      <c r="AM46" s="612"/>
      <c r="AN46" s="612"/>
      <c r="AO46" s="612"/>
      <c r="AQ46" s="688"/>
      <c r="AT46" s="750"/>
      <c r="AU46" s="750"/>
      <c r="AV46" s="750"/>
      <c r="AW46" s="750"/>
      <c r="AX46" s="750"/>
      <c r="AY46" s="750"/>
      <c r="AZ46" s="750"/>
      <c r="BA46" s="750"/>
      <c r="BB46" s="750"/>
      <c r="BC46" s="750"/>
      <c r="BD46" s="750"/>
      <c r="BE46" s="750"/>
      <c r="BF46" s="750"/>
      <c r="BG46" s="750"/>
      <c r="BH46" s="750"/>
      <c r="BI46" s="750"/>
      <c r="BJ46" s="750"/>
      <c r="BK46" s="750"/>
      <c r="BL46" s="750"/>
      <c r="BM46" s="750"/>
      <c r="BN46" s="750"/>
      <c r="BO46" s="750"/>
      <c r="BP46" s="750"/>
      <c r="BQ46" s="749"/>
      <c r="BR46" s="749"/>
      <c r="BS46" s="749"/>
      <c r="BT46" s="749"/>
      <c r="BU46" s="749"/>
      <c r="BV46" s="749"/>
      <c r="BW46" s="749"/>
      <c r="BX46" s="749"/>
      <c r="BY46" s="740"/>
      <c r="BZ46" s="740"/>
      <c r="CA46" s="740"/>
      <c r="CB46" s="740"/>
      <c r="CC46" s="740"/>
      <c r="CD46" s="740"/>
    </row>
    <row r="47" spans="1:82" ht="18" customHeight="1">
      <c r="A47" s="2208"/>
      <c r="B47" s="2210"/>
      <c r="C47" s="2210"/>
      <c r="D47" s="2210"/>
      <c r="E47" s="2211"/>
      <c r="F47" s="2211"/>
      <c r="G47" s="2211"/>
      <c r="H47" s="2211"/>
      <c r="I47" s="2211"/>
      <c r="J47" s="2211"/>
      <c r="K47" s="2210"/>
      <c r="L47" s="2210"/>
      <c r="M47" s="2210"/>
      <c r="N47" s="2210"/>
      <c r="O47" s="2210"/>
      <c r="P47" s="2210"/>
      <c r="Q47" s="2210"/>
      <c r="R47" s="2210"/>
      <c r="S47" s="2210"/>
      <c r="T47" s="2218">
        <v>1</v>
      </c>
      <c r="U47" s="2219"/>
      <c r="V47" s="2278" t="str">
        <f>_xlfn.IFS(Q47=$AO$4,$AN$4,Q47=$AO$5,$AN$5,Q47=$AO$6,$AN$5,,,Q47="","")</f>
        <v/>
      </c>
      <c r="W47" s="2278"/>
      <c r="X47" s="2279"/>
      <c r="Y47" s="2222"/>
      <c r="Z47" s="2223"/>
      <c r="AA47" s="2223"/>
      <c r="AB47" s="2223"/>
      <c r="AC47" s="2223"/>
      <c r="AD47" s="2223"/>
      <c r="AE47" s="2223"/>
      <c r="AF47" s="2224"/>
      <c r="AG47" s="2228"/>
      <c r="AH47" s="2229"/>
      <c r="AI47" s="2229"/>
      <c r="AJ47" s="2229"/>
      <c r="AK47" s="2229"/>
      <c r="AL47" s="2230"/>
      <c r="AQ47" s="688"/>
      <c r="AT47" s="748"/>
      <c r="AU47" s="748"/>
      <c r="AV47" s="748"/>
      <c r="AW47" s="748"/>
      <c r="AX47" s="748"/>
      <c r="AY47" s="748"/>
      <c r="AZ47" s="748"/>
      <c r="BA47" s="748"/>
      <c r="BB47" s="748"/>
      <c r="BC47" s="748"/>
      <c r="BD47" s="748"/>
      <c r="BE47" s="748"/>
      <c r="BF47" s="748"/>
      <c r="BG47" s="748"/>
      <c r="BH47" s="748"/>
      <c r="BI47" s="748"/>
      <c r="BJ47" s="748"/>
      <c r="BK47" s="748"/>
      <c r="BL47" s="748"/>
      <c r="BM47" s="748"/>
      <c r="BN47" s="748"/>
      <c r="BO47" s="748"/>
      <c r="BP47" s="748"/>
      <c r="BQ47" s="749"/>
      <c r="BR47" s="749"/>
      <c r="BS47" s="749"/>
      <c r="BT47" s="749"/>
      <c r="BU47" s="749"/>
      <c r="BV47" s="749"/>
      <c r="BW47" s="749"/>
      <c r="BX47" s="749"/>
      <c r="BY47" s="740"/>
      <c r="BZ47" s="740"/>
      <c r="CA47" s="740"/>
      <c r="CB47" s="740"/>
      <c r="CC47" s="740"/>
      <c r="CD47" s="740"/>
    </row>
    <row r="48" spans="1:82" ht="18" customHeight="1">
      <c r="A48" s="2208"/>
      <c r="B48" s="2210"/>
      <c r="C48" s="2210"/>
      <c r="D48" s="2210"/>
      <c r="E48" s="2211"/>
      <c r="F48" s="2211"/>
      <c r="G48" s="2211"/>
      <c r="H48" s="2211"/>
      <c r="I48" s="2211"/>
      <c r="J48" s="2211"/>
      <c r="K48" s="2210"/>
      <c r="L48" s="2210"/>
      <c r="M48" s="2210"/>
      <c r="N48" s="2210"/>
      <c r="O48" s="2210"/>
      <c r="P48" s="2210"/>
      <c r="Q48" s="2210"/>
      <c r="R48" s="2210"/>
      <c r="S48" s="2210"/>
      <c r="T48" s="2288"/>
      <c r="U48" s="2289"/>
      <c r="V48" s="2290" t="str">
        <f>_xlfn.IFS(AND(B47=$AP$4,Q47=$AO$4),$AS$6,AND(B47=$AP$5,Q47=$AO$4),$AS$6,AND(B47=$AP$6,Q47=$AO$4),$AS$9,AND(B47=$AP$4,Q47=$AO$5),$AS$3,AND(B47=$AP$5,Q47=$AO$5),$AS$3,AND(B47=$AP$6,Q47=$AO$5),$AS$9,AND(B47=$AP$7,Q47=$AO$5),$AS$7,AND(B47=$AP$4,Q47=$AO$6),$AS$3,AND(B47=$AP$5,Q47=$AO$6),$AS$3,AND(B47=$AP$6,Q47=$AO$6),$AS$9,Q47="","")</f>
        <v/>
      </c>
      <c r="W48" s="2290"/>
      <c r="X48" s="2291"/>
      <c r="Y48" s="2222"/>
      <c r="Z48" s="2223"/>
      <c r="AA48" s="2223"/>
      <c r="AB48" s="2223"/>
      <c r="AC48" s="2223"/>
      <c r="AD48" s="2223"/>
      <c r="AE48" s="2223"/>
      <c r="AF48" s="2224"/>
      <c r="AG48" s="2228"/>
      <c r="AH48" s="2229"/>
      <c r="AI48" s="2229"/>
      <c r="AJ48" s="2229"/>
      <c r="AK48" s="2229"/>
      <c r="AL48" s="2230"/>
      <c r="AQ48" s="688"/>
      <c r="AT48" s="750"/>
      <c r="AU48" s="750"/>
      <c r="AV48" s="750"/>
      <c r="AW48" s="750"/>
      <c r="AX48" s="750"/>
      <c r="AY48" s="750"/>
      <c r="AZ48" s="750"/>
      <c r="BA48" s="750"/>
      <c r="BB48" s="750"/>
      <c r="BC48" s="750"/>
      <c r="BD48" s="750"/>
      <c r="BE48" s="750"/>
      <c r="BF48" s="750"/>
      <c r="BG48" s="750"/>
      <c r="BH48" s="750"/>
      <c r="BI48" s="750"/>
      <c r="BJ48" s="750"/>
      <c r="BK48" s="750"/>
      <c r="BL48" s="750"/>
      <c r="BM48" s="750"/>
      <c r="BN48" s="750"/>
      <c r="BO48" s="750"/>
      <c r="BP48" s="750"/>
      <c r="BQ48" s="749"/>
      <c r="BR48" s="749"/>
      <c r="BS48" s="749"/>
      <c r="BT48" s="749"/>
      <c r="BU48" s="749"/>
      <c r="BV48" s="749"/>
      <c r="BW48" s="749"/>
      <c r="BX48" s="749"/>
      <c r="BY48" s="740"/>
      <c r="BZ48" s="740"/>
      <c r="CA48" s="740"/>
      <c r="CB48" s="740"/>
      <c r="CC48" s="740"/>
      <c r="CD48" s="740"/>
    </row>
    <row r="49" spans="1:82" ht="18" customHeight="1">
      <c r="A49" s="2205"/>
      <c r="B49" s="2209"/>
      <c r="C49" s="2210"/>
      <c r="D49" s="2210"/>
      <c r="E49" s="2211"/>
      <c r="F49" s="2211"/>
      <c r="G49" s="2211"/>
      <c r="H49" s="2211"/>
      <c r="I49" s="2211"/>
      <c r="J49" s="2211"/>
      <c r="K49" s="2210"/>
      <c r="L49" s="2210"/>
      <c r="M49" s="2210"/>
      <c r="N49" s="2210"/>
      <c r="O49" s="2210"/>
      <c r="P49" s="2210"/>
      <c r="Q49" s="2210"/>
      <c r="R49" s="2210"/>
      <c r="S49" s="2210"/>
      <c r="T49" s="2218">
        <v>1</v>
      </c>
      <c r="U49" s="2219"/>
      <c r="V49" s="2278" t="str">
        <f>_xlfn.IFS(Q49=$AO$4,$AN$4,Q49=$AO$5,$AN$5,Q49=$AO$6,$AN$5,,,Q49="","")</f>
        <v/>
      </c>
      <c r="W49" s="2278"/>
      <c r="X49" s="2279"/>
      <c r="Y49" s="2222"/>
      <c r="Z49" s="2223"/>
      <c r="AA49" s="2223"/>
      <c r="AB49" s="2223"/>
      <c r="AC49" s="2223"/>
      <c r="AD49" s="2223"/>
      <c r="AE49" s="2223"/>
      <c r="AF49" s="2224"/>
      <c r="AG49" s="2228"/>
      <c r="AH49" s="2229"/>
      <c r="AI49" s="2229"/>
      <c r="AJ49" s="2229"/>
      <c r="AK49" s="2229"/>
      <c r="AL49" s="2230"/>
      <c r="AQ49" s="688"/>
      <c r="AT49" s="748"/>
      <c r="AU49" s="748"/>
      <c r="AV49" s="748"/>
      <c r="AW49" s="748"/>
      <c r="AX49" s="748"/>
      <c r="AY49" s="748"/>
      <c r="AZ49" s="748"/>
      <c r="BA49" s="748"/>
      <c r="BB49" s="748"/>
      <c r="BC49" s="748"/>
      <c r="BD49" s="748"/>
      <c r="BE49" s="748"/>
      <c r="BF49" s="748"/>
      <c r="BG49" s="748"/>
      <c r="BH49" s="748"/>
      <c r="BI49" s="748"/>
      <c r="BJ49" s="748"/>
      <c r="BK49" s="748"/>
      <c r="BL49" s="748"/>
      <c r="BM49" s="748"/>
      <c r="BN49" s="748"/>
      <c r="BO49" s="748"/>
      <c r="BP49" s="748"/>
      <c r="BQ49" s="749"/>
      <c r="BR49" s="749"/>
      <c r="BS49" s="749"/>
      <c r="BT49" s="749"/>
      <c r="BU49" s="749"/>
      <c r="BV49" s="749"/>
      <c r="BW49" s="749"/>
      <c r="BX49" s="749"/>
      <c r="BY49" s="740"/>
      <c r="BZ49" s="740"/>
      <c r="CA49" s="740"/>
      <c r="CB49" s="740"/>
      <c r="CC49" s="740"/>
      <c r="CD49" s="740"/>
    </row>
    <row r="50" spans="1:82" ht="18" customHeight="1">
      <c r="A50" s="2205"/>
      <c r="B50" s="2209"/>
      <c r="C50" s="2210"/>
      <c r="D50" s="2210"/>
      <c r="E50" s="2212"/>
      <c r="F50" s="2212"/>
      <c r="G50" s="2212"/>
      <c r="H50" s="2212"/>
      <c r="I50" s="2212"/>
      <c r="J50" s="2212"/>
      <c r="K50" s="2210"/>
      <c r="L50" s="2210"/>
      <c r="M50" s="2210"/>
      <c r="N50" s="2210"/>
      <c r="O50" s="2210"/>
      <c r="P50" s="2210"/>
      <c r="Q50" s="2210"/>
      <c r="R50" s="2210"/>
      <c r="S50" s="2210"/>
      <c r="T50" s="2288"/>
      <c r="U50" s="2289"/>
      <c r="V50" s="2290" t="str">
        <f>_xlfn.IFS(AND(B49=$AP$4,Q49=$AO$4),$AS$6,AND(B49=$AP$5,Q49=$AO$4),$AS$6,AND(B49=$AP$6,Q49=$AO$4),$AS$9,AND(B49=$AP$4,Q49=$AO$5),$AS$3,AND(B49=$AP$5,Q49=$AO$5),$AS$3,AND(B49=$AP$6,Q49=$AO$5),$AS$9,AND(B49=$AP$7,Q49=$AO$5),$AS$7,AND(B49=$AP$4,Q49=$AO$6),$AS$3,AND(B49=$AP$5,Q49=$AO$6),$AS$3,AND(B49=$AP$6,Q49=$AO$6),$AS$9,Q49="","")</f>
        <v/>
      </c>
      <c r="W50" s="2290"/>
      <c r="X50" s="2291"/>
      <c r="Y50" s="2222"/>
      <c r="Z50" s="2223"/>
      <c r="AA50" s="2223"/>
      <c r="AB50" s="2223"/>
      <c r="AC50" s="2223"/>
      <c r="AD50" s="2223"/>
      <c r="AE50" s="2223"/>
      <c r="AF50" s="2224"/>
      <c r="AG50" s="2228"/>
      <c r="AH50" s="2229"/>
      <c r="AI50" s="2229"/>
      <c r="AJ50" s="2229"/>
      <c r="AK50" s="2229"/>
      <c r="AL50" s="2230"/>
      <c r="AQ50" s="688"/>
      <c r="AT50" s="750"/>
      <c r="AU50" s="750"/>
      <c r="AV50" s="750"/>
      <c r="AW50" s="750"/>
      <c r="AX50" s="750"/>
      <c r="AY50" s="750"/>
      <c r="AZ50" s="750"/>
      <c r="BA50" s="750"/>
      <c r="BB50" s="750"/>
      <c r="BC50" s="750"/>
      <c r="BD50" s="750"/>
      <c r="BE50" s="750"/>
      <c r="BF50" s="750"/>
      <c r="BG50" s="750"/>
      <c r="BH50" s="750"/>
      <c r="BI50" s="750"/>
      <c r="BJ50" s="750"/>
      <c r="BK50" s="750"/>
      <c r="BL50" s="750"/>
      <c r="BM50" s="750"/>
      <c r="BN50" s="750"/>
      <c r="BO50" s="750"/>
      <c r="BP50" s="750"/>
      <c r="BQ50" s="749"/>
      <c r="BR50" s="749"/>
      <c r="BS50" s="749"/>
      <c r="BT50" s="749"/>
      <c r="BU50" s="749"/>
      <c r="BV50" s="749"/>
      <c r="BW50" s="749"/>
      <c r="BX50" s="749"/>
      <c r="BY50" s="740"/>
      <c r="BZ50" s="740"/>
      <c r="CA50" s="740"/>
      <c r="CB50" s="740"/>
      <c r="CC50" s="740"/>
      <c r="CD50" s="740"/>
    </row>
    <row r="51" spans="1:82" ht="18" customHeight="1">
      <c r="A51" s="2205"/>
      <c r="B51" s="2209"/>
      <c r="C51" s="2210"/>
      <c r="D51" s="2210"/>
      <c r="E51" s="2211"/>
      <c r="F51" s="2211"/>
      <c r="G51" s="2211"/>
      <c r="H51" s="2211"/>
      <c r="I51" s="2211"/>
      <c r="J51" s="2211"/>
      <c r="K51" s="2210"/>
      <c r="L51" s="2210"/>
      <c r="M51" s="2210"/>
      <c r="N51" s="2210"/>
      <c r="O51" s="2210"/>
      <c r="P51" s="2210"/>
      <c r="Q51" s="2210"/>
      <c r="R51" s="2210"/>
      <c r="S51" s="2210"/>
      <c r="T51" s="2218">
        <v>1</v>
      </c>
      <c r="U51" s="2219"/>
      <c r="V51" s="2278" t="str">
        <f>_xlfn.IFS(Q51=$AO$4,$AN$4,Q51=$AO$5,$AN$5,Q51=$AO$6,$AN$5,,,Q51="","")</f>
        <v/>
      </c>
      <c r="W51" s="2278"/>
      <c r="X51" s="2279"/>
      <c r="Y51" s="2222"/>
      <c r="Z51" s="2223"/>
      <c r="AA51" s="2223"/>
      <c r="AB51" s="2223"/>
      <c r="AC51" s="2223"/>
      <c r="AD51" s="2223"/>
      <c r="AE51" s="2223"/>
      <c r="AF51" s="2224"/>
      <c r="AG51" s="2228"/>
      <c r="AH51" s="2229"/>
      <c r="AI51" s="2229"/>
      <c r="AJ51" s="2229"/>
      <c r="AK51" s="2229"/>
      <c r="AL51" s="2230"/>
      <c r="AQ51" s="688"/>
      <c r="AT51" s="748"/>
      <c r="AU51" s="748"/>
      <c r="AV51" s="748"/>
      <c r="AW51" s="748"/>
      <c r="AX51" s="748"/>
      <c r="AY51" s="748"/>
      <c r="AZ51" s="748"/>
      <c r="BA51" s="748"/>
      <c r="BB51" s="748"/>
      <c r="BC51" s="748"/>
      <c r="BD51" s="748"/>
      <c r="BE51" s="748"/>
      <c r="BF51" s="748"/>
      <c r="BG51" s="748"/>
      <c r="BH51" s="748"/>
      <c r="BI51" s="748"/>
      <c r="BJ51" s="748"/>
      <c r="BK51" s="748"/>
      <c r="BL51" s="748"/>
      <c r="BM51" s="748"/>
      <c r="BN51" s="748"/>
      <c r="BO51" s="748"/>
      <c r="BP51" s="748"/>
      <c r="BQ51" s="749"/>
      <c r="BR51" s="749"/>
      <c r="BS51" s="749"/>
      <c r="BT51" s="749"/>
      <c r="BU51" s="749"/>
      <c r="BV51" s="749"/>
      <c r="BW51" s="749"/>
      <c r="BX51" s="749"/>
      <c r="BY51" s="740"/>
      <c r="BZ51" s="740"/>
      <c r="CA51" s="740"/>
      <c r="CB51" s="740"/>
      <c r="CC51" s="740"/>
      <c r="CD51" s="740"/>
    </row>
    <row r="52" spans="1:82" ht="18" customHeight="1">
      <c r="A52" s="2205"/>
      <c r="B52" s="2209"/>
      <c r="C52" s="2210"/>
      <c r="D52" s="2210"/>
      <c r="E52" s="2212"/>
      <c r="F52" s="2212"/>
      <c r="G52" s="2212"/>
      <c r="H52" s="2212"/>
      <c r="I52" s="2212"/>
      <c r="J52" s="2212"/>
      <c r="K52" s="2210"/>
      <c r="L52" s="2210"/>
      <c r="M52" s="2210"/>
      <c r="N52" s="2210"/>
      <c r="O52" s="2210"/>
      <c r="P52" s="2210"/>
      <c r="Q52" s="2210"/>
      <c r="R52" s="2210"/>
      <c r="S52" s="2210"/>
      <c r="T52" s="2288"/>
      <c r="U52" s="2289"/>
      <c r="V52" s="2290" t="str">
        <f>_xlfn.IFS(AND(B51=$AP$4,Q51=$AO$4),$AS$6,AND(B51=$AP$5,Q51=$AO$4),$AS$6,AND(B51=$AP$6,Q51=$AO$4),$AS$9,AND(B51=$AP$4,Q51=$AO$5),$AS$3,AND(B51=$AP$5,Q51=$AO$5),$AS$3,AND(B51=$AP$6,Q51=$AO$5),$AS$9,AND(B51=$AP$7,Q51=$AO$5),$AS$7,AND(B51=$AP$4,Q51=$AO$6),$AS$3,AND(B51=$AP$5,Q51=$AO$6),$AS$3,AND(B51=$AP$6,Q51=$AO$6),$AS$9,Q51="","")</f>
        <v/>
      </c>
      <c r="W52" s="2290"/>
      <c r="X52" s="2291"/>
      <c r="Y52" s="2222"/>
      <c r="Z52" s="2223"/>
      <c r="AA52" s="2223"/>
      <c r="AB52" s="2223"/>
      <c r="AC52" s="2223"/>
      <c r="AD52" s="2223"/>
      <c r="AE52" s="2223"/>
      <c r="AF52" s="2224"/>
      <c r="AG52" s="2228"/>
      <c r="AH52" s="2229"/>
      <c r="AI52" s="2229"/>
      <c r="AJ52" s="2229"/>
      <c r="AK52" s="2229"/>
      <c r="AL52" s="2230"/>
      <c r="AQ52" s="688"/>
      <c r="AT52" s="750"/>
      <c r="AU52" s="750"/>
      <c r="AV52" s="750"/>
      <c r="AW52" s="750"/>
      <c r="AX52" s="750"/>
      <c r="AY52" s="750"/>
      <c r="AZ52" s="750"/>
      <c r="BA52" s="750"/>
      <c r="BB52" s="750"/>
      <c r="BC52" s="750"/>
      <c r="BD52" s="750"/>
      <c r="BE52" s="750"/>
      <c r="BF52" s="750"/>
      <c r="BG52" s="750"/>
      <c r="BH52" s="750"/>
      <c r="BI52" s="750"/>
      <c r="BJ52" s="750"/>
      <c r="BK52" s="750"/>
      <c r="BL52" s="750"/>
      <c r="BM52" s="750"/>
      <c r="BN52" s="750"/>
      <c r="BO52" s="750"/>
      <c r="BP52" s="750"/>
      <c r="BQ52" s="749"/>
      <c r="BR52" s="749"/>
      <c r="BS52" s="749"/>
      <c r="BT52" s="749"/>
      <c r="BU52" s="749"/>
      <c r="BV52" s="749"/>
      <c r="BW52" s="749"/>
      <c r="BX52" s="749"/>
      <c r="BY52" s="740"/>
      <c r="BZ52" s="740"/>
      <c r="CA52" s="740"/>
      <c r="CB52" s="740"/>
      <c r="CC52" s="740"/>
      <c r="CD52" s="740"/>
    </row>
    <row r="53" spans="1:82" ht="18" customHeight="1">
      <c r="A53" s="2205"/>
      <c r="B53" s="2209"/>
      <c r="C53" s="2210"/>
      <c r="D53" s="2210"/>
      <c r="E53" s="2211"/>
      <c r="F53" s="2211"/>
      <c r="G53" s="2211"/>
      <c r="H53" s="2211"/>
      <c r="I53" s="2211"/>
      <c r="J53" s="2211"/>
      <c r="K53" s="2210"/>
      <c r="L53" s="2210"/>
      <c r="M53" s="2210"/>
      <c r="N53" s="2210"/>
      <c r="O53" s="2210"/>
      <c r="P53" s="2210"/>
      <c r="Q53" s="2210"/>
      <c r="R53" s="2210"/>
      <c r="S53" s="2210"/>
      <c r="T53" s="2218">
        <v>1</v>
      </c>
      <c r="U53" s="2219"/>
      <c r="V53" s="2278" t="str">
        <f>_xlfn.IFS(Q53=$AO$4,$AN$4,Q53=$AO$5,$AN$5,Q53=$AO$6,$AN$5,,,Q53="","")</f>
        <v/>
      </c>
      <c r="W53" s="2278"/>
      <c r="X53" s="2279"/>
      <c r="Y53" s="2222"/>
      <c r="Z53" s="2223"/>
      <c r="AA53" s="2223"/>
      <c r="AB53" s="2223"/>
      <c r="AC53" s="2223"/>
      <c r="AD53" s="2223"/>
      <c r="AE53" s="2223"/>
      <c r="AF53" s="2224"/>
      <c r="AG53" s="2228"/>
      <c r="AH53" s="2229"/>
      <c r="AI53" s="2229"/>
      <c r="AJ53" s="2229"/>
      <c r="AK53" s="2229"/>
      <c r="AL53" s="2230"/>
      <c r="AQ53" s="688"/>
      <c r="AT53" s="748"/>
      <c r="AU53" s="748"/>
      <c r="AV53" s="748"/>
      <c r="AW53" s="748"/>
      <c r="AX53" s="748"/>
      <c r="AY53" s="748"/>
      <c r="AZ53" s="748"/>
      <c r="BA53" s="748"/>
      <c r="BB53" s="748"/>
      <c r="BC53" s="748"/>
      <c r="BD53" s="748"/>
      <c r="BE53" s="748"/>
      <c r="BF53" s="748"/>
      <c r="BG53" s="748"/>
      <c r="BH53" s="748"/>
      <c r="BI53" s="748"/>
      <c r="BJ53" s="748"/>
      <c r="BK53" s="748"/>
      <c r="BL53" s="748"/>
      <c r="BM53" s="748"/>
      <c r="BN53" s="748"/>
      <c r="BO53" s="748"/>
      <c r="BP53" s="748"/>
      <c r="BQ53" s="749"/>
      <c r="BR53" s="749"/>
      <c r="BS53" s="749"/>
      <c r="BT53" s="749"/>
      <c r="BU53" s="749"/>
      <c r="BV53" s="749"/>
      <c r="BW53" s="749"/>
      <c r="BX53" s="749"/>
      <c r="BY53" s="740"/>
      <c r="BZ53" s="740"/>
      <c r="CA53" s="740"/>
      <c r="CB53" s="740"/>
      <c r="CC53" s="740"/>
      <c r="CD53" s="740"/>
    </row>
    <row r="54" spans="1:82" ht="18" customHeight="1" thickBot="1">
      <c r="A54" s="2205"/>
      <c r="B54" s="2250"/>
      <c r="C54" s="2251"/>
      <c r="D54" s="2251"/>
      <c r="E54" s="2252"/>
      <c r="F54" s="2252"/>
      <c r="G54" s="2252"/>
      <c r="H54" s="2252"/>
      <c r="I54" s="2252"/>
      <c r="J54" s="2252"/>
      <c r="K54" s="2251"/>
      <c r="L54" s="2251"/>
      <c r="M54" s="2251"/>
      <c r="N54" s="2251"/>
      <c r="O54" s="2251"/>
      <c r="P54" s="2251"/>
      <c r="Q54" s="2251"/>
      <c r="R54" s="2251"/>
      <c r="S54" s="2251"/>
      <c r="T54" s="2220"/>
      <c r="U54" s="2221"/>
      <c r="V54" s="2286" t="str">
        <f>_xlfn.IFS(AND(B53=$AP$4,Q53=$AO$4),$AS$6,AND(B53=$AP$5,Q53=$AO$4),$AS$6,AND(B53=$AP$6,Q53=$AO$4),$AS$9,AND(B53=$AP$4,Q53=$AO$5),$AS$3,AND(B53=$AP$5,Q53=$AO$5),$AS$3,AND(B53=$AP$6,Q53=$AO$5),$AS$9,AND(B53=$AP$7,Q53=$AO$5),$AS$7,AND(B53=$AP$4,Q53=$AO$6),$AS$3,AND(B53=$AP$5,Q53=$AO$6),$AS$3,AND(B53=$AP$6,Q53=$AO$6),$AS$9,Q53="","")</f>
        <v/>
      </c>
      <c r="W54" s="2286"/>
      <c r="X54" s="2287"/>
      <c r="Y54" s="2280"/>
      <c r="Z54" s="2281"/>
      <c r="AA54" s="2281"/>
      <c r="AB54" s="2281"/>
      <c r="AC54" s="2281"/>
      <c r="AD54" s="2281"/>
      <c r="AE54" s="2281"/>
      <c r="AF54" s="2282"/>
      <c r="AG54" s="2283"/>
      <c r="AH54" s="2284"/>
      <c r="AI54" s="2284"/>
      <c r="AJ54" s="2284"/>
      <c r="AK54" s="2284"/>
      <c r="AL54" s="2285"/>
      <c r="AQ54" s="688"/>
      <c r="AT54" s="750"/>
      <c r="AU54" s="750"/>
      <c r="AV54" s="750"/>
      <c r="AW54" s="750"/>
      <c r="AX54" s="750"/>
      <c r="AY54" s="750"/>
      <c r="AZ54" s="750"/>
      <c r="BA54" s="750"/>
      <c r="BB54" s="750"/>
      <c r="BC54" s="750"/>
      <c r="BD54" s="750"/>
      <c r="BE54" s="750"/>
      <c r="BF54" s="750"/>
      <c r="BG54" s="750"/>
      <c r="BH54" s="750"/>
      <c r="BI54" s="750"/>
      <c r="BJ54" s="750"/>
      <c r="BK54" s="750"/>
      <c r="BL54" s="750"/>
      <c r="BM54" s="750"/>
      <c r="BN54" s="750"/>
      <c r="BO54" s="750"/>
      <c r="BP54" s="750"/>
      <c r="BQ54" s="749"/>
      <c r="BR54" s="749"/>
      <c r="BS54" s="749"/>
      <c r="BT54" s="749"/>
      <c r="BU54" s="749"/>
      <c r="BV54" s="749"/>
      <c r="BW54" s="749"/>
      <c r="BX54" s="749"/>
      <c r="BY54" s="740"/>
      <c r="BZ54" s="740"/>
      <c r="CA54" s="740"/>
      <c r="CB54" s="740"/>
      <c r="CC54" s="740"/>
      <c r="CD54" s="740"/>
    </row>
    <row r="55" spans="1:82" ht="18" customHeight="1">
      <c r="A55" s="2190" t="s">
        <v>948</v>
      </c>
      <c r="B55" s="2253"/>
      <c r="C55" s="2244"/>
      <c r="D55" s="2244"/>
      <c r="E55" s="2254"/>
      <c r="F55" s="2254"/>
      <c r="G55" s="2254"/>
      <c r="H55" s="2254"/>
      <c r="I55" s="2254"/>
      <c r="J55" s="2254"/>
      <c r="K55" s="2244"/>
      <c r="L55" s="2244"/>
      <c r="M55" s="2244"/>
      <c r="N55" s="2244"/>
      <c r="O55" s="2244"/>
      <c r="P55" s="2244"/>
      <c r="Q55" s="2244"/>
      <c r="R55" s="2244"/>
      <c r="S55" s="2244"/>
      <c r="T55" s="2245" t="s">
        <v>722</v>
      </c>
      <c r="U55" s="2246"/>
      <c r="V55" s="2247"/>
      <c r="W55" s="2248"/>
      <c r="X55" s="2249"/>
      <c r="Y55" s="2238"/>
      <c r="Z55" s="2239"/>
      <c r="AA55" s="2239"/>
      <c r="AB55" s="2239"/>
      <c r="AC55" s="2239"/>
      <c r="AD55" s="2239"/>
      <c r="AE55" s="2239"/>
      <c r="AF55" s="2240"/>
      <c r="AG55" s="2241"/>
      <c r="AH55" s="2242"/>
      <c r="AI55" s="2242"/>
      <c r="AJ55" s="2242"/>
      <c r="AK55" s="2242"/>
      <c r="AL55" s="2243"/>
      <c r="AQ55" s="688"/>
      <c r="AT55" s="748"/>
      <c r="AU55" s="748"/>
      <c r="AV55" s="748"/>
      <c r="AW55" s="748"/>
      <c r="AX55" s="748"/>
      <c r="AY55" s="748"/>
      <c r="AZ55" s="748"/>
      <c r="BA55" s="748"/>
      <c r="BB55" s="748"/>
      <c r="BC55" s="748"/>
      <c r="BD55" s="748"/>
      <c r="BE55" s="748"/>
      <c r="BF55" s="748"/>
      <c r="BG55" s="748"/>
      <c r="BH55" s="748"/>
      <c r="BI55" s="748"/>
      <c r="BJ55" s="748"/>
      <c r="BK55" s="748"/>
      <c r="BL55" s="748"/>
      <c r="BM55" s="748"/>
      <c r="BN55" s="748"/>
      <c r="BO55" s="748"/>
      <c r="BP55" s="748"/>
      <c r="BQ55" s="749"/>
      <c r="BR55" s="749"/>
      <c r="BS55" s="749"/>
      <c r="BT55" s="749"/>
      <c r="BU55" s="749"/>
      <c r="BV55" s="749"/>
      <c r="BW55" s="749"/>
      <c r="BX55" s="749"/>
      <c r="BY55" s="740"/>
      <c r="BZ55" s="740"/>
      <c r="CA55" s="740"/>
      <c r="CB55" s="740"/>
      <c r="CC55" s="740"/>
      <c r="CD55" s="740"/>
    </row>
    <row r="56" spans="1:82" ht="18" customHeight="1">
      <c r="A56" s="2191"/>
      <c r="B56" s="2209"/>
      <c r="C56" s="2210"/>
      <c r="D56" s="2210"/>
      <c r="E56" s="2212"/>
      <c r="F56" s="2212"/>
      <c r="G56" s="2212"/>
      <c r="H56" s="2212"/>
      <c r="I56" s="2212"/>
      <c r="J56" s="2212"/>
      <c r="K56" s="2210"/>
      <c r="L56" s="2210"/>
      <c r="M56" s="2210"/>
      <c r="N56" s="2210"/>
      <c r="O56" s="2210"/>
      <c r="P56" s="2210"/>
      <c r="Q56" s="2210"/>
      <c r="R56" s="2210"/>
      <c r="S56" s="2210"/>
      <c r="T56" s="2213"/>
      <c r="U56" s="2214"/>
      <c r="V56" s="2187"/>
      <c r="W56" s="2188"/>
      <c r="X56" s="2189"/>
      <c r="Y56" s="2225"/>
      <c r="Z56" s="2226"/>
      <c r="AA56" s="2226"/>
      <c r="AB56" s="2226"/>
      <c r="AC56" s="2226"/>
      <c r="AD56" s="2226"/>
      <c r="AE56" s="2226"/>
      <c r="AF56" s="2227"/>
      <c r="AG56" s="2231"/>
      <c r="AH56" s="2232"/>
      <c r="AI56" s="2232"/>
      <c r="AJ56" s="2232"/>
      <c r="AK56" s="2232"/>
      <c r="AL56" s="2233"/>
      <c r="AQ56" s="688"/>
      <c r="AT56" s="750"/>
      <c r="AU56" s="750"/>
      <c r="AV56" s="750"/>
      <c r="AW56" s="750"/>
      <c r="AX56" s="750"/>
      <c r="AY56" s="750"/>
      <c r="AZ56" s="750"/>
      <c r="BA56" s="750"/>
      <c r="BB56" s="750"/>
      <c r="BC56" s="750"/>
      <c r="BD56" s="750"/>
      <c r="BE56" s="750"/>
      <c r="BF56" s="750"/>
      <c r="BG56" s="750"/>
      <c r="BH56" s="750"/>
      <c r="BI56" s="750"/>
      <c r="BJ56" s="750"/>
      <c r="BK56" s="750"/>
      <c r="BL56" s="750"/>
      <c r="BM56" s="750"/>
      <c r="BN56" s="750"/>
      <c r="BO56" s="750"/>
      <c r="BP56" s="750"/>
      <c r="BQ56" s="749"/>
      <c r="BR56" s="749"/>
      <c r="BS56" s="749"/>
      <c r="BT56" s="749"/>
      <c r="BU56" s="749"/>
      <c r="BV56" s="749"/>
      <c r="BW56" s="749"/>
      <c r="BX56" s="749"/>
      <c r="BY56" s="740"/>
      <c r="BZ56" s="740"/>
      <c r="CA56" s="740"/>
      <c r="CB56" s="740"/>
      <c r="CC56" s="740"/>
      <c r="CD56" s="740"/>
    </row>
    <row r="57" spans="1:82" ht="18" customHeight="1">
      <c r="A57" s="2191"/>
      <c r="B57" s="2209"/>
      <c r="C57" s="2210"/>
      <c r="D57" s="2210"/>
      <c r="E57" s="2211"/>
      <c r="F57" s="2211"/>
      <c r="G57" s="2211"/>
      <c r="H57" s="2211"/>
      <c r="I57" s="2211"/>
      <c r="J57" s="2211"/>
      <c r="K57" s="2210"/>
      <c r="L57" s="2210"/>
      <c r="M57" s="2210"/>
      <c r="N57" s="2210"/>
      <c r="O57" s="2210"/>
      <c r="P57" s="2210"/>
      <c r="Q57" s="2210"/>
      <c r="R57" s="2210"/>
      <c r="S57" s="2210"/>
      <c r="T57" s="2213" t="s">
        <v>722</v>
      </c>
      <c r="U57" s="2214"/>
      <c r="V57" s="2215"/>
      <c r="W57" s="2216"/>
      <c r="X57" s="2217"/>
      <c r="Y57" s="2222"/>
      <c r="Z57" s="2223"/>
      <c r="AA57" s="2223"/>
      <c r="AB57" s="2223"/>
      <c r="AC57" s="2223"/>
      <c r="AD57" s="2223"/>
      <c r="AE57" s="2223"/>
      <c r="AF57" s="2224"/>
      <c r="AG57" s="2228"/>
      <c r="AH57" s="2229"/>
      <c r="AI57" s="2229"/>
      <c r="AJ57" s="2229"/>
      <c r="AK57" s="2229"/>
      <c r="AL57" s="2230"/>
      <c r="AQ57" s="688"/>
      <c r="AT57" s="748"/>
      <c r="AU57" s="748"/>
      <c r="AV57" s="748"/>
      <c r="AW57" s="748"/>
      <c r="AX57" s="748"/>
      <c r="AY57" s="748"/>
      <c r="AZ57" s="748"/>
      <c r="BA57" s="748"/>
      <c r="BB57" s="748"/>
      <c r="BC57" s="748"/>
      <c r="BD57" s="748"/>
      <c r="BE57" s="748"/>
      <c r="BF57" s="748"/>
      <c r="BG57" s="748"/>
      <c r="BH57" s="748"/>
      <c r="BI57" s="748"/>
      <c r="BJ57" s="748"/>
      <c r="BK57" s="748"/>
      <c r="BL57" s="748"/>
      <c r="BM57" s="748"/>
      <c r="BN57" s="748"/>
      <c r="BO57" s="748"/>
      <c r="BP57" s="748"/>
      <c r="BQ57" s="749"/>
      <c r="BR57" s="749"/>
      <c r="BS57" s="749"/>
      <c r="BT57" s="749"/>
      <c r="BU57" s="749"/>
      <c r="BV57" s="749"/>
      <c r="BW57" s="749"/>
      <c r="BX57" s="749"/>
      <c r="BY57" s="740"/>
      <c r="BZ57" s="740"/>
      <c r="CA57" s="740"/>
      <c r="CB57" s="740"/>
      <c r="CC57" s="740"/>
      <c r="CD57" s="740"/>
    </row>
    <row r="58" spans="1:82" ht="18" customHeight="1">
      <c r="A58" s="2191"/>
      <c r="B58" s="2209"/>
      <c r="C58" s="2210"/>
      <c r="D58" s="2210"/>
      <c r="E58" s="2212"/>
      <c r="F58" s="2212"/>
      <c r="G58" s="2212"/>
      <c r="H58" s="2212"/>
      <c r="I58" s="2212"/>
      <c r="J58" s="2212"/>
      <c r="K58" s="2210"/>
      <c r="L58" s="2210"/>
      <c r="M58" s="2210"/>
      <c r="N58" s="2210"/>
      <c r="O58" s="2210"/>
      <c r="P58" s="2210"/>
      <c r="Q58" s="2210"/>
      <c r="R58" s="2210"/>
      <c r="S58" s="2210"/>
      <c r="T58" s="2213"/>
      <c r="U58" s="2214"/>
      <c r="V58" s="2187"/>
      <c r="W58" s="2188"/>
      <c r="X58" s="2189"/>
      <c r="Y58" s="2225"/>
      <c r="Z58" s="2226"/>
      <c r="AA58" s="2226"/>
      <c r="AB58" s="2226"/>
      <c r="AC58" s="2226"/>
      <c r="AD58" s="2226"/>
      <c r="AE58" s="2226"/>
      <c r="AF58" s="2227"/>
      <c r="AG58" s="2231"/>
      <c r="AH58" s="2232"/>
      <c r="AI58" s="2232"/>
      <c r="AJ58" s="2232"/>
      <c r="AK58" s="2232"/>
      <c r="AL58" s="2233"/>
      <c r="AQ58" s="688"/>
      <c r="AT58" s="750"/>
      <c r="AU58" s="750"/>
      <c r="AV58" s="750"/>
      <c r="AW58" s="750"/>
      <c r="AX58" s="750"/>
      <c r="AY58" s="750"/>
      <c r="AZ58" s="750"/>
      <c r="BA58" s="750"/>
      <c r="BB58" s="750"/>
      <c r="BC58" s="750"/>
      <c r="BD58" s="750"/>
      <c r="BE58" s="750"/>
      <c r="BF58" s="750"/>
      <c r="BG58" s="750"/>
      <c r="BH58" s="750"/>
      <c r="BI58" s="750"/>
      <c r="BJ58" s="750"/>
      <c r="BK58" s="750"/>
      <c r="BL58" s="750"/>
      <c r="BM58" s="750"/>
      <c r="BN58" s="750"/>
      <c r="BO58" s="750"/>
      <c r="BP58" s="750"/>
      <c r="BQ58" s="749"/>
      <c r="BR58" s="749"/>
      <c r="BS58" s="749"/>
      <c r="BT58" s="749"/>
      <c r="BU58" s="749"/>
      <c r="BV58" s="749"/>
      <c r="BW58" s="749"/>
      <c r="BX58" s="749"/>
      <c r="BY58" s="740"/>
      <c r="BZ58" s="740"/>
      <c r="CA58" s="740"/>
      <c r="CB58" s="740"/>
      <c r="CC58" s="740"/>
      <c r="CD58" s="740"/>
    </row>
    <row r="59" spans="1:82" ht="18" customHeight="1">
      <c r="A59" s="2191"/>
      <c r="B59" s="2209"/>
      <c r="C59" s="2210"/>
      <c r="D59" s="2210"/>
      <c r="E59" s="2211"/>
      <c r="F59" s="2211"/>
      <c r="G59" s="2211"/>
      <c r="H59" s="2211"/>
      <c r="I59" s="2211"/>
      <c r="J59" s="2211"/>
      <c r="K59" s="2210"/>
      <c r="L59" s="2210"/>
      <c r="M59" s="2210"/>
      <c r="N59" s="2210"/>
      <c r="O59" s="2210"/>
      <c r="P59" s="2210"/>
      <c r="Q59" s="2210"/>
      <c r="R59" s="2210"/>
      <c r="S59" s="2210"/>
      <c r="T59" s="2213" t="s">
        <v>722</v>
      </c>
      <c r="U59" s="2214"/>
      <c r="V59" s="2215"/>
      <c r="W59" s="2216"/>
      <c r="X59" s="2217"/>
      <c r="Y59" s="2222"/>
      <c r="Z59" s="2223"/>
      <c r="AA59" s="2223"/>
      <c r="AB59" s="2223"/>
      <c r="AC59" s="2223"/>
      <c r="AD59" s="2223"/>
      <c r="AE59" s="2223"/>
      <c r="AF59" s="2224"/>
      <c r="AG59" s="2228"/>
      <c r="AH59" s="2229"/>
      <c r="AI59" s="2229"/>
      <c r="AJ59" s="2229"/>
      <c r="AK59" s="2229"/>
      <c r="AL59" s="2230"/>
      <c r="AQ59" s="688"/>
      <c r="AT59" s="748"/>
      <c r="AU59" s="748"/>
      <c r="AV59" s="748"/>
      <c r="AW59" s="748"/>
      <c r="AX59" s="748"/>
      <c r="AY59" s="748"/>
      <c r="AZ59" s="748"/>
      <c r="BA59" s="748"/>
      <c r="BB59" s="748"/>
      <c r="BC59" s="748"/>
      <c r="BD59" s="748"/>
      <c r="BE59" s="748"/>
      <c r="BF59" s="748"/>
      <c r="BG59" s="748"/>
      <c r="BH59" s="748"/>
      <c r="BI59" s="748"/>
      <c r="BJ59" s="748"/>
      <c r="BK59" s="748"/>
      <c r="BL59" s="748"/>
      <c r="BM59" s="748"/>
      <c r="BN59" s="748"/>
      <c r="BO59" s="748"/>
      <c r="BP59" s="748"/>
      <c r="BQ59" s="749"/>
      <c r="BR59" s="749"/>
      <c r="BS59" s="749"/>
      <c r="BT59" s="749"/>
      <c r="BU59" s="749"/>
      <c r="BV59" s="749"/>
      <c r="BW59" s="749"/>
      <c r="BX59" s="749"/>
      <c r="BY59" s="740"/>
      <c r="BZ59" s="740"/>
      <c r="CA59" s="740"/>
      <c r="CB59" s="740"/>
      <c r="CC59" s="740"/>
      <c r="CD59" s="740"/>
    </row>
    <row r="60" spans="1:82" ht="18" customHeight="1">
      <c r="A60" s="2191"/>
      <c r="B60" s="2209"/>
      <c r="C60" s="2210"/>
      <c r="D60" s="2210"/>
      <c r="E60" s="2212"/>
      <c r="F60" s="2212"/>
      <c r="G60" s="2212"/>
      <c r="H60" s="2212"/>
      <c r="I60" s="2212"/>
      <c r="J60" s="2212"/>
      <c r="K60" s="2210"/>
      <c r="L60" s="2210"/>
      <c r="M60" s="2210"/>
      <c r="N60" s="2210"/>
      <c r="O60" s="2210"/>
      <c r="P60" s="2210"/>
      <c r="Q60" s="2210"/>
      <c r="R60" s="2210"/>
      <c r="S60" s="2210"/>
      <c r="T60" s="2213"/>
      <c r="U60" s="2214"/>
      <c r="V60" s="2187"/>
      <c r="W60" s="2188"/>
      <c r="X60" s="2189"/>
      <c r="Y60" s="2225"/>
      <c r="Z60" s="2226"/>
      <c r="AA60" s="2226"/>
      <c r="AB60" s="2226"/>
      <c r="AC60" s="2226"/>
      <c r="AD60" s="2226"/>
      <c r="AE60" s="2226"/>
      <c r="AF60" s="2227"/>
      <c r="AG60" s="2231"/>
      <c r="AH60" s="2232"/>
      <c r="AI60" s="2232"/>
      <c r="AJ60" s="2232"/>
      <c r="AK60" s="2232"/>
      <c r="AL60" s="2233"/>
      <c r="AQ60" s="688"/>
      <c r="AT60" s="750"/>
      <c r="AU60" s="750"/>
      <c r="AV60" s="750"/>
      <c r="AW60" s="750"/>
      <c r="AX60" s="750"/>
      <c r="AY60" s="750"/>
      <c r="AZ60" s="750"/>
      <c r="BA60" s="750"/>
      <c r="BB60" s="750"/>
      <c r="BC60" s="750"/>
      <c r="BD60" s="750"/>
      <c r="BE60" s="750"/>
      <c r="BF60" s="750"/>
      <c r="BG60" s="750"/>
      <c r="BH60" s="750"/>
      <c r="BI60" s="750"/>
      <c r="BJ60" s="750"/>
      <c r="BK60" s="750"/>
      <c r="BL60" s="750"/>
      <c r="BM60" s="750"/>
      <c r="BN60" s="750"/>
      <c r="BO60" s="750"/>
      <c r="BP60" s="750"/>
      <c r="BQ60" s="749"/>
      <c r="BR60" s="749"/>
      <c r="BS60" s="749"/>
      <c r="BT60" s="749"/>
      <c r="BU60" s="749"/>
      <c r="BV60" s="749"/>
      <c r="BW60" s="749"/>
      <c r="BX60" s="749"/>
      <c r="BY60" s="740"/>
      <c r="BZ60" s="740"/>
      <c r="CA60" s="740"/>
      <c r="CB60" s="740"/>
      <c r="CC60" s="740"/>
      <c r="CD60" s="740"/>
    </row>
    <row r="61" spans="1:82" ht="18" customHeight="1">
      <c r="A61" s="2191"/>
      <c r="B61" s="2209"/>
      <c r="C61" s="2210"/>
      <c r="D61" s="2210"/>
      <c r="E61" s="2211"/>
      <c r="F61" s="2211"/>
      <c r="G61" s="2211"/>
      <c r="H61" s="2211"/>
      <c r="I61" s="2211"/>
      <c r="J61" s="2211"/>
      <c r="K61" s="2210"/>
      <c r="L61" s="2210"/>
      <c r="M61" s="2210"/>
      <c r="N61" s="2210"/>
      <c r="O61" s="2210"/>
      <c r="P61" s="2210"/>
      <c r="Q61" s="2210"/>
      <c r="R61" s="2210"/>
      <c r="S61" s="2210"/>
      <c r="T61" s="2213" t="s">
        <v>722</v>
      </c>
      <c r="U61" s="2214"/>
      <c r="V61" s="2215"/>
      <c r="W61" s="2216"/>
      <c r="X61" s="2217"/>
      <c r="Y61" s="2222"/>
      <c r="Z61" s="2223"/>
      <c r="AA61" s="2223"/>
      <c r="AB61" s="2223"/>
      <c r="AC61" s="2223"/>
      <c r="AD61" s="2223"/>
      <c r="AE61" s="2223"/>
      <c r="AF61" s="2224"/>
      <c r="AG61" s="2228"/>
      <c r="AH61" s="2229"/>
      <c r="AI61" s="2229"/>
      <c r="AJ61" s="2229"/>
      <c r="AK61" s="2229"/>
      <c r="AL61" s="2230"/>
      <c r="AQ61" s="688"/>
      <c r="AT61" s="748"/>
      <c r="AU61" s="748"/>
      <c r="AV61" s="748"/>
      <c r="AW61" s="748"/>
      <c r="AX61" s="748"/>
      <c r="AY61" s="748"/>
      <c r="AZ61" s="748"/>
      <c r="BA61" s="748"/>
      <c r="BB61" s="748"/>
      <c r="BC61" s="748"/>
      <c r="BD61" s="748"/>
      <c r="BE61" s="748"/>
      <c r="BF61" s="748"/>
      <c r="BG61" s="748"/>
      <c r="BH61" s="748"/>
      <c r="BI61" s="748"/>
      <c r="BJ61" s="748"/>
      <c r="BK61" s="748"/>
      <c r="BL61" s="748"/>
      <c r="BM61" s="748"/>
      <c r="BN61" s="748"/>
      <c r="BO61" s="748"/>
      <c r="BP61" s="748"/>
      <c r="BQ61" s="749"/>
      <c r="BR61" s="749"/>
      <c r="BS61" s="749"/>
      <c r="BT61" s="749"/>
      <c r="BU61" s="749"/>
      <c r="BV61" s="749"/>
      <c r="BW61" s="749"/>
      <c r="BX61" s="749"/>
      <c r="BY61" s="740"/>
      <c r="BZ61" s="740"/>
      <c r="CA61" s="740"/>
      <c r="CB61" s="740"/>
      <c r="CC61" s="740"/>
      <c r="CD61" s="740"/>
    </row>
    <row r="62" spans="1:82" ht="18" customHeight="1">
      <c r="A62" s="2191"/>
      <c r="B62" s="2209"/>
      <c r="C62" s="2210"/>
      <c r="D62" s="2210"/>
      <c r="E62" s="2212"/>
      <c r="F62" s="2212"/>
      <c r="G62" s="2212"/>
      <c r="H62" s="2212"/>
      <c r="I62" s="2212"/>
      <c r="J62" s="2212"/>
      <c r="K62" s="2210"/>
      <c r="L62" s="2210"/>
      <c r="M62" s="2210"/>
      <c r="N62" s="2210"/>
      <c r="O62" s="2210"/>
      <c r="P62" s="2210"/>
      <c r="Q62" s="2210"/>
      <c r="R62" s="2210"/>
      <c r="S62" s="2210"/>
      <c r="T62" s="2213"/>
      <c r="U62" s="2214"/>
      <c r="V62" s="2187"/>
      <c r="W62" s="2188"/>
      <c r="X62" s="2189"/>
      <c r="Y62" s="2225"/>
      <c r="Z62" s="2226"/>
      <c r="AA62" s="2226"/>
      <c r="AB62" s="2226"/>
      <c r="AC62" s="2226"/>
      <c r="AD62" s="2226"/>
      <c r="AE62" s="2226"/>
      <c r="AF62" s="2227"/>
      <c r="AG62" s="2231"/>
      <c r="AH62" s="2232"/>
      <c r="AI62" s="2232"/>
      <c r="AJ62" s="2232"/>
      <c r="AK62" s="2232"/>
      <c r="AL62" s="2233"/>
      <c r="AQ62" s="688"/>
      <c r="AT62" s="750"/>
      <c r="AU62" s="750"/>
      <c r="AV62" s="750"/>
      <c r="AW62" s="750"/>
      <c r="AX62" s="750"/>
      <c r="AY62" s="750"/>
      <c r="AZ62" s="750"/>
      <c r="BA62" s="750"/>
      <c r="BB62" s="750"/>
      <c r="BC62" s="750"/>
      <c r="BD62" s="750"/>
      <c r="BE62" s="750"/>
      <c r="BF62" s="750"/>
      <c r="BG62" s="750"/>
      <c r="BH62" s="750"/>
      <c r="BI62" s="750"/>
      <c r="BJ62" s="750"/>
      <c r="BK62" s="750"/>
      <c r="BL62" s="750"/>
      <c r="BM62" s="750"/>
      <c r="BN62" s="750"/>
      <c r="BO62" s="750"/>
      <c r="BP62" s="750"/>
      <c r="BQ62" s="749"/>
      <c r="BR62" s="749"/>
      <c r="BS62" s="749"/>
      <c r="BT62" s="749"/>
      <c r="BU62" s="749"/>
      <c r="BV62" s="749"/>
      <c r="BW62" s="749"/>
      <c r="BX62" s="749"/>
      <c r="BY62" s="740"/>
      <c r="BZ62" s="740"/>
      <c r="CA62" s="740"/>
      <c r="CB62" s="740"/>
      <c r="CC62" s="740"/>
      <c r="CD62" s="740"/>
    </row>
    <row r="63" spans="1:82" ht="18" customHeight="1">
      <c r="A63" s="2191"/>
      <c r="B63" s="2209"/>
      <c r="C63" s="2210"/>
      <c r="D63" s="2210"/>
      <c r="E63" s="2211"/>
      <c r="F63" s="2211"/>
      <c r="G63" s="2211"/>
      <c r="H63" s="2211"/>
      <c r="I63" s="2211"/>
      <c r="J63" s="2211"/>
      <c r="K63" s="2210"/>
      <c r="L63" s="2210"/>
      <c r="M63" s="2210"/>
      <c r="N63" s="2210"/>
      <c r="O63" s="2210"/>
      <c r="P63" s="2210"/>
      <c r="Q63" s="2210"/>
      <c r="R63" s="2210"/>
      <c r="S63" s="2210"/>
      <c r="T63" s="2213" t="s">
        <v>722</v>
      </c>
      <c r="U63" s="2214"/>
      <c r="V63" s="2215"/>
      <c r="W63" s="2216"/>
      <c r="X63" s="2217"/>
      <c r="Y63" s="2222"/>
      <c r="Z63" s="2223"/>
      <c r="AA63" s="2223"/>
      <c r="AB63" s="2223"/>
      <c r="AC63" s="2223"/>
      <c r="AD63" s="2223"/>
      <c r="AE63" s="2223"/>
      <c r="AF63" s="2224"/>
      <c r="AG63" s="2228"/>
      <c r="AH63" s="2229"/>
      <c r="AI63" s="2229"/>
      <c r="AJ63" s="2229"/>
      <c r="AK63" s="2229"/>
      <c r="AL63" s="2230"/>
      <c r="AQ63" s="688"/>
      <c r="AT63" s="748"/>
      <c r="AU63" s="748"/>
      <c r="AV63" s="748"/>
      <c r="AW63" s="748"/>
      <c r="AX63" s="748"/>
      <c r="AY63" s="748"/>
      <c r="AZ63" s="748"/>
      <c r="BA63" s="748"/>
      <c r="BB63" s="748"/>
      <c r="BC63" s="748"/>
      <c r="BD63" s="748"/>
      <c r="BE63" s="748"/>
      <c r="BF63" s="748"/>
      <c r="BG63" s="748"/>
      <c r="BH63" s="748"/>
      <c r="BI63" s="748"/>
      <c r="BJ63" s="748"/>
      <c r="BK63" s="748"/>
      <c r="BL63" s="748"/>
      <c r="BM63" s="748"/>
      <c r="BN63" s="748"/>
      <c r="BO63" s="748"/>
      <c r="BP63" s="748"/>
      <c r="BQ63" s="749"/>
      <c r="BR63" s="749"/>
      <c r="BS63" s="749"/>
      <c r="BT63" s="749"/>
      <c r="BU63" s="749"/>
      <c r="BV63" s="749"/>
      <c r="BW63" s="749"/>
      <c r="BX63" s="749"/>
      <c r="BY63" s="740"/>
      <c r="BZ63" s="740"/>
      <c r="CA63" s="740"/>
      <c r="CB63" s="740"/>
      <c r="CC63" s="740"/>
      <c r="CD63" s="740"/>
    </row>
    <row r="64" spans="1:82" ht="18" customHeight="1" thickBot="1">
      <c r="A64" s="2192"/>
      <c r="B64" s="2264"/>
      <c r="C64" s="2265"/>
      <c r="D64" s="2265"/>
      <c r="E64" s="2266"/>
      <c r="F64" s="2266"/>
      <c r="G64" s="2266"/>
      <c r="H64" s="2266"/>
      <c r="I64" s="2266"/>
      <c r="J64" s="2266"/>
      <c r="K64" s="2265"/>
      <c r="L64" s="2265"/>
      <c r="M64" s="2265"/>
      <c r="N64" s="2265"/>
      <c r="O64" s="2265"/>
      <c r="P64" s="2265"/>
      <c r="Q64" s="2265"/>
      <c r="R64" s="2265"/>
      <c r="S64" s="2265"/>
      <c r="T64" s="2267"/>
      <c r="U64" s="2268"/>
      <c r="V64" s="2269"/>
      <c r="W64" s="2270"/>
      <c r="X64" s="2271"/>
      <c r="Y64" s="2225"/>
      <c r="Z64" s="2226"/>
      <c r="AA64" s="2226"/>
      <c r="AB64" s="2226"/>
      <c r="AC64" s="2226"/>
      <c r="AD64" s="2226"/>
      <c r="AE64" s="2226"/>
      <c r="AF64" s="2227"/>
      <c r="AG64" s="2231"/>
      <c r="AH64" s="2232"/>
      <c r="AI64" s="2232"/>
      <c r="AJ64" s="2232"/>
      <c r="AK64" s="2232"/>
      <c r="AL64" s="2233"/>
      <c r="AQ64" s="688"/>
      <c r="AT64" s="750"/>
      <c r="AU64" s="750"/>
      <c r="AV64" s="750"/>
      <c r="AW64" s="750"/>
      <c r="AX64" s="750"/>
      <c r="AY64" s="750"/>
      <c r="AZ64" s="750"/>
      <c r="BA64" s="750"/>
      <c r="BB64" s="750"/>
      <c r="BC64" s="750"/>
      <c r="BD64" s="750"/>
      <c r="BE64" s="750"/>
      <c r="BF64" s="750"/>
      <c r="BG64" s="750"/>
      <c r="BH64" s="750"/>
      <c r="BI64" s="750"/>
      <c r="BJ64" s="750"/>
      <c r="BK64" s="750"/>
      <c r="BL64" s="750"/>
      <c r="BM64" s="750"/>
      <c r="BN64" s="750"/>
      <c r="BO64" s="750"/>
      <c r="BP64" s="750"/>
      <c r="BQ64" s="749"/>
      <c r="BR64" s="749"/>
      <c r="BS64" s="749"/>
      <c r="BT64" s="749"/>
      <c r="BU64" s="749"/>
      <c r="BV64" s="749"/>
      <c r="BW64" s="749"/>
      <c r="BX64" s="749"/>
      <c r="BY64" s="740"/>
      <c r="BZ64" s="740"/>
      <c r="CA64" s="740"/>
      <c r="CB64" s="740"/>
      <c r="CC64" s="740"/>
      <c r="CD64" s="740"/>
    </row>
    <row r="65" spans="2:82" ht="9.6" customHeight="1">
      <c r="B65" s="687"/>
      <c r="C65" s="687"/>
      <c r="D65" s="687"/>
      <c r="E65" s="687"/>
      <c r="F65" s="687"/>
      <c r="G65" s="687"/>
      <c r="H65" s="687"/>
      <c r="I65" s="687"/>
      <c r="J65" s="687"/>
      <c r="K65" s="687"/>
      <c r="L65" s="687"/>
      <c r="M65" s="687"/>
      <c r="N65" s="687"/>
      <c r="O65" s="687"/>
      <c r="P65" s="687"/>
      <c r="Q65" s="687"/>
      <c r="R65" s="687"/>
      <c r="S65" s="687"/>
      <c r="T65" s="687"/>
      <c r="U65" s="687"/>
      <c r="V65" s="687"/>
      <c r="W65" s="687"/>
      <c r="X65" s="687"/>
      <c r="Y65" s="687"/>
      <c r="Z65" s="687"/>
      <c r="AA65" s="687"/>
      <c r="AB65" s="687"/>
      <c r="AC65" s="687"/>
      <c r="AD65" s="687"/>
      <c r="AE65" s="687"/>
      <c r="AF65" s="687"/>
      <c r="AG65" s="687"/>
      <c r="AH65" s="687"/>
      <c r="AI65" s="687"/>
      <c r="AJ65" s="687"/>
      <c r="AK65" s="687"/>
      <c r="AL65" s="700"/>
      <c r="AQ65" s="688"/>
      <c r="AT65" s="687"/>
      <c r="AU65" s="687"/>
      <c r="AV65" s="687"/>
      <c r="AW65" s="687"/>
      <c r="AX65" s="687"/>
      <c r="AY65" s="687"/>
      <c r="AZ65" s="687"/>
      <c r="BA65" s="687"/>
      <c r="BB65" s="687"/>
      <c r="BC65" s="687"/>
      <c r="BD65" s="687"/>
      <c r="BE65" s="687"/>
      <c r="BF65" s="687"/>
      <c r="BG65" s="687"/>
      <c r="BH65" s="687"/>
      <c r="BI65" s="687"/>
      <c r="BJ65" s="687"/>
      <c r="BK65" s="687"/>
      <c r="BL65" s="687"/>
      <c r="BM65" s="687"/>
      <c r="BN65" s="687"/>
      <c r="BO65" s="687"/>
      <c r="BP65" s="687"/>
      <c r="BQ65" s="687"/>
      <c r="BR65" s="687"/>
      <c r="BS65" s="687"/>
      <c r="BT65" s="687"/>
      <c r="BU65" s="687"/>
      <c r="BV65" s="687"/>
      <c r="BW65" s="687"/>
      <c r="BX65" s="687"/>
      <c r="BY65" s="687"/>
      <c r="BZ65" s="687"/>
      <c r="CA65" s="687"/>
      <c r="CB65" s="687"/>
      <c r="CC65" s="687"/>
      <c r="CD65" s="687"/>
    </row>
    <row r="66" spans="2:82" ht="9.6" customHeight="1">
      <c r="B66" s="610"/>
      <c r="C66" s="610"/>
      <c r="D66" s="610"/>
      <c r="E66" s="610"/>
      <c r="F66" s="610"/>
      <c r="G66" s="610"/>
      <c r="H66" s="610"/>
      <c r="I66" s="610"/>
      <c r="J66" s="610"/>
      <c r="K66" s="610"/>
      <c r="L66" s="610"/>
      <c r="M66" s="610"/>
      <c r="N66" s="610"/>
      <c r="O66" s="610"/>
      <c r="P66" s="610"/>
      <c r="Q66" s="610"/>
      <c r="R66" s="610"/>
      <c r="S66" s="610"/>
      <c r="T66" s="610"/>
      <c r="U66" s="610"/>
      <c r="V66" s="610"/>
      <c r="W66" s="610"/>
      <c r="X66" s="610"/>
      <c r="Y66" s="610"/>
      <c r="Z66" s="610"/>
      <c r="AA66" s="610"/>
      <c r="AB66" s="610"/>
      <c r="AC66" s="610"/>
      <c r="AD66" s="610"/>
      <c r="AE66" s="610"/>
      <c r="AF66" s="610"/>
      <c r="AG66" s="610"/>
      <c r="AH66" s="610"/>
      <c r="AI66" s="610"/>
      <c r="AJ66" s="678"/>
      <c r="AK66" s="678"/>
      <c r="AL66" s="679"/>
      <c r="AQ66" s="688"/>
      <c r="AT66" s="610"/>
      <c r="AU66" s="610"/>
      <c r="AV66" s="610"/>
      <c r="AW66" s="610"/>
      <c r="AX66" s="610"/>
      <c r="AY66" s="610"/>
      <c r="AZ66" s="610"/>
      <c r="BA66" s="610"/>
      <c r="BB66" s="610"/>
      <c r="BC66" s="610"/>
      <c r="BD66" s="610"/>
      <c r="BE66" s="610"/>
      <c r="BF66" s="610"/>
      <c r="BG66" s="610"/>
      <c r="BH66" s="610"/>
      <c r="BI66" s="610"/>
      <c r="BJ66" s="610"/>
      <c r="BK66" s="610"/>
      <c r="BL66" s="610"/>
      <c r="BM66" s="610"/>
      <c r="BN66" s="610"/>
      <c r="BO66" s="610"/>
      <c r="BP66" s="610"/>
      <c r="BQ66" s="610"/>
      <c r="BR66" s="610"/>
      <c r="BS66" s="610"/>
      <c r="BT66" s="610"/>
      <c r="BU66" s="610"/>
      <c r="BV66" s="610"/>
      <c r="BW66" s="610"/>
      <c r="BX66" s="610"/>
      <c r="BY66" s="610"/>
      <c r="BZ66" s="610"/>
      <c r="CA66" s="610"/>
      <c r="CB66" s="678"/>
      <c r="CC66" s="678"/>
      <c r="CD66" s="678"/>
    </row>
    <row r="67" spans="2:82" ht="21.75" customHeight="1">
      <c r="B67" s="2272" t="s">
        <v>713</v>
      </c>
      <c r="C67" s="2198"/>
      <c r="D67" s="2198"/>
      <c r="E67" s="2198"/>
      <c r="F67" s="2198"/>
      <c r="G67" s="2198"/>
      <c r="H67" s="2198"/>
      <c r="I67" s="2198"/>
      <c r="J67" s="2199"/>
      <c r="K67" s="610"/>
      <c r="L67" s="610"/>
      <c r="M67" s="610"/>
      <c r="N67" s="610"/>
      <c r="O67" s="610"/>
      <c r="P67" s="610"/>
      <c r="Q67" s="610"/>
      <c r="R67" s="610"/>
      <c r="S67" s="610"/>
      <c r="T67" s="610"/>
      <c r="U67" s="610"/>
      <c r="V67" s="610"/>
      <c r="W67" s="610"/>
      <c r="X67" s="610"/>
      <c r="Y67" s="610"/>
      <c r="Z67" s="610"/>
      <c r="AA67" s="610"/>
      <c r="AB67" s="610"/>
      <c r="AC67" s="610"/>
      <c r="AD67" s="610"/>
      <c r="AE67" s="610"/>
      <c r="AF67" s="610"/>
      <c r="AG67" s="610"/>
      <c r="AH67" s="610"/>
      <c r="AI67" s="610"/>
      <c r="AJ67" s="678"/>
      <c r="AK67" s="678"/>
      <c r="AL67" s="679"/>
      <c r="AQ67" s="688"/>
      <c r="AT67" s="2194"/>
      <c r="AU67" s="2194"/>
      <c r="AV67" s="2194"/>
      <c r="AW67" s="2194"/>
      <c r="AX67" s="2194"/>
      <c r="AY67" s="2194"/>
      <c r="AZ67" s="2194"/>
      <c r="BA67" s="2194"/>
      <c r="BB67" s="2194"/>
      <c r="BC67" s="610"/>
      <c r="BD67" s="610"/>
      <c r="BE67" s="610"/>
      <c r="BF67" s="610"/>
      <c r="BG67" s="610"/>
      <c r="BH67" s="610"/>
      <c r="BI67" s="610"/>
      <c r="BJ67" s="610"/>
      <c r="BK67" s="610"/>
      <c r="BL67" s="610"/>
      <c r="BM67" s="610"/>
      <c r="BN67" s="610"/>
      <c r="BO67" s="610"/>
      <c r="BP67" s="610"/>
      <c r="BQ67" s="610"/>
      <c r="BR67" s="610"/>
      <c r="BS67" s="610"/>
      <c r="BT67" s="610"/>
      <c r="BU67" s="610"/>
      <c r="BV67" s="610"/>
      <c r="BW67" s="610"/>
      <c r="BX67" s="610"/>
      <c r="BY67" s="610"/>
      <c r="BZ67" s="610"/>
      <c r="CA67" s="610"/>
      <c r="CB67" s="678"/>
      <c r="CC67" s="678"/>
      <c r="CD67" s="678"/>
    </row>
    <row r="68" spans="2:82" ht="21.75" customHeight="1">
      <c r="B68" s="2273"/>
      <c r="C68" s="2260"/>
      <c r="D68" s="2260"/>
      <c r="E68" s="2260" t="s">
        <v>723</v>
      </c>
      <c r="F68" s="2260"/>
      <c r="G68" s="2260"/>
      <c r="H68" s="2260" t="s">
        <v>724</v>
      </c>
      <c r="I68" s="2260"/>
      <c r="J68" s="2260"/>
      <c r="K68" s="2260" t="s">
        <v>725</v>
      </c>
      <c r="L68" s="2260"/>
      <c r="M68" s="2260"/>
      <c r="N68" s="2260" t="s">
        <v>726</v>
      </c>
      <c r="O68" s="2260"/>
      <c r="P68" s="2260"/>
      <c r="Q68" s="2260" t="s">
        <v>635</v>
      </c>
      <c r="R68" s="2260"/>
      <c r="S68" s="2260"/>
      <c r="T68" s="2260" t="s">
        <v>727</v>
      </c>
      <c r="U68" s="2260"/>
      <c r="V68" s="2260"/>
      <c r="W68" s="2260" t="s">
        <v>728</v>
      </c>
      <c r="X68" s="2260"/>
      <c r="Y68" s="2260"/>
      <c r="Z68" s="2260" t="s">
        <v>729</v>
      </c>
      <c r="AA68" s="2260"/>
      <c r="AB68" s="2261"/>
      <c r="AC68" s="2274" t="s">
        <v>949</v>
      </c>
      <c r="AD68" s="2275"/>
      <c r="AE68" s="2276" t="s">
        <v>950</v>
      </c>
      <c r="AF68" s="2277"/>
      <c r="AG68" s="2262" t="s">
        <v>730</v>
      </c>
      <c r="AH68" s="2262"/>
      <c r="AI68" s="2262"/>
      <c r="AJ68" s="2263" t="s">
        <v>731</v>
      </c>
      <c r="AK68" s="2263"/>
      <c r="AL68" s="2263"/>
      <c r="AQ68" s="688"/>
      <c r="AT68" s="2194"/>
      <c r="AU68" s="2194"/>
      <c r="AV68" s="2194"/>
      <c r="AW68" s="2194"/>
      <c r="AX68" s="2194"/>
      <c r="AY68" s="2194"/>
      <c r="AZ68" s="2194"/>
      <c r="BA68" s="2194"/>
      <c r="BB68" s="2194"/>
      <c r="BC68" s="2194"/>
      <c r="BD68" s="2194"/>
      <c r="BE68" s="2194"/>
      <c r="BF68" s="2194"/>
      <c r="BG68" s="2194"/>
      <c r="BH68" s="2194"/>
      <c r="BI68" s="2194"/>
      <c r="BJ68" s="2194"/>
      <c r="BK68" s="2194"/>
      <c r="BL68" s="2194"/>
      <c r="BM68" s="2194"/>
      <c r="BN68" s="2194"/>
      <c r="BO68" s="2194"/>
      <c r="BP68" s="2194"/>
      <c r="BQ68" s="2194"/>
      <c r="BR68" s="2194"/>
      <c r="BS68" s="2194"/>
      <c r="BT68" s="2194"/>
      <c r="BU68" s="610"/>
      <c r="BV68" s="610"/>
      <c r="BW68" s="610"/>
      <c r="BX68" s="610"/>
      <c r="BY68" s="2194"/>
      <c r="BZ68" s="2194"/>
      <c r="CA68" s="2194"/>
      <c r="CB68" s="2304"/>
      <c r="CC68" s="2304"/>
      <c r="CD68" s="2304"/>
    </row>
    <row r="69" spans="2:82" ht="18" customHeight="1">
      <c r="B69" s="2255" t="s">
        <v>732</v>
      </c>
      <c r="C69" s="2235"/>
      <c r="D69" s="2235"/>
      <c r="E69" s="2235"/>
      <c r="F69" s="2235"/>
      <c r="G69" s="2235"/>
      <c r="H69" s="2235"/>
      <c r="I69" s="2235"/>
      <c r="J69" s="2235"/>
      <c r="K69" s="2235"/>
      <c r="L69" s="2235"/>
      <c r="M69" s="2235"/>
      <c r="N69" s="2235"/>
      <c r="O69" s="2235"/>
      <c r="P69" s="2235"/>
      <c r="Q69" s="2235"/>
      <c r="R69" s="2235"/>
      <c r="S69" s="2235"/>
      <c r="T69" s="2235"/>
      <c r="U69" s="2235"/>
      <c r="V69" s="2235"/>
      <c r="W69" s="2235"/>
      <c r="X69" s="2235"/>
      <c r="Y69" s="2235"/>
      <c r="Z69" s="2235"/>
      <c r="AA69" s="2235"/>
      <c r="AB69" s="2258"/>
      <c r="AC69" s="2363"/>
      <c r="AD69" s="2364"/>
      <c r="AE69" s="2367"/>
      <c r="AF69" s="2367"/>
      <c r="AG69" s="2321"/>
      <c r="AH69" s="2321"/>
      <c r="AI69" s="2321"/>
      <c r="AJ69" s="2324"/>
      <c r="AK69" s="2324"/>
      <c r="AL69" s="2324"/>
      <c r="AQ69" s="688"/>
      <c r="AT69" s="2194"/>
      <c r="AU69" s="2194"/>
      <c r="AV69" s="2194"/>
      <c r="AW69" s="2194"/>
      <c r="AX69" s="2194"/>
      <c r="AY69" s="2194"/>
      <c r="AZ69" s="2194"/>
      <c r="BA69" s="2194"/>
      <c r="BB69" s="2194"/>
      <c r="BC69" s="2194"/>
      <c r="BD69" s="2194"/>
      <c r="BE69" s="2194"/>
      <c r="BF69" s="2194"/>
      <c r="BG69" s="2194"/>
      <c r="BH69" s="2194"/>
      <c r="BI69" s="2194"/>
      <c r="BJ69" s="2194"/>
      <c r="BK69" s="2194"/>
      <c r="BL69" s="2194"/>
      <c r="BM69" s="2194"/>
      <c r="BN69" s="2194"/>
      <c r="BO69" s="2194"/>
      <c r="BP69" s="2194"/>
      <c r="BQ69" s="2194"/>
      <c r="BR69" s="2194"/>
      <c r="BS69" s="2194"/>
      <c r="BT69" s="2194"/>
      <c r="BU69" s="610"/>
      <c r="BV69" s="610"/>
      <c r="BW69" s="610"/>
      <c r="BX69" s="610"/>
      <c r="BY69" s="2372"/>
      <c r="BZ69" s="2372"/>
      <c r="CA69" s="2372"/>
      <c r="CB69" s="2373"/>
      <c r="CC69" s="2373"/>
      <c r="CD69" s="2373"/>
    </row>
    <row r="70" spans="2:82" ht="18" customHeight="1">
      <c r="B70" s="2255"/>
      <c r="C70" s="2235"/>
      <c r="D70" s="2235"/>
      <c r="E70" s="2235"/>
      <c r="F70" s="2235"/>
      <c r="G70" s="2235"/>
      <c r="H70" s="2235"/>
      <c r="I70" s="2235"/>
      <c r="J70" s="2235"/>
      <c r="K70" s="2235"/>
      <c r="L70" s="2235"/>
      <c r="M70" s="2235"/>
      <c r="N70" s="2235"/>
      <c r="O70" s="2235"/>
      <c r="P70" s="2235"/>
      <c r="Q70" s="2235"/>
      <c r="R70" s="2235"/>
      <c r="S70" s="2235"/>
      <c r="T70" s="2235"/>
      <c r="U70" s="2235"/>
      <c r="V70" s="2235"/>
      <c r="W70" s="2235"/>
      <c r="X70" s="2235"/>
      <c r="Y70" s="2235"/>
      <c r="Z70" s="2235"/>
      <c r="AA70" s="2235"/>
      <c r="AB70" s="2258"/>
      <c r="AC70" s="2365"/>
      <c r="AD70" s="2366"/>
      <c r="AE70" s="2368"/>
      <c r="AF70" s="2368"/>
      <c r="AG70" s="2322"/>
      <c r="AH70" s="2322"/>
      <c r="AI70" s="2322"/>
      <c r="AJ70" s="2325"/>
      <c r="AK70" s="2325"/>
      <c r="AL70" s="2325"/>
      <c r="AQ70" s="688"/>
      <c r="AT70" s="2194"/>
      <c r="AU70" s="2194"/>
      <c r="AV70" s="2194"/>
      <c r="AW70" s="2194"/>
      <c r="AX70" s="2194"/>
      <c r="AY70" s="2194"/>
      <c r="AZ70" s="2194"/>
      <c r="BA70" s="2194"/>
      <c r="BB70" s="2194"/>
      <c r="BC70" s="2194"/>
      <c r="BD70" s="2194"/>
      <c r="BE70" s="2194"/>
      <c r="BF70" s="2194"/>
      <c r="BG70" s="2194"/>
      <c r="BH70" s="2194"/>
      <c r="BI70" s="2194"/>
      <c r="BJ70" s="2194"/>
      <c r="BK70" s="2194"/>
      <c r="BL70" s="2194"/>
      <c r="BM70" s="2194"/>
      <c r="BN70" s="2194"/>
      <c r="BO70" s="2194"/>
      <c r="BP70" s="2194"/>
      <c r="BQ70" s="2194"/>
      <c r="BR70" s="2194"/>
      <c r="BS70" s="2194"/>
      <c r="BT70" s="2194"/>
      <c r="BU70" s="610"/>
      <c r="BV70" s="610"/>
      <c r="BW70" s="610"/>
      <c r="BX70" s="610"/>
      <c r="BY70" s="2372"/>
      <c r="BZ70" s="2372"/>
      <c r="CA70" s="2372"/>
      <c r="CB70" s="2373"/>
      <c r="CC70" s="2373"/>
      <c r="CD70" s="2373"/>
    </row>
    <row r="71" spans="2:82" ht="18" customHeight="1">
      <c r="B71" s="2255" t="s">
        <v>733</v>
      </c>
      <c r="C71" s="2235"/>
      <c r="D71" s="2235"/>
      <c r="E71" s="2235"/>
      <c r="F71" s="2235"/>
      <c r="G71" s="2235"/>
      <c r="H71" s="2235"/>
      <c r="I71" s="2235"/>
      <c r="J71" s="2235"/>
      <c r="K71" s="2235"/>
      <c r="L71" s="2235"/>
      <c r="M71" s="2235"/>
      <c r="N71" s="2235"/>
      <c r="O71" s="2235"/>
      <c r="P71" s="2235"/>
      <c r="Q71" s="2235"/>
      <c r="R71" s="2235"/>
      <c r="S71" s="2235"/>
      <c r="T71" s="2235"/>
      <c r="U71" s="2235"/>
      <c r="V71" s="2235"/>
      <c r="W71" s="2235"/>
      <c r="X71" s="2235"/>
      <c r="Y71" s="2235"/>
      <c r="Z71" s="2235"/>
      <c r="AA71" s="2235"/>
      <c r="AB71" s="2258"/>
      <c r="AC71" s="2369"/>
      <c r="AD71" s="2370"/>
      <c r="AE71" s="2371"/>
      <c r="AF71" s="2371"/>
      <c r="AG71" s="2322"/>
      <c r="AH71" s="2322"/>
      <c r="AI71" s="2322"/>
      <c r="AJ71" s="2325"/>
      <c r="AK71" s="2325"/>
      <c r="AL71" s="2325"/>
      <c r="AT71" s="2194"/>
      <c r="AU71" s="2194"/>
      <c r="AV71" s="2194"/>
      <c r="AW71" s="2194"/>
      <c r="AX71" s="2194"/>
      <c r="AY71" s="2194"/>
      <c r="AZ71" s="2194"/>
      <c r="BA71" s="2194"/>
      <c r="BB71" s="2194"/>
      <c r="BC71" s="2194"/>
      <c r="BD71" s="2194"/>
      <c r="BE71" s="2194"/>
      <c r="BF71" s="2194"/>
      <c r="BG71" s="2194"/>
      <c r="BH71" s="2194"/>
      <c r="BI71" s="2194"/>
      <c r="BJ71" s="2194"/>
      <c r="BK71" s="2194"/>
      <c r="BL71" s="2194"/>
      <c r="BM71" s="2194"/>
      <c r="BN71" s="2194"/>
      <c r="BO71" s="2194"/>
      <c r="BP71" s="2194"/>
      <c r="BQ71" s="2194"/>
      <c r="BR71" s="2194"/>
      <c r="BS71" s="2194"/>
      <c r="BT71" s="2194"/>
      <c r="BU71" s="610"/>
      <c r="BV71" s="610"/>
      <c r="BW71" s="610"/>
      <c r="BX71" s="610"/>
      <c r="BY71" s="2372"/>
      <c r="BZ71" s="2372"/>
      <c r="CA71" s="2372"/>
      <c r="CB71" s="2373"/>
      <c r="CC71" s="2373"/>
      <c r="CD71" s="2373"/>
    </row>
    <row r="72" spans="2:82" ht="18" customHeight="1">
      <c r="B72" s="2256"/>
      <c r="C72" s="2257"/>
      <c r="D72" s="2257"/>
      <c r="E72" s="2257"/>
      <c r="F72" s="2257"/>
      <c r="G72" s="2257"/>
      <c r="H72" s="2257"/>
      <c r="I72" s="2257"/>
      <c r="J72" s="2257"/>
      <c r="K72" s="2257"/>
      <c r="L72" s="2257"/>
      <c r="M72" s="2257"/>
      <c r="N72" s="2257"/>
      <c r="O72" s="2257"/>
      <c r="P72" s="2257"/>
      <c r="Q72" s="2257"/>
      <c r="R72" s="2257"/>
      <c r="S72" s="2257"/>
      <c r="T72" s="2257"/>
      <c r="U72" s="2257"/>
      <c r="V72" s="2257"/>
      <c r="W72" s="2257"/>
      <c r="X72" s="2257"/>
      <c r="Y72" s="2257"/>
      <c r="Z72" s="2257"/>
      <c r="AA72" s="2257"/>
      <c r="AB72" s="2259"/>
      <c r="AC72" s="2369"/>
      <c r="AD72" s="2370"/>
      <c r="AE72" s="2371"/>
      <c r="AF72" s="2371"/>
      <c r="AG72" s="2323"/>
      <c r="AH72" s="2323"/>
      <c r="AI72" s="2323"/>
      <c r="AJ72" s="2326"/>
      <c r="AK72" s="2326"/>
      <c r="AL72" s="2326"/>
      <c r="AT72" s="2194"/>
      <c r="AU72" s="2194"/>
      <c r="AV72" s="2194"/>
      <c r="AW72" s="2194"/>
      <c r="AX72" s="2194"/>
      <c r="AY72" s="2194"/>
      <c r="AZ72" s="2194"/>
      <c r="BA72" s="2194"/>
      <c r="BB72" s="2194"/>
      <c r="BC72" s="2194"/>
      <c r="BD72" s="2194"/>
      <c r="BE72" s="2194"/>
      <c r="BF72" s="2194"/>
      <c r="BG72" s="2194"/>
      <c r="BH72" s="2194"/>
      <c r="BI72" s="2194"/>
      <c r="BJ72" s="2194"/>
      <c r="BK72" s="2194"/>
      <c r="BL72" s="2194"/>
      <c r="BM72" s="2194"/>
      <c r="BN72" s="2194"/>
      <c r="BO72" s="2194"/>
      <c r="BP72" s="2194"/>
      <c r="BQ72" s="2194"/>
      <c r="BR72" s="2194"/>
      <c r="BS72" s="2194"/>
      <c r="BT72" s="2194"/>
      <c r="BY72" s="2372"/>
      <c r="BZ72" s="2372"/>
      <c r="CA72" s="2372"/>
      <c r="CB72" s="2373"/>
      <c r="CC72" s="2373"/>
      <c r="CD72" s="2373"/>
    </row>
  </sheetData>
  <sheetProtection algorithmName="SHA-512" hashValue="1J8YV4kTa3XC+trKKniUBmAC91D/dS+PK/xqq/ac0hYFOtCNc/Qgx2b82h3GIuBi/Zpm+L0sC2TcEG3Rj4o2Lg==" saltValue="CDqlxTx0CJ6neNBHPuZOMQ==" spinCount="100000" sheet="1" selectLockedCells="1"/>
  <mergeCells count="515">
    <mergeCell ref="BU32:BV32"/>
    <mergeCell ref="BW32:BX32"/>
    <mergeCell ref="BU33:BV34"/>
    <mergeCell ref="BW33:BX34"/>
    <mergeCell ref="BU35:BV36"/>
    <mergeCell ref="BW35:BX36"/>
    <mergeCell ref="AC33:AD34"/>
    <mergeCell ref="AE33:AF34"/>
    <mergeCell ref="AC35:AD36"/>
    <mergeCell ref="AE35:AF36"/>
    <mergeCell ref="AC69:AD70"/>
    <mergeCell ref="AE69:AF70"/>
    <mergeCell ref="AC71:AD72"/>
    <mergeCell ref="AE71:AF72"/>
    <mergeCell ref="BY68:CA68"/>
    <mergeCell ref="CB68:CD68"/>
    <mergeCell ref="AT69:AV70"/>
    <mergeCell ref="AW69:AY70"/>
    <mergeCell ref="AZ69:BB70"/>
    <mergeCell ref="BC69:BE70"/>
    <mergeCell ref="BF69:BH70"/>
    <mergeCell ref="BI69:BK70"/>
    <mergeCell ref="BL69:BN70"/>
    <mergeCell ref="BO69:BQ70"/>
    <mergeCell ref="BR69:BT70"/>
    <mergeCell ref="BY69:CA72"/>
    <mergeCell ref="CB69:CD72"/>
    <mergeCell ref="AT71:AV72"/>
    <mergeCell ref="AW71:AY72"/>
    <mergeCell ref="AZ71:BB72"/>
    <mergeCell ref="BC71:BE72"/>
    <mergeCell ref="BF71:BH72"/>
    <mergeCell ref="BI71:BK72"/>
    <mergeCell ref="BL71:BN72"/>
    <mergeCell ref="BO71:BQ72"/>
    <mergeCell ref="BR71:BT72"/>
    <mergeCell ref="AT67:BB67"/>
    <mergeCell ref="AT68:AV68"/>
    <mergeCell ref="AW68:AY68"/>
    <mergeCell ref="AZ68:BB68"/>
    <mergeCell ref="BC68:BE68"/>
    <mergeCell ref="BF68:BH68"/>
    <mergeCell ref="BI68:BK68"/>
    <mergeCell ref="BL68:BN68"/>
    <mergeCell ref="BO68:BQ68"/>
    <mergeCell ref="BR68:BT68"/>
    <mergeCell ref="AT37:BE37"/>
    <mergeCell ref="BR32:BT32"/>
    <mergeCell ref="BY32:CA32"/>
    <mergeCell ref="CB32:CD32"/>
    <mergeCell ref="AT33:AV34"/>
    <mergeCell ref="AW33:AY34"/>
    <mergeCell ref="AZ33:BB34"/>
    <mergeCell ref="BC33:BE34"/>
    <mergeCell ref="BF33:BH34"/>
    <mergeCell ref="BI33:BK34"/>
    <mergeCell ref="BL33:BN34"/>
    <mergeCell ref="BO33:BQ34"/>
    <mergeCell ref="BR33:BT34"/>
    <mergeCell ref="BY33:CA36"/>
    <mergeCell ref="CB33:CD36"/>
    <mergeCell ref="AT35:AV36"/>
    <mergeCell ref="AW35:AY36"/>
    <mergeCell ref="AZ35:BB36"/>
    <mergeCell ref="BC35:BE36"/>
    <mergeCell ref="BF35:BH36"/>
    <mergeCell ref="BI35:BK36"/>
    <mergeCell ref="BL35:BN36"/>
    <mergeCell ref="BO35:BQ36"/>
    <mergeCell ref="BR35:BT36"/>
    <mergeCell ref="AT31:BB31"/>
    <mergeCell ref="AT32:AV32"/>
    <mergeCell ref="AW32:AY32"/>
    <mergeCell ref="AZ32:BB32"/>
    <mergeCell ref="BC32:BE32"/>
    <mergeCell ref="BF32:BH32"/>
    <mergeCell ref="BI32:BK32"/>
    <mergeCell ref="BL32:BN32"/>
    <mergeCell ref="BO32:BQ32"/>
    <mergeCell ref="BN28:BP28"/>
    <mergeCell ref="AT27:AV28"/>
    <mergeCell ref="AW27:AY28"/>
    <mergeCell ref="AZ27:BB28"/>
    <mergeCell ref="BC27:BH28"/>
    <mergeCell ref="BI27:BK28"/>
    <mergeCell ref="BL27:BM28"/>
    <mergeCell ref="BQ27:BX28"/>
    <mergeCell ref="BY27:CD28"/>
    <mergeCell ref="BN27:BP27"/>
    <mergeCell ref="BQ23:BX24"/>
    <mergeCell ref="BY23:CD24"/>
    <mergeCell ref="AT21:AV22"/>
    <mergeCell ref="AW21:AY22"/>
    <mergeCell ref="AZ21:BB22"/>
    <mergeCell ref="BC21:BH22"/>
    <mergeCell ref="BI21:BK22"/>
    <mergeCell ref="BL21:BM22"/>
    <mergeCell ref="BN21:BP21"/>
    <mergeCell ref="BQ21:BX22"/>
    <mergeCell ref="BY21:CD22"/>
    <mergeCell ref="BN22:BP22"/>
    <mergeCell ref="BN24:BP24"/>
    <mergeCell ref="AT23:AV24"/>
    <mergeCell ref="AW23:AY24"/>
    <mergeCell ref="AZ23:BB24"/>
    <mergeCell ref="BC23:BH24"/>
    <mergeCell ref="BI23:BK24"/>
    <mergeCell ref="BL23:BM24"/>
    <mergeCell ref="BN23:BP23"/>
    <mergeCell ref="AT19:AV20"/>
    <mergeCell ref="AW19:AY20"/>
    <mergeCell ref="AZ19:BB20"/>
    <mergeCell ref="BC19:BH20"/>
    <mergeCell ref="BI19:BK20"/>
    <mergeCell ref="BL19:BM20"/>
    <mergeCell ref="BN19:BP19"/>
    <mergeCell ref="BQ19:BX20"/>
    <mergeCell ref="BY19:CD20"/>
    <mergeCell ref="BN20:BP20"/>
    <mergeCell ref="AT17:AV18"/>
    <mergeCell ref="AW17:AY18"/>
    <mergeCell ref="AZ17:BB18"/>
    <mergeCell ref="BC17:BH18"/>
    <mergeCell ref="BI17:BK18"/>
    <mergeCell ref="BL17:BM18"/>
    <mergeCell ref="BN17:BP17"/>
    <mergeCell ref="BQ17:BX18"/>
    <mergeCell ref="BY17:CD18"/>
    <mergeCell ref="BN18:BP18"/>
    <mergeCell ref="AT15:AV16"/>
    <mergeCell ref="AW15:AY16"/>
    <mergeCell ref="AZ15:BB16"/>
    <mergeCell ref="BC15:BH16"/>
    <mergeCell ref="BI15:BK16"/>
    <mergeCell ref="BL15:BM16"/>
    <mergeCell ref="BN15:BP15"/>
    <mergeCell ref="BQ15:BX16"/>
    <mergeCell ref="BY15:CD16"/>
    <mergeCell ref="BN16:BP16"/>
    <mergeCell ref="AT13:AV14"/>
    <mergeCell ref="AW13:AY14"/>
    <mergeCell ref="AZ13:BB14"/>
    <mergeCell ref="BC13:BH14"/>
    <mergeCell ref="BI13:BK14"/>
    <mergeCell ref="BL13:BM14"/>
    <mergeCell ref="BN13:BP13"/>
    <mergeCell ref="BQ13:BX14"/>
    <mergeCell ref="BY13:CD14"/>
    <mergeCell ref="BN14:BP14"/>
    <mergeCell ref="AT11:AV12"/>
    <mergeCell ref="AW11:AY12"/>
    <mergeCell ref="AZ11:BB12"/>
    <mergeCell ref="BC11:BH12"/>
    <mergeCell ref="BI11:BK12"/>
    <mergeCell ref="BL11:BM12"/>
    <mergeCell ref="BN11:BP11"/>
    <mergeCell ref="BQ11:BX12"/>
    <mergeCell ref="BY11:CD12"/>
    <mergeCell ref="BN12:BP12"/>
    <mergeCell ref="AT9:AV10"/>
    <mergeCell ref="AW9:AY10"/>
    <mergeCell ref="AZ9:BB10"/>
    <mergeCell ref="BC9:BH10"/>
    <mergeCell ref="BI9:BK10"/>
    <mergeCell ref="BL9:BM10"/>
    <mergeCell ref="BN9:BP9"/>
    <mergeCell ref="BQ9:BX10"/>
    <mergeCell ref="BY9:CD10"/>
    <mergeCell ref="BN10:BP10"/>
    <mergeCell ref="AT7:BM7"/>
    <mergeCell ref="BN7:BP8"/>
    <mergeCell ref="BQ7:BX8"/>
    <mergeCell ref="BY7:CD8"/>
    <mergeCell ref="AT8:AV8"/>
    <mergeCell ref="AW8:AY8"/>
    <mergeCell ref="AZ8:BB8"/>
    <mergeCell ref="BC8:BH8"/>
    <mergeCell ref="BI8:BK8"/>
    <mergeCell ref="BL8:BM8"/>
    <mergeCell ref="AT1:BE1"/>
    <mergeCell ref="AU2:AV3"/>
    <mergeCell ref="AW2:BD3"/>
    <mergeCell ref="BE2:CD2"/>
    <mergeCell ref="BE3:CD5"/>
    <mergeCell ref="AU4:AV5"/>
    <mergeCell ref="AW4:AW5"/>
    <mergeCell ref="AX4:AX5"/>
    <mergeCell ref="AY4:AY5"/>
    <mergeCell ref="AZ4:AZ5"/>
    <mergeCell ref="BA4:BA5"/>
    <mergeCell ref="BB4:BB5"/>
    <mergeCell ref="BC4:BC5"/>
    <mergeCell ref="BD4:BD5"/>
    <mergeCell ref="AG69:AI72"/>
    <mergeCell ref="B1:M1"/>
    <mergeCell ref="B43:U43"/>
    <mergeCell ref="V43:X44"/>
    <mergeCell ref="N32:P32"/>
    <mergeCell ref="Q32:S32"/>
    <mergeCell ref="B8:D8"/>
    <mergeCell ref="E8:G8"/>
    <mergeCell ref="B9:D10"/>
    <mergeCell ref="E9:G10"/>
    <mergeCell ref="H9:J10"/>
    <mergeCell ref="K9:P10"/>
    <mergeCell ref="Q9:S10"/>
    <mergeCell ref="B11:D12"/>
    <mergeCell ref="E11:G12"/>
    <mergeCell ref="H11:J12"/>
    <mergeCell ref="K11:P12"/>
    <mergeCell ref="Q11:S12"/>
    <mergeCell ref="B13:D14"/>
    <mergeCell ref="E13:G14"/>
    <mergeCell ref="H13:J14"/>
    <mergeCell ref="K13:P14"/>
    <mergeCell ref="Q13:S14"/>
    <mergeCell ref="D4:K5"/>
    <mergeCell ref="AG13:AL14"/>
    <mergeCell ref="V14:X14"/>
    <mergeCell ref="AG11:AL12"/>
    <mergeCell ref="V12:X12"/>
    <mergeCell ref="B31:J31"/>
    <mergeCell ref="B32:D32"/>
    <mergeCell ref="E32:G32"/>
    <mergeCell ref="H32:J32"/>
    <mergeCell ref="K32:M32"/>
    <mergeCell ref="AC32:AD32"/>
    <mergeCell ref="AE32:AF32"/>
    <mergeCell ref="AG15:AL16"/>
    <mergeCell ref="V16:X16"/>
    <mergeCell ref="E17:G18"/>
    <mergeCell ref="H17:J18"/>
    <mergeCell ref="K17:P18"/>
    <mergeCell ref="Q17:S18"/>
    <mergeCell ref="T17:U18"/>
    <mergeCell ref="V17:X17"/>
    <mergeCell ref="Y17:AF18"/>
    <mergeCell ref="B15:D16"/>
    <mergeCell ref="E15:G16"/>
    <mergeCell ref="H15:J16"/>
    <mergeCell ref="K15:P16"/>
    <mergeCell ref="M2:AL2"/>
    <mergeCell ref="M3:AL5"/>
    <mergeCell ref="L4:L5"/>
    <mergeCell ref="AJ69:AL72"/>
    <mergeCell ref="AG7:AL8"/>
    <mergeCell ref="AG9:AL10"/>
    <mergeCell ref="B7:U7"/>
    <mergeCell ref="V7:X8"/>
    <mergeCell ref="Y7:AF8"/>
    <mergeCell ref="H8:J8"/>
    <mergeCell ref="K8:P8"/>
    <mergeCell ref="Q8:S8"/>
    <mergeCell ref="T8:U8"/>
    <mergeCell ref="T9:U10"/>
    <mergeCell ref="V9:X9"/>
    <mergeCell ref="Y9:AF10"/>
    <mergeCell ref="V10:X10"/>
    <mergeCell ref="T11:U12"/>
    <mergeCell ref="V11:X11"/>
    <mergeCell ref="Y11:AF12"/>
    <mergeCell ref="V13:X13"/>
    <mergeCell ref="Y13:AF14"/>
    <mergeCell ref="T13:U14"/>
    <mergeCell ref="B17:D18"/>
    <mergeCell ref="Q15:S16"/>
    <mergeCell ref="T15:U16"/>
    <mergeCell ref="V15:X15"/>
    <mergeCell ref="Y15:AF16"/>
    <mergeCell ref="AG17:AL18"/>
    <mergeCell ref="V18:X18"/>
    <mergeCell ref="B19:D20"/>
    <mergeCell ref="E19:G20"/>
    <mergeCell ref="H19:J20"/>
    <mergeCell ref="K19:P20"/>
    <mergeCell ref="Q19:S20"/>
    <mergeCell ref="T19:U20"/>
    <mergeCell ref="V19:X19"/>
    <mergeCell ref="Y19:AF20"/>
    <mergeCell ref="AG19:AL20"/>
    <mergeCell ref="V20:X20"/>
    <mergeCell ref="V27:X27"/>
    <mergeCell ref="V28:X28"/>
    <mergeCell ref="B21:D22"/>
    <mergeCell ref="E21:G22"/>
    <mergeCell ref="H21:J22"/>
    <mergeCell ref="K21:P22"/>
    <mergeCell ref="Q21:S22"/>
    <mergeCell ref="T21:U22"/>
    <mergeCell ref="V21:X21"/>
    <mergeCell ref="B27:D28"/>
    <mergeCell ref="E27:G28"/>
    <mergeCell ref="H27:J28"/>
    <mergeCell ref="K27:P28"/>
    <mergeCell ref="Q27:S28"/>
    <mergeCell ref="T27:U28"/>
    <mergeCell ref="H25:J26"/>
    <mergeCell ref="K25:P26"/>
    <mergeCell ref="Q25:S26"/>
    <mergeCell ref="T25:U26"/>
    <mergeCell ref="V25:X25"/>
    <mergeCell ref="T32:V32"/>
    <mergeCell ref="W32:Y32"/>
    <mergeCell ref="Z32:AB32"/>
    <mergeCell ref="AG32:AI32"/>
    <mergeCell ref="AJ32:AL32"/>
    <mergeCell ref="B33:D34"/>
    <mergeCell ref="E33:G34"/>
    <mergeCell ref="H33:J34"/>
    <mergeCell ref="K33:M34"/>
    <mergeCell ref="N33:P34"/>
    <mergeCell ref="Q33:S34"/>
    <mergeCell ref="T33:V34"/>
    <mergeCell ref="W33:Y34"/>
    <mergeCell ref="Z33:AB34"/>
    <mergeCell ref="AG33:AI36"/>
    <mergeCell ref="AJ33:AL36"/>
    <mergeCell ref="B35:D36"/>
    <mergeCell ref="E35:G36"/>
    <mergeCell ref="H35:J36"/>
    <mergeCell ref="K35:M36"/>
    <mergeCell ref="N35:P36"/>
    <mergeCell ref="Q35:S36"/>
    <mergeCell ref="T35:V36"/>
    <mergeCell ref="W35:Y36"/>
    <mergeCell ref="Z35:AB36"/>
    <mergeCell ref="B37:M37"/>
    <mergeCell ref="M38:AL38"/>
    <mergeCell ref="M39:AL41"/>
    <mergeCell ref="L40:L41"/>
    <mergeCell ref="AG43:AL44"/>
    <mergeCell ref="B44:D44"/>
    <mergeCell ref="E44:G44"/>
    <mergeCell ref="H44:J44"/>
    <mergeCell ref="K44:P44"/>
    <mergeCell ref="Q44:S44"/>
    <mergeCell ref="T44:U44"/>
    <mergeCell ref="Y43:AF44"/>
    <mergeCell ref="D40:K41"/>
    <mergeCell ref="B45:D46"/>
    <mergeCell ref="E45:G46"/>
    <mergeCell ref="H45:J46"/>
    <mergeCell ref="K45:P46"/>
    <mergeCell ref="Q45:S46"/>
    <mergeCell ref="T45:U46"/>
    <mergeCell ref="V45:X45"/>
    <mergeCell ref="Y45:AF46"/>
    <mergeCell ref="AG45:AL46"/>
    <mergeCell ref="V46:X46"/>
    <mergeCell ref="B47:D48"/>
    <mergeCell ref="E47:G48"/>
    <mergeCell ref="H47:J48"/>
    <mergeCell ref="K47:P48"/>
    <mergeCell ref="Q47:S48"/>
    <mergeCell ref="T47:U48"/>
    <mergeCell ref="V47:X47"/>
    <mergeCell ref="Y47:AF48"/>
    <mergeCell ref="AG47:AL48"/>
    <mergeCell ref="V48:X48"/>
    <mergeCell ref="B49:D50"/>
    <mergeCell ref="E49:G50"/>
    <mergeCell ref="H49:J50"/>
    <mergeCell ref="K49:P50"/>
    <mergeCell ref="Q49:S50"/>
    <mergeCell ref="T49:U50"/>
    <mergeCell ref="V49:X49"/>
    <mergeCell ref="Y49:AF50"/>
    <mergeCell ref="AG49:AL50"/>
    <mergeCell ref="V50:X50"/>
    <mergeCell ref="V53:X53"/>
    <mergeCell ref="Y53:AF54"/>
    <mergeCell ref="AG53:AL54"/>
    <mergeCell ref="V54:X54"/>
    <mergeCell ref="B51:D52"/>
    <mergeCell ref="E51:G52"/>
    <mergeCell ref="H51:J52"/>
    <mergeCell ref="K51:P52"/>
    <mergeCell ref="Q51:S52"/>
    <mergeCell ref="T51:U52"/>
    <mergeCell ref="V51:X51"/>
    <mergeCell ref="Y51:AF52"/>
    <mergeCell ref="AG51:AL52"/>
    <mergeCell ref="V52:X52"/>
    <mergeCell ref="AG68:AI68"/>
    <mergeCell ref="AJ68:AL68"/>
    <mergeCell ref="B63:D64"/>
    <mergeCell ref="E63:G64"/>
    <mergeCell ref="H63:J64"/>
    <mergeCell ref="K63:P64"/>
    <mergeCell ref="Q63:S64"/>
    <mergeCell ref="T63:U64"/>
    <mergeCell ref="Y63:AF64"/>
    <mergeCell ref="AG63:AL64"/>
    <mergeCell ref="V63:X63"/>
    <mergeCell ref="V64:X64"/>
    <mergeCell ref="B67:J67"/>
    <mergeCell ref="B68:D68"/>
    <mergeCell ref="E68:G68"/>
    <mergeCell ref="H68:J68"/>
    <mergeCell ref="K68:M68"/>
    <mergeCell ref="N68:P68"/>
    <mergeCell ref="Q68:S68"/>
    <mergeCell ref="T68:V68"/>
    <mergeCell ref="W68:Y68"/>
    <mergeCell ref="AC68:AD68"/>
    <mergeCell ref="AE68:AF68"/>
    <mergeCell ref="Y59:AF60"/>
    <mergeCell ref="AG59:AL60"/>
    <mergeCell ref="B55:D56"/>
    <mergeCell ref="E55:G56"/>
    <mergeCell ref="H55:J56"/>
    <mergeCell ref="B71:D72"/>
    <mergeCell ref="E71:G72"/>
    <mergeCell ref="H71:J72"/>
    <mergeCell ref="K71:M72"/>
    <mergeCell ref="N71:P72"/>
    <mergeCell ref="Q71:S72"/>
    <mergeCell ref="T71:V72"/>
    <mergeCell ref="W71:Y72"/>
    <mergeCell ref="Z71:AB72"/>
    <mergeCell ref="B69:D70"/>
    <mergeCell ref="E69:G70"/>
    <mergeCell ref="H69:J70"/>
    <mergeCell ref="K69:M70"/>
    <mergeCell ref="N69:P70"/>
    <mergeCell ref="Q69:S70"/>
    <mergeCell ref="T69:V70"/>
    <mergeCell ref="W69:Y70"/>
    <mergeCell ref="Z69:AB70"/>
    <mergeCell ref="Z68:AB68"/>
    <mergeCell ref="AG21:AL22"/>
    <mergeCell ref="V22:X22"/>
    <mergeCell ref="B23:D24"/>
    <mergeCell ref="E23:G24"/>
    <mergeCell ref="H23:J24"/>
    <mergeCell ref="K23:P24"/>
    <mergeCell ref="Q23:S24"/>
    <mergeCell ref="T23:U24"/>
    <mergeCell ref="V23:X23"/>
    <mergeCell ref="Y23:AF24"/>
    <mergeCell ref="AG23:AL24"/>
    <mergeCell ref="V24:X24"/>
    <mergeCell ref="Y21:AF22"/>
    <mergeCell ref="Y27:AF28"/>
    <mergeCell ref="AG27:AL28"/>
    <mergeCell ref="B57:D58"/>
    <mergeCell ref="E57:G58"/>
    <mergeCell ref="H57:J58"/>
    <mergeCell ref="K57:P58"/>
    <mergeCell ref="Q57:S58"/>
    <mergeCell ref="T57:U58"/>
    <mergeCell ref="V57:X57"/>
    <mergeCell ref="Y57:AF58"/>
    <mergeCell ref="AG57:AL58"/>
    <mergeCell ref="V58:X58"/>
    <mergeCell ref="K55:P56"/>
    <mergeCell ref="Q55:S56"/>
    <mergeCell ref="T55:U56"/>
    <mergeCell ref="V55:X55"/>
    <mergeCell ref="Y55:AF56"/>
    <mergeCell ref="AG55:AL56"/>
    <mergeCell ref="V56:X56"/>
    <mergeCell ref="B53:D54"/>
    <mergeCell ref="E53:G54"/>
    <mergeCell ref="H53:J54"/>
    <mergeCell ref="K53:P54"/>
    <mergeCell ref="Q53:S54"/>
    <mergeCell ref="BQ25:BX26"/>
    <mergeCell ref="BY25:CD26"/>
    <mergeCell ref="V26:X26"/>
    <mergeCell ref="BN26:BP26"/>
    <mergeCell ref="A19:A28"/>
    <mergeCell ref="B61:D62"/>
    <mergeCell ref="E61:G62"/>
    <mergeCell ref="H61:J62"/>
    <mergeCell ref="K61:P62"/>
    <mergeCell ref="Q61:S62"/>
    <mergeCell ref="T61:U62"/>
    <mergeCell ref="V61:X61"/>
    <mergeCell ref="Y61:AF62"/>
    <mergeCell ref="AG61:AL62"/>
    <mergeCell ref="Y25:AF26"/>
    <mergeCell ref="AG25:AL26"/>
    <mergeCell ref="AT25:AV26"/>
    <mergeCell ref="AW25:AY26"/>
    <mergeCell ref="AZ25:BB26"/>
    <mergeCell ref="BC25:BH26"/>
    <mergeCell ref="BI25:BK26"/>
    <mergeCell ref="BL25:BM26"/>
    <mergeCell ref="BN25:BP25"/>
    <mergeCell ref="A43:A44"/>
    <mergeCell ref="V62:X62"/>
    <mergeCell ref="A55:A64"/>
    <mergeCell ref="B4:C5"/>
    <mergeCell ref="B2:C3"/>
    <mergeCell ref="D2:L3"/>
    <mergeCell ref="B38:C39"/>
    <mergeCell ref="B40:C41"/>
    <mergeCell ref="A38:A41"/>
    <mergeCell ref="A2:A5"/>
    <mergeCell ref="D38:L39"/>
    <mergeCell ref="A9:A18"/>
    <mergeCell ref="A7:A8"/>
    <mergeCell ref="A45:A54"/>
    <mergeCell ref="B25:D26"/>
    <mergeCell ref="E25:G26"/>
    <mergeCell ref="B59:D60"/>
    <mergeCell ref="E59:G60"/>
    <mergeCell ref="H59:J60"/>
    <mergeCell ref="K59:P60"/>
    <mergeCell ref="Q59:S60"/>
    <mergeCell ref="V60:X60"/>
    <mergeCell ref="T59:U60"/>
    <mergeCell ref="V59:X59"/>
    <mergeCell ref="T53:U54"/>
  </mergeCells>
  <phoneticPr fontId="150"/>
  <conditionalFormatting sqref="B8">
    <cfRule type="cellIs" dxfId="16" priority="31" operator="equal">
      <formula>""</formula>
    </cfRule>
  </conditionalFormatting>
  <conditionalFormatting sqref="B44">
    <cfRule type="cellIs" dxfId="15" priority="15" operator="equal">
      <formula>""</formula>
    </cfRule>
  </conditionalFormatting>
  <conditionalFormatting sqref="B9:D10">
    <cfRule type="containsBlanks" dxfId="14" priority="19">
      <formula>LEN(TRIM(B9))=0</formula>
    </cfRule>
  </conditionalFormatting>
  <conditionalFormatting sqref="B45:D46">
    <cfRule type="containsBlanks" dxfId="13" priority="12">
      <formula>LEN(TRIM(B45))=0</formula>
    </cfRule>
  </conditionalFormatting>
  <conditionalFormatting sqref="B9:U28">
    <cfRule type="containsBlanks" dxfId="12" priority="18">
      <formula>LEN(TRIM(B9))=0</formula>
    </cfRule>
  </conditionalFormatting>
  <conditionalFormatting sqref="B45:U64">
    <cfRule type="containsBlanks" dxfId="11" priority="11">
      <formula>LEN(TRIM(B45))=0</formula>
    </cfRule>
  </conditionalFormatting>
  <conditionalFormatting sqref="K8">
    <cfRule type="cellIs" dxfId="10" priority="30" operator="equal">
      <formula>""</formula>
    </cfRule>
  </conditionalFormatting>
  <conditionalFormatting sqref="K44">
    <cfRule type="cellIs" dxfId="9" priority="14" operator="equal">
      <formula>""</formula>
    </cfRule>
  </conditionalFormatting>
  <conditionalFormatting sqref="Q8">
    <cfRule type="cellIs" dxfId="8" priority="29" operator="equal">
      <formula>""</formula>
    </cfRule>
  </conditionalFormatting>
  <conditionalFormatting sqref="Q44">
    <cfRule type="cellIs" dxfId="7" priority="13" operator="equal">
      <formula>""</formula>
    </cfRule>
  </conditionalFormatting>
  <conditionalFormatting sqref="AT8">
    <cfRule type="cellIs" dxfId="6" priority="10" operator="equal">
      <formula>""</formula>
    </cfRule>
  </conditionalFormatting>
  <conditionalFormatting sqref="AT9:AV10">
    <cfRule type="containsBlanks" dxfId="5" priority="7">
      <formula>LEN(TRIM(AT9))=0</formula>
    </cfRule>
  </conditionalFormatting>
  <conditionalFormatting sqref="AT9:BM28">
    <cfRule type="containsBlanks" dxfId="4" priority="6">
      <formula>LEN(TRIM(AT9))=0</formula>
    </cfRule>
  </conditionalFormatting>
  <conditionalFormatting sqref="BC8">
    <cfRule type="cellIs" dxfId="3" priority="9" operator="equal">
      <formula>""</formula>
    </cfRule>
  </conditionalFormatting>
  <conditionalFormatting sqref="BI8">
    <cfRule type="cellIs" dxfId="2" priority="8" operator="equal">
      <formula>""</formula>
    </cfRule>
  </conditionalFormatting>
  <dataValidations count="3">
    <dataValidation type="list" allowBlank="1" showInputMessage="1" showErrorMessage="1" sqref="Q9:S28 BI9:BK28 Q45:S64" xr:uid="{573A5EB7-0D99-4819-BFD7-0F6CE39104C1}">
      <formula1>$AO$3:$AO$7</formula1>
    </dataValidation>
    <dataValidation type="list" allowBlank="1" showInputMessage="1" showErrorMessage="1" sqref="B9:D28 AT9:AV28 B45:D64" xr:uid="{DEC0B775-7625-4D84-BBD5-E51862DF4189}">
      <formula1>$AP$3:$AP$7</formula1>
    </dataValidation>
    <dataValidation type="list" allowBlank="1" showInputMessage="1" showErrorMessage="1" sqref="E9:J28 E45:J64 AW9:BB28" xr:uid="{E96D002B-CB87-4C69-9B22-0E180358E79D}">
      <formula1>$AQ$3:$AQ$29</formula1>
    </dataValidation>
  </dataValidations>
  <printOptions horizontalCentered="1"/>
  <pageMargins left="0.39370078740157483" right="0.39370078740157483" top="0.39370078740157483" bottom="0.39370078740157483" header="0" footer="0"/>
  <pageSetup paperSize="9" scale="86" orientation="landscape" r:id="rId1"/>
  <headerFooter>
    <oddHeader>&amp;L&amp;D &amp;T&amp;R&amp;"ＭＳ 明朝,標準"&amp;8&amp;D 　&amp;T</oddHeader>
  </headerFooter>
  <rowBreaks count="1" manualBreakCount="1">
    <brk id="36" max="16383" man="1"/>
  </rowBreaks>
  <colBreaks count="1" manualBreakCount="1">
    <brk id="38" max="1048575" man="1"/>
  </colBreaks>
  <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2">
    <tabColor rgb="FF002060"/>
  </sheetPr>
  <dimension ref="A1:BC49"/>
  <sheetViews>
    <sheetView showZeros="0" view="pageBreakPreview" topLeftCell="A22" zoomScaleNormal="80" zoomScaleSheetLayoutView="100" workbookViewId="0">
      <selection activeCell="A29" sqref="A29:Z29"/>
    </sheetView>
  </sheetViews>
  <sheetFormatPr defaultRowHeight="13.5"/>
  <cols>
    <col min="1" max="15" width="3.625" customWidth="1"/>
    <col min="16" max="26" width="4.125" customWidth="1"/>
    <col min="27" max="52" width="3.625" customWidth="1"/>
  </cols>
  <sheetData>
    <row r="1" spans="1:55" ht="28.5" customHeight="1">
      <c r="A1" s="2133"/>
      <c r="B1" s="2133"/>
      <c r="C1" s="2133"/>
      <c r="D1" s="2133"/>
      <c r="E1" s="2133"/>
      <c r="F1" s="2133"/>
      <c r="G1" s="2133"/>
      <c r="H1" s="2133"/>
      <c r="I1" s="2133"/>
      <c r="J1" s="2133"/>
      <c r="K1" s="2133"/>
      <c r="L1" s="2133"/>
      <c r="M1" s="2133"/>
      <c r="N1" s="2133"/>
      <c r="O1" s="2133"/>
      <c r="P1" s="2133"/>
      <c r="Q1" s="2133"/>
      <c r="R1" s="2133"/>
      <c r="S1" s="2133"/>
      <c r="T1" s="2133"/>
      <c r="U1" s="2133"/>
      <c r="V1" s="2133"/>
      <c r="W1" s="2133"/>
      <c r="X1" s="2133"/>
      <c r="Y1" s="2133"/>
      <c r="Z1" s="2133"/>
      <c r="AA1" s="2133"/>
      <c r="AB1" s="2133"/>
      <c r="AC1" s="2133"/>
      <c r="AD1" s="2133"/>
      <c r="AE1" s="2133"/>
      <c r="AF1" s="2133"/>
      <c r="AG1" s="2133"/>
      <c r="AH1" s="2133"/>
      <c r="AI1" s="2133"/>
      <c r="AJ1" s="2133"/>
      <c r="AK1" s="2133"/>
      <c r="AL1" s="2133"/>
      <c r="AM1" s="2133"/>
      <c r="AN1" s="2133"/>
      <c r="AO1" s="2133"/>
      <c r="AP1" s="2133"/>
      <c r="AQ1" s="2133"/>
      <c r="AR1" s="2133"/>
      <c r="AS1" s="2133"/>
      <c r="AT1" s="2133"/>
      <c r="AU1" s="2133"/>
      <c r="AV1" s="2133"/>
      <c r="AW1" s="2133"/>
      <c r="AX1" s="2133"/>
      <c r="AY1" s="2133"/>
      <c r="AZ1" s="2133"/>
    </row>
    <row r="2" spans="1:55" ht="23.25">
      <c r="A2" s="2130" t="s">
        <v>206</v>
      </c>
      <c r="B2" s="2130"/>
      <c r="C2" s="2130"/>
      <c r="D2" s="2130"/>
      <c r="E2" s="2130"/>
      <c r="F2" s="2130"/>
      <c r="G2" s="2130"/>
      <c r="H2" s="2130"/>
      <c r="I2" s="2130"/>
      <c r="J2" s="2130"/>
      <c r="K2" s="2130"/>
      <c r="L2" s="2130"/>
      <c r="M2" s="2130"/>
      <c r="N2" s="2130"/>
      <c r="O2" s="2130"/>
      <c r="P2" s="2130"/>
      <c r="Q2" s="2130"/>
      <c r="R2" s="2130"/>
      <c r="S2" s="2130"/>
      <c r="T2" s="2130"/>
      <c r="U2" s="2130"/>
      <c r="V2" s="2130"/>
      <c r="W2" s="2130"/>
      <c r="X2" s="2130"/>
      <c r="Y2" s="2130"/>
      <c r="Z2" s="2130"/>
      <c r="AA2" s="2130" t="s">
        <v>206</v>
      </c>
      <c r="AB2" s="2130"/>
      <c r="AC2" s="2130"/>
      <c r="AD2" s="2130"/>
      <c r="AE2" s="2130"/>
      <c r="AF2" s="2130"/>
      <c r="AG2" s="2130"/>
      <c r="AH2" s="2130"/>
      <c r="AI2" s="2130"/>
      <c r="AJ2" s="2130"/>
      <c r="AK2" s="2130"/>
      <c r="AL2" s="2130"/>
      <c r="AM2" s="2130"/>
      <c r="AN2" s="2130"/>
      <c r="AO2" s="2130"/>
      <c r="AP2" s="2130"/>
      <c r="AQ2" s="2130"/>
      <c r="AR2" s="2130"/>
      <c r="AS2" s="2130"/>
      <c r="AT2" s="2130"/>
      <c r="AU2" s="2130"/>
      <c r="AV2" s="2130"/>
      <c r="AW2" s="2130"/>
      <c r="AX2" s="2130"/>
      <c r="AY2" s="2130"/>
      <c r="AZ2" s="2130"/>
    </row>
    <row r="3" spans="1:55" ht="28.5" customHeight="1">
      <c r="A3" s="2133"/>
      <c r="B3" s="2133"/>
      <c r="C3" s="2133"/>
      <c r="D3" s="2133"/>
      <c r="E3" s="2133"/>
      <c r="F3" s="2133"/>
      <c r="G3" s="2133"/>
      <c r="H3" s="2133"/>
      <c r="I3" s="2133"/>
      <c r="J3" s="2133"/>
      <c r="K3" s="2133"/>
      <c r="L3" s="2133"/>
      <c r="M3" s="2133"/>
      <c r="N3" s="2133"/>
      <c r="O3" s="2133"/>
      <c r="P3" s="2133"/>
      <c r="Q3" s="2133"/>
      <c r="R3" s="2133"/>
      <c r="S3" s="2133"/>
      <c r="T3" s="2133"/>
      <c r="U3" s="2133"/>
      <c r="V3" s="2133"/>
      <c r="W3" s="2133"/>
      <c r="X3" s="2133"/>
      <c r="Y3" s="2133"/>
      <c r="Z3" s="2133"/>
      <c r="AA3" s="2133"/>
      <c r="AB3" s="2133"/>
      <c r="AC3" s="2133"/>
      <c r="AD3" s="2133"/>
      <c r="AE3" s="2133"/>
      <c r="AF3" s="2133"/>
      <c r="AG3" s="2133"/>
      <c r="AH3" s="2133"/>
      <c r="AI3" s="2133"/>
      <c r="AJ3" s="2133"/>
      <c r="AK3" s="2133"/>
      <c r="AL3" s="2133"/>
      <c r="AM3" s="2133"/>
      <c r="AN3" s="2133"/>
      <c r="AO3" s="2133"/>
      <c r="AP3" s="2133"/>
      <c r="AQ3" s="2133"/>
      <c r="AR3" s="2133"/>
      <c r="AS3" s="2133"/>
      <c r="AT3" s="2133"/>
      <c r="AU3" s="2133"/>
      <c r="AV3" s="2133"/>
      <c r="AW3" s="2133"/>
      <c r="AX3" s="2133"/>
      <c r="AY3" s="2133"/>
      <c r="AZ3" s="2133"/>
    </row>
    <row r="4" spans="1:55" ht="28.5" customHeight="1">
      <c r="A4" s="410"/>
      <c r="B4" s="410"/>
      <c r="C4" s="410"/>
      <c r="D4" s="410"/>
      <c r="E4" s="410"/>
      <c r="F4" s="410"/>
      <c r="G4" s="410"/>
      <c r="H4" s="410"/>
      <c r="I4" s="410"/>
      <c r="J4" s="410"/>
      <c r="K4" s="410"/>
      <c r="L4" s="410"/>
      <c r="M4" s="410"/>
      <c r="N4" s="410"/>
      <c r="O4" s="410"/>
      <c r="P4" s="410"/>
      <c r="Q4" s="410"/>
      <c r="R4" s="2384"/>
      <c r="S4" s="2384"/>
      <c r="T4" s="2384"/>
      <c r="U4" s="411" t="s">
        <v>13</v>
      </c>
      <c r="V4" s="584"/>
      <c r="W4" s="411" t="s">
        <v>12</v>
      </c>
      <c r="X4" s="584"/>
      <c r="Y4" s="411" t="s">
        <v>105</v>
      </c>
      <c r="Z4" s="411"/>
      <c r="AA4" s="410"/>
      <c r="AB4" s="410"/>
      <c r="AC4" s="410"/>
      <c r="AD4" s="410"/>
      <c r="AE4" s="410"/>
      <c r="AF4" s="410"/>
      <c r="AG4" s="410"/>
      <c r="AH4" s="410"/>
      <c r="AI4" s="410"/>
      <c r="AJ4" s="410"/>
      <c r="AK4" s="410"/>
      <c r="AL4" s="410"/>
      <c r="AM4" s="410"/>
      <c r="AN4" s="410"/>
      <c r="AO4" s="410"/>
      <c r="AP4" s="410"/>
      <c r="AQ4" s="410"/>
      <c r="AR4" s="2377" t="s">
        <v>797</v>
      </c>
      <c r="AS4" s="2377"/>
      <c r="AT4" s="2377"/>
      <c r="AU4" s="411" t="s">
        <v>13</v>
      </c>
      <c r="AV4" s="426" t="s">
        <v>207</v>
      </c>
      <c r="AW4" s="411" t="s">
        <v>12</v>
      </c>
      <c r="AX4" s="426" t="s">
        <v>802</v>
      </c>
      <c r="AY4" s="411" t="s">
        <v>105</v>
      </c>
      <c r="AZ4" s="411"/>
    </row>
    <row r="5" spans="1:55" ht="14.25" customHeight="1">
      <c r="A5" s="2133"/>
      <c r="B5" s="2133"/>
      <c r="C5" s="2133"/>
      <c r="D5" s="2133"/>
      <c r="E5" s="2133"/>
      <c r="F5" s="2133"/>
      <c r="G5" s="2133"/>
      <c r="H5" s="2133"/>
      <c r="I5" s="2133"/>
      <c r="J5" s="2133"/>
      <c r="K5" s="2133"/>
      <c r="L5" s="2133"/>
      <c r="M5" s="2133"/>
      <c r="N5" s="2133"/>
      <c r="O5" s="2133"/>
      <c r="P5" s="2133"/>
      <c r="Q5" s="2133"/>
      <c r="R5" s="2133"/>
      <c r="S5" s="2133"/>
      <c r="T5" s="2133"/>
      <c r="U5" s="2133"/>
      <c r="V5" s="2133"/>
      <c r="W5" s="2133"/>
      <c r="X5" s="2133"/>
      <c r="Y5" s="2133"/>
      <c r="Z5" s="2133"/>
      <c r="AA5" s="2133"/>
      <c r="AB5" s="2133"/>
      <c r="AC5" s="2133"/>
      <c r="AD5" s="2133"/>
      <c r="AE5" s="2133"/>
      <c r="AF5" s="2133"/>
      <c r="AG5" s="2133"/>
      <c r="AH5" s="2133"/>
      <c r="AI5" s="2133"/>
      <c r="AJ5" s="2133"/>
      <c r="AK5" s="2133"/>
      <c r="AL5" s="2133"/>
      <c r="AM5" s="2133"/>
      <c r="AN5" s="2133"/>
      <c r="AO5" s="2133"/>
      <c r="AP5" s="2133"/>
      <c r="AQ5" s="2133"/>
      <c r="AR5" s="2133"/>
      <c r="AS5" s="2133"/>
      <c r="AT5" s="2133"/>
      <c r="AU5" s="2133"/>
      <c r="AV5" s="2133"/>
      <c r="AW5" s="2133"/>
      <c r="AX5" s="2133"/>
      <c r="AY5" s="2133"/>
      <c r="AZ5" s="2133"/>
    </row>
    <row r="6" spans="1:55" ht="14.25" customHeight="1">
      <c r="A6" s="2136" t="s">
        <v>191</v>
      </c>
      <c r="B6" s="2136"/>
      <c r="C6" s="2136"/>
      <c r="D6" s="2136"/>
      <c r="E6" s="2136"/>
      <c r="F6" s="2136"/>
      <c r="G6" s="2136"/>
      <c r="H6" s="2136"/>
      <c r="I6" s="2136"/>
      <c r="J6" s="2136"/>
      <c r="K6" s="2136"/>
      <c r="L6" s="2136"/>
      <c r="M6" s="2136"/>
      <c r="N6" s="2136"/>
      <c r="O6" s="2136"/>
      <c r="P6" s="2136"/>
      <c r="Q6" s="2136"/>
      <c r="R6" s="2136"/>
      <c r="S6" s="2136"/>
      <c r="T6" s="2136"/>
      <c r="U6" s="2136"/>
      <c r="V6" s="2136"/>
      <c r="W6" s="2136"/>
      <c r="X6" s="2136"/>
      <c r="Y6" s="2136"/>
      <c r="Z6" s="2136"/>
      <c r="AA6" s="2136" t="s">
        <v>191</v>
      </c>
      <c r="AB6" s="2136"/>
      <c r="AC6" s="2136"/>
      <c r="AD6" s="2136"/>
      <c r="AE6" s="2136"/>
      <c r="AF6" s="2136"/>
      <c r="AG6" s="2136"/>
      <c r="AH6" s="2136"/>
      <c r="AI6" s="2136"/>
      <c r="AJ6" s="2136"/>
      <c r="AK6" s="2136"/>
      <c r="AL6" s="2136"/>
      <c r="AM6" s="2136"/>
      <c r="AN6" s="2136"/>
      <c r="AO6" s="2136"/>
      <c r="AP6" s="2136"/>
      <c r="AQ6" s="2136"/>
      <c r="AR6" s="2136"/>
      <c r="AS6" s="2136"/>
      <c r="AT6" s="2136"/>
      <c r="AU6" s="2136"/>
      <c r="AV6" s="2136"/>
      <c r="AW6" s="2136"/>
      <c r="AX6" s="2136"/>
      <c r="AY6" s="2136"/>
      <c r="AZ6" s="2136"/>
    </row>
    <row r="7" spans="1:55" ht="14.25" customHeight="1">
      <c r="A7" s="2136" t="s">
        <v>192</v>
      </c>
      <c r="B7" s="2136"/>
      <c r="C7" s="2136"/>
      <c r="D7" s="2136"/>
      <c r="E7" s="2136"/>
      <c r="F7" s="2136"/>
      <c r="G7" s="2136"/>
      <c r="H7" s="2136"/>
      <c r="I7" s="2136"/>
      <c r="J7" s="2136"/>
      <c r="K7" s="2136"/>
      <c r="L7" s="2136"/>
      <c r="M7" s="2136"/>
      <c r="N7" s="2136"/>
      <c r="O7" s="2136"/>
      <c r="P7" s="2136"/>
      <c r="Q7" s="2136"/>
      <c r="R7" s="2136"/>
      <c r="S7" s="2136"/>
      <c r="T7" s="2136"/>
      <c r="U7" s="2136"/>
      <c r="V7" s="2136"/>
      <c r="W7" s="2136"/>
      <c r="X7" s="2136"/>
      <c r="Y7" s="2136"/>
      <c r="Z7" s="2136"/>
      <c r="AA7" s="2136" t="s">
        <v>192</v>
      </c>
      <c r="AB7" s="2136"/>
      <c r="AC7" s="2136"/>
      <c r="AD7" s="2136"/>
      <c r="AE7" s="2136"/>
      <c r="AF7" s="2136"/>
      <c r="AG7" s="2136"/>
      <c r="AH7" s="2136"/>
      <c r="AI7" s="2136"/>
      <c r="AJ7" s="2136"/>
      <c r="AK7" s="2136"/>
      <c r="AL7" s="2136"/>
      <c r="AM7" s="2136"/>
      <c r="AN7" s="2136"/>
      <c r="AO7" s="2136"/>
      <c r="AP7" s="2136"/>
      <c r="AQ7" s="2136"/>
      <c r="AR7" s="2136"/>
      <c r="AS7" s="2136"/>
      <c r="AT7" s="2136"/>
      <c r="AU7" s="2136"/>
      <c r="AV7" s="2136"/>
      <c r="AW7" s="2136"/>
      <c r="AX7" s="2136"/>
      <c r="AY7" s="2136"/>
      <c r="AZ7" s="2136"/>
    </row>
    <row r="8" spans="1:55" ht="14.25" customHeight="1">
      <c r="A8" s="2136" t="s">
        <v>193</v>
      </c>
      <c r="B8" s="2136"/>
      <c r="C8" s="2136"/>
      <c r="D8" s="2136"/>
      <c r="E8" s="2136"/>
      <c r="F8" s="2136"/>
      <c r="G8" s="2136"/>
      <c r="H8" s="2136"/>
      <c r="I8" s="2136"/>
      <c r="J8" s="2136"/>
      <c r="K8" s="2136"/>
      <c r="L8" s="2136"/>
      <c r="M8" s="2136"/>
      <c r="N8" s="2136"/>
      <c r="O8" s="2136"/>
      <c r="P8" s="2136"/>
      <c r="Q8" s="2136"/>
      <c r="R8" s="2136"/>
      <c r="S8" s="2136"/>
      <c r="T8" s="2136"/>
      <c r="U8" s="2136"/>
      <c r="V8" s="2136"/>
      <c r="W8" s="2136"/>
      <c r="X8" s="2136"/>
      <c r="Y8" s="2136"/>
      <c r="Z8" s="2136"/>
      <c r="AA8" s="2136" t="s">
        <v>193</v>
      </c>
      <c r="AB8" s="2136"/>
      <c r="AC8" s="2136"/>
      <c r="AD8" s="2136"/>
      <c r="AE8" s="2136"/>
      <c r="AF8" s="2136"/>
      <c r="AG8" s="2136"/>
      <c r="AH8" s="2136"/>
      <c r="AI8" s="2136"/>
      <c r="AJ8" s="2136"/>
      <c r="AK8" s="2136"/>
      <c r="AL8" s="2136"/>
      <c r="AM8" s="2136"/>
      <c r="AN8" s="2136"/>
      <c r="AO8" s="2136"/>
      <c r="AP8" s="2136"/>
      <c r="AQ8" s="2136"/>
      <c r="AR8" s="2136"/>
      <c r="AS8" s="2136"/>
      <c r="AT8" s="2136"/>
      <c r="AU8" s="2136"/>
      <c r="AV8" s="2136"/>
      <c r="AW8" s="2136"/>
      <c r="AX8" s="2136"/>
      <c r="AY8" s="2136"/>
      <c r="AZ8" s="2136"/>
    </row>
    <row r="9" spans="1:55" ht="14.25" customHeight="1">
      <c r="A9" s="2136" t="s">
        <v>194</v>
      </c>
      <c r="B9" s="2136"/>
      <c r="C9" s="2136"/>
      <c r="D9" s="2136"/>
      <c r="E9" s="2136"/>
      <c r="F9" s="2136"/>
      <c r="G9" s="2136"/>
      <c r="H9" s="2136"/>
      <c r="I9" s="2136"/>
      <c r="J9" s="2136"/>
      <c r="K9" s="2136"/>
      <c r="L9" s="2136"/>
      <c r="M9" s="2136"/>
      <c r="N9" s="2136"/>
      <c r="O9" s="2136"/>
      <c r="P9" s="2136"/>
      <c r="Q9" s="2136"/>
      <c r="R9" s="2136"/>
      <c r="S9" s="2136"/>
      <c r="T9" s="2136"/>
      <c r="U9" s="2136"/>
      <c r="V9" s="2136"/>
      <c r="W9" s="2136"/>
      <c r="X9" s="2136"/>
      <c r="Y9" s="2136"/>
      <c r="Z9" s="2136"/>
      <c r="AA9" s="2136" t="s">
        <v>194</v>
      </c>
      <c r="AB9" s="2136"/>
      <c r="AC9" s="2136"/>
      <c r="AD9" s="2136"/>
      <c r="AE9" s="2136"/>
      <c r="AF9" s="2136"/>
      <c r="AG9" s="2136"/>
      <c r="AH9" s="2136"/>
      <c r="AI9" s="2136"/>
      <c r="AJ9" s="2136"/>
      <c r="AK9" s="2136"/>
      <c r="AL9" s="2136"/>
      <c r="AM9" s="2136"/>
      <c r="AN9" s="2136"/>
      <c r="AO9" s="2136"/>
      <c r="AP9" s="2136"/>
      <c r="AQ9" s="2136"/>
      <c r="AR9" s="2136"/>
      <c r="AS9" s="2136"/>
      <c r="AT9" s="2136"/>
      <c r="AU9" s="2136"/>
      <c r="AV9" s="2136"/>
      <c r="AW9" s="2136"/>
      <c r="AX9" s="2136"/>
      <c r="AY9" s="2136"/>
      <c r="AZ9" s="2136"/>
    </row>
    <row r="10" spans="1:55" ht="14.25" customHeight="1">
      <c r="A10" s="2136"/>
      <c r="B10" s="2136"/>
      <c r="C10" s="2136"/>
      <c r="D10" s="2136"/>
      <c r="E10" s="2136"/>
      <c r="F10" s="2136"/>
      <c r="G10" s="2136"/>
      <c r="H10" s="2136"/>
      <c r="I10" s="2136"/>
      <c r="J10" s="2136"/>
      <c r="K10" s="2136"/>
      <c r="L10" s="2136"/>
      <c r="M10" s="2136"/>
      <c r="N10" s="2136"/>
      <c r="O10" s="2136"/>
      <c r="P10" s="2136"/>
      <c r="Q10" s="2136"/>
      <c r="R10" s="2136"/>
      <c r="S10" s="2136"/>
      <c r="T10" s="2136"/>
      <c r="U10" s="2136"/>
      <c r="V10" s="2136"/>
      <c r="W10" s="2136"/>
      <c r="X10" s="2136"/>
      <c r="Y10" s="2136"/>
      <c r="Z10" s="2136"/>
      <c r="AA10" s="2136"/>
      <c r="AB10" s="2136"/>
      <c r="AC10" s="2136"/>
      <c r="AD10" s="2136"/>
      <c r="AE10" s="2136"/>
      <c r="AF10" s="2136"/>
      <c r="AG10" s="2136"/>
      <c r="AH10" s="2136"/>
      <c r="AI10" s="2136"/>
      <c r="AJ10" s="2136"/>
      <c r="AK10" s="2136"/>
      <c r="AL10" s="2136"/>
      <c r="AM10" s="2136"/>
      <c r="AN10" s="2136"/>
      <c r="AO10" s="2136"/>
      <c r="AP10" s="2136"/>
      <c r="AQ10" s="2136"/>
      <c r="AR10" s="2136"/>
      <c r="AS10" s="2136"/>
      <c r="AT10" s="2136"/>
      <c r="AU10" s="2136"/>
      <c r="AV10" s="2136"/>
      <c r="AW10" s="2136"/>
      <c r="AX10" s="2136"/>
      <c r="AY10" s="2136"/>
      <c r="AZ10" s="2136"/>
    </row>
    <row r="11" spans="1:55" ht="28.5" customHeight="1">
      <c r="A11" s="2133"/>
      <c r="B11" s="2133"/>
      <c r="C11" s="2133"/>
      <c r="D11" s="2133"/>
      <c r="E11" s="2133"/>
      <c r="F11" s="2133"/>
      <c r="G11" s="2133"/>
      <c r="H11" s="2133"/>
      <c r="I11" s="2133"/>
      <c r="J11" s="2133"/>
      <c r="K11" s="2133"/>
      <c r="L11" s="2133"/>
      <c r="M11" s="2133" t="s">
        <v>106</v>
      </c>
      <c r="N11" s="2133"/>
      <c r="O11" s="2133"/>
      <c r="P11" s="2382" t="str">
        <f>CONCATENATE('01 使用承認申請書'!D4)</f>
        <v/>
      </c>
      <c r="Q11" s="2383"/>
      <c r="R11" s="2383"/>
      <c r="S11" s="2383"/>
      <c r="T11" s="2383"/>
      <c r="U11" s="2383"/>
      <c r="V11" s="2383"/>
      <c r="W11" s="2383"/>
      <c r="X11" s="2383"/>
      <c r="Y11" s="2383"/>
      <c r="Z11" s="2383"/>
      <c r="AA11" s="2133"/>
      <c r="AB11" s="2133"/>
      <c r="AC11" s="2133"/>
      <c r="AD11" s="2133"/>
      <c r="AE11" s="2133"/>
      <c r="AF11" s="2133"/>
      <c r="AG11" s="2133"/>
      <c r="AH11" s="2133"/>
      <c r="AI11" s="2133"/>
      <c r="AJ11" s="2133"/>
      <c r="AK11" s="2133"/>
      <c r="AL11" s="2133"/>
      <c r="AM11" s="2133" t="s">
        <v>106</v>
      </c>
      <c r="AN11" s="2133"/>
      <c r="AO11" s="2133"/>
      <c r="AP11" s="2147" t="s">
        <v>208</v>
      </c>
      <c r="AQ11" s="2148"/>
      <c r="AR11" s="2148"/>
      <c r="AS11" s="2148"/>
      <c r="AT11" s="2148"/>
      <c r="AU11" s="2148"/>
      <c r="AV11" s="2148"/>
      <c r="AW11" s="2148"/>
      <c r="AX11" s="2148"/>
      <c r="AY11" s="2148"/>
      <c r="AZ11" s="2148"/>
    </row>
    <row r="12" spans="1:55" ht="28.5" customHeight="1">
      <c r="A12" s="2133"/>
      <c r="B12" s="2133"/>
      <c r="C12" s="2133"/>
      <c r="D12" s="2133"/>
      <c r="E12" s="2133"/>
      <c r="F12" s="2133"/>
      <c r="G12" s="2133"/>
      <c r="H12" s="2133"/>
      <c r="I12" s="2133"/>
      <c r="J12" s="2133"/>
      <c r="K12" s="2133"/>
      <c r="L12" s="2133"/>
      <c r="M12" s="2133" t="s">
        <v>195</v>
      </c>
      <c r="N12" s="2133"/>
      <c r="O12" s="2133"/>
      <c r="P12" s="2382" t="str">
        <f>CONCATENATE('01 使用承認申請書'!S6)</f>
        <v/>
      </c>
      <c r="Q12" s="2382"/>
      <c r="R12" s="2382"/>
      <c r="S12" s="2382"/>
      <c r="T12" s="2382"/>
      <c r="U12" s="2382"/>
      <c r="V12" s="2382"/>
      <c r="W12" s="2382"/>
      <c r="X12" s="2382"/>
      <c r="Y12" s="435"/>
      <c r="Z12" s="436"/>
      <c r="AA12" s="2133"/>
      <c r="AB12" s="2133"/>
      <c r="AC12" s="2133"/>
      <c r="AD12" s="2133"/>
      <c r="AE12" s="2133"/>
      <c r="AF12" s="2133"/>
      <c r="AG12" s="2133"/>
      <c r="AH12" s="2133"/>
      <c r="AI12" s="2133"/>
      <c r="AJ12" s="2133"/>
      <c r="AK12" s="2133"/>
      <c r="AL12" s="2133"/>
      <c r="AM12" s="2133" t="s">
        <v>195</v>
      </c>
      <c r="AN12" s="2133"/>
      <c r="AO12" s="2133"/>
      <c r="AP12" s="2147" t="s">
        <v>107</v>
      </c>
      <c r="AQ12" s="2147"/>
      <c r="AR12" s="2147"/>
      <c r="AS12" s="2147"/>
      <c r="AT12" s="2147"/>
      <c r="AU12" s="2147"/>
      <c r="AV12" s="2147"/>
      <c r="AW12" s="2147"/>
      <c r="AX12" s="2147"/>
      <c r="AY12" s="426"/>
      <c r="AZ12" s="433"/>
      <c r="BA12" s="29"/>
    </row>
    <row r="13" spans="1:55" ht="28.5" customHeight="1">
      <c r="A13" s="2133"/>
      <c r="B13" s="2133"/>
      <c r="C13" s="2133"/>
      <c r="D13" s="2133"/>
      <c r="E13" s="2133"/>
      <c r="F13" s="2133"/>
      <c r="G13" s="2133"/>
      <c r="H13" s="2133"/>
      <c r="I13" s="2133"/>
      <c r="J13" s="2133"/>
      <c r="K13" s="2133"/>
      <c r="L13" s="2133"/>
      <c r="M13" s="2133" t="s">
        <v>196</v>
      </c>
      <c r="N13" s="2133"/>
      <c r="O13" s="2133"/>
      <c r="P13" s="2382" t="str">
        <f>'01 使用承認申請書'!$E$8&amp;'01 使用承認申請書'!$R$8</f>
        <v/>
      </c>
      <c r="Q13" s="2382"/>
      <c r="R13" s="2382"/>
      <c r="S13" s="2382"/>
      <c r="T13" s="2382"/>
      <c r="U13" s="2382"/>
      <c r="V13" s="2382"/>
      <c r="W13" s="2382"/>
      <c r="X13" s="2382"/>
      <c r="Y13" s="2382"/>
      <c r="Z13" s="2382"/>
      <c r="AA13" s="2133"/>
      <c r="AB13" s="2133"/>
      <c r="AC13" s="2133"/>
      <c r="AD13" s="2133"/>
      <c r="AE13" s="2133"/>
      <c r="AF13" s="2133"/>
      <c r="AG13" s="2133"/>
      <c r="AH13" s="2133"/>
      <c r="AI13" s="2133"/>
      <c r="AJ13" s="2133"/>
      <c r="AK13" s="2133"/>
      <c r="AL13" s="2133"/>
      <c r="AM13" s="2133" t="s">
        <v>196</v>
      </c>
      <c r="AN13" s="2133"/>
      <c r="AO13" s="2133"/>
      <c r="AP13" s="2147" t="s">
        <v>53</v>
      </c>
      <c r="AQ13" s="2147"/>
      <c r="AR13" s="2147"/>
      <c r="AS13" s="2147"/>
      <c r="AT13" s="2147"/>
      <c r="AU13" s="2147"/>
      <c r="AV13" s="2147"/>
      <c r="AW13" s="2147"/>
      <c r="AX13" s="2147"/>
      <c r="AY13" s="2147"/>
      <c r="AZ13" s="2147"/>
      <c r="BA13" s="50">
        <v>1</v>
      </c>
      <c r="BB13" s="50" t="s">
        <v>246</v>
      </c>
      <c r="BC13" s="50"/>
    </row>
    <row r="14" spans="1:55" ht="28.5" customHeight="1">
      <c r="A14" s="2133"/>
      <c r="B14" s="2133"/>
      <c r="C14" s="2133"/>
      <c r="D14" s="2133"/>
      <c r="E14" s="2133"/>
      <c r="F14" s="2133"/>
      <c r="G14" s="2133"/>
      <c r="H14" s="2133"/>
      <c r="I14" s="2133"/>
      <c r="J14" s="2133"/>
      <c r="K14" s="2133"/>
      <c r="L14" s="2133"/>
      <c r="M14" s="2133" t="s">
        <v>197</v>
      </c>
      <c r="N14" s="2133"/>
      <c r="O14" s="2133"/>
      <c r="P14" s="2381" t="str">
        <f>CONCATENATE('01 使用承認申請書'!D9)</f>
        <v/>
      </c>
      <c r="Q14" s="2381"/>
      <c r="R14" s="2381"/>
      <c r="S14" s="2381"/>
      <c r="T14" s="2381"/>
      <c r="U14" s="2381"/>
      <c r="V14" s="2381"/>
      <c r="W14" s="2381"/>
      <c r="X14" s="2381"/>
      <c r="Y14" s="2381"/>
      <c r="Z14" s="2381"/>
      <c r="AA14" s="2133"/>
      <c r="AB14" s="2133"/>
      <c r="AC14" s="2133"/>
      <c r="AD14" s="2133"/>
      <c r="AE14" s="2133"/>
      <c r="AF14" s="2133"/>
      <c r="AG14" s="2133"/>
      <c r="AH14" s="2133"/>
      <c r="AI14" s="2133"/>
      <c r="AJ14" s="2133"/>
      <c r="AK14" s="2133"/>
      <c r="AL14" s="2133"/>
      <c r="AM14" s="2133" t="s">
        <v>197</v>
      </c>
      <c r="AN14" s="2133"/>
      <c r="AO14" s="2133"/>
      <c r="AP14" s="2146" t="s">
        <v>497</v>
      </c>
      <c r="AQ14" s="2146"/>
      <c r="AR14" s="2146"/>
      <c r="AS14" s="2146"/>
      <c r="AT14" s="2146"/>
      <c r="AU14" s="2146"/>
      <c r="AV14" s="2146"/>
      <c r="AW14" s="2146"/>
      <c r="AX14" s="2146"/>
      <c r="AY14" s="2146"/>
      <c r="AZ14" s="2146"/>
      <c r="BA14" s="50">
        <v>2</v>
      </c>
      <c r="BB14" s="50" t="s">
        <v>247</v>
      </c>
      <c r="BC14" s="50" t="s">
        <v>771</v>
      </c>
    </row>
    <row r="15" spans="1:55" ht="14.25" customHeight="1">
      <c r="A15" s="2136"/>
      <c r="B15" s="2136"/>
      <c r="C15" s="2136"/>
      <c r="D15" s="2136"/>
      <c r="E15" s="2136"/>
      <c r="F15" s="2136"/>
      <c r="G15" s="2136"/>
      <c r="H15" s="2136"/>
      <c r="I15" s="2136"/>
      <c r="J15" s="2136"/>
      <c r="K15" s="2136"/>
      <c r="L15" s="2136"/>
      <c r="M15" s="2136"/>
      <c r="N15" s="2136"/>
      <c r="O15" s="2136"/>
      <c r="P15" s="2136"/>
      <c r="Q15" s="2136"/>
      <c r="R15" s="2136"/>
      <c r="S15" s="2136"/>
      <c r="T15" s="2136"/>
      <c r="U15" s="2136"/>
      <c r="V15" s="2136"/>
      <c r="W15" s="2136"/>
      <c r="X15" s="2136"/>
      <c r="Y15" s="2136"/>
      <c r="Z15" s="2136"/>
      <c r="AA15" s="2136"/>
      <c r="AB15" s="2136"/>
      <c r="AC15" s="2136"/>
      <c r="AD15" s="2136"/>
      <c r="AE15" s="2136"/>
      <c r="AF15" s="2136"/>
      <c r="AG15" s="2136"/>
      <c r="AH15" s="2136"/>
      <c r="AI15" s="2136"/>
      <c r="AJ15" s="2136"/>
      <c r="AK15" s="2136"/>
      <c r="AL15" s="2136"/>
      <c r="AM15" s="2136"/>
      <c r="AN15" s="2136"/>
      <c r="AO15" s="2136"/>
      <c r="AP15" s="2136"/>
      <c r="AQ15" s="2136"/>
      <c r="AR15" s="2136"/>
      <c r="AS15" s="2136"/>
      <c r="AT15" s="2136"/>
      <c r="AU15" s="2136"/>
      <c r="AV15" s="2136"/>
      <c r="AW15" s="2136"/>
      <c r="AX15" s="2136"/>
      <c r="AY15" s="2136"/>
      <c r="AZ15" s="2136"/>
      <c r="BA15" s="50">
        <v>3</v>
      </c>
      <c r="BB15" s="50" t="s">
        <v>324</v>
      </c>
      <c r="BC15" s="50" t="s">
        <v>796</v>
      </c>
    </row>
    <row r="16" spans="1:55" ht="14.25" customHeight="1">
      <c r="A16" s="2133"/>
      <c r="B16" s="2133"/>
      <c r="C16" s="2133"/>
      <c r="D16" s="2133"/>
      <c r="E16" s="2133"/>
      <c r="F16" s="2133"/>
      <c r="G16" s="2133"/>
      <c r="H16" s="2133"/>
      <c r="I16" s="2133"/>
      <c r="J16" s="2133"/>
      <c r="K16" s="2133"/>
      <c r="L16" s="2133"/>
      <c r="M16" s="2133"/>
      <c r="N16" s="2133"/>
      <c r="O16" s="2133"/>
      <c r="P16" s="2133"/>
      <c r="Q16" s="2133"/>
      <c r="R16" s="2133"/>
      <c r="S16" s="2133"/>
      <c r="T16" s="2133"/>
      <c r="U16" s="2133"/>
      <c r="V16" s="2133"/>
      <c r="W16" s="2133"/>
      <c r="X16" s="2133"/>
      <c r="Y16" s="2133"/>
      <c r="Z16" s="2133"/>
      <c r="AA16" s="2133"/>
      <c r="AB16" s="2133"/>
      <c r="AC16" s="2133"/>
      <c r="AD16" s="2133"/>
      <c r="AE16" s="2133"/>
      <c r="AF16" s="2133"/>
      <c r="AG16" s="2133"/>
      <c r="AH16" s="2133"/>
      <c r="AI16" s="2133"/>
      <c r="AJ16" s="2133"/>
      <c r="AK16" s="2133"/>
      <c r="AL16" s="2133"/>
      <c r="AM16" s="2133"/>
      <c r="AN16" s="2133"/>
      <c r="AO16" s="2133"/>
      <c r="AP16" s="2133"/>
      <c r="AQ16" s="2133"/>
      <c r="AR16" s="2133"/>
      <c r="AS16" s="2133"/>
      <c r="AT16" s="2133"/>
      <c r="AU16" s="2133"/>
      <c r="AV16" s="2133"/>
      <c r="AW16" s="2133"/>
      <c r="AX16" s="2133"/>
      <c r="AY16" s="2133"/>
      <c r="AZ16" s="2133"/>
      <c r="BA16" s="50">
        <v>4</v>
      </c>
      <c r="BB16" s="50" t="s">
        <v>248</v>
      </c>
      <c r="BC16" s="50"/>
    </row>
    <row r="17" spans="1:55" ht="28.5" customHeight="1">
      <c r="A17" s="2133" t="s">
        <v>191</v>
      </c>
      <c r="B17" s="2133"/>
      <c r="C17" s="2133"/>
      <c r="D17" s="2133"/>
      <c r="E17" s="2133"/>
      <c r="F17" s="2133"/>
      <c r="G17" s="2380" t="s">
        <v>500</v>
      </c>
      <c r="H17" s="2380"/>
      <c r="I17" s="2380"/>
      <c r="J17" s="2380"/>
      <c r="K17" s="2380"/>
      <c r="L17" s="2136" t="s">
        <v>499</v>
      </c>
      <c r="M17" s="2136"/>
      <c r="N17" s="2136"/>
      <c r="O17" s="2136"/>
      <c r="P17" s="2136"/>
      <c r="Q17" s="2136"/>
      <c r="R17" s="2136"/>
      <c r="S17" s="2136"/>
      <c r="T17" s="2136"/>
      <c r="U17" s="2136"/>
      <c r="V17" s="2136"/>
      <c r="W17" s="2136"/>
      <c r="X17" s="2136"/>
      <c r="Y17" s="2136"/>
      <c r="Z17" s="431" t="b">
        <v>0</v>
      </c>
      <c r="AA17" s="2133" t="s">
        <v>191</v>
      </c>
      <c r="AB17" s="2133"/>
      <c r="AC17" s="2133"/>
      <c r="AD17" s="2133"/>
      <c r="AE17" s="2133"/>
      <c r="AF17" s="2133"/>
      <c r="AG17" s="434" t="s">
        <v>527</v>
      </c>
      <c r="AH17" s="2379" t="s">
        <v>209</v>
      </c>
      <c r="AI17" s="2379"/>
      <c r="AJ17" s="2379"/>
      <c r="AK17" s="410"/>
      <c r="AL17" s="2136" t="s">
        <v>210</v>
      </c>
      <c r="AM17" s="2136"/>
      <c r="AN17" s="2136"/>
      <c r="AO17" s="2136"/>
      <c r="AP17" s="2136"/>
      <c r="AQ17" s="2136"/>
      <c r="AR17" s="2136"/>
      <c r="AS17" s="2136"/>
      <c r="AT17" s="2136"/>
      <c r="AU17" s="2136"/>
      <c r="AV17" s="2136"/>
      <c r="AW17" s="2136"/>
      <c r="AX17" s="2136"/>
      <c r="AY17" s="2136"/>
      <c r="AZ17" s="410"/>
      <c r="BA17" s="50">
        <v>5</v>
      </c>
      <c r="BB17" s="50" t="s">
        <v>285</v>
      </c>
      <c r="BC17" s="50"/>
    </row>
    <row r="18" spans="1:55" ht="28.5" customHeight="1">
      <c r="A18" s="2133"/>
      <c r="B18" s="2133"/>
      <c r="C18" s="2133"/>
      <c r="D18" s="2133"/>
      <c r="E18" s="2133"/>
      <c r="F18" s="2133"/>
      <c r="G18" s="2380" t="s">
        <v>211</v>
      </c>
      <c r="H18" s="2380"/>
      <c r="I18" s="2380"/>
      <c r="J18" s="2380"/>
      <c r="K18" s="2380"/>
      <c r="L18" s="2136"/>
      <c r="M18" s="2136"/>
      <c r="N18" s="2136"/>
      <c r="O18" s="2136"/>
      <c r="P18" s="2136"/>
      <c r="Q18" s="2136"/>
      <c r="R18" s="2136"/>
      <c r="S18" s="2136"/>
      <c r="T18" s="2136"/>
      <c r="U18" s="2136"/>
      <c r="V18" s="2136"/>
      <c r="W18" s="2136"/>
      <c r="X18" s="2136"/>
      <c r="Y18" s="2136"/>
      <c r="Z18" s="431" t="b">
        <v>0</v>
      </c>
      <c r="AA18" s="2133"/>
      <c r="AB18" s="2133"/>
      <c r="AC18" s="2133"/>
      <c r="AD18" s="2133"/>
      <c r="AE18" s="2133"/>
      <c r="AF18" s="2133"/>
      <c r="AG18" s="410" t="s">
        <v>528</v>
      </c>
      <c r="AH18" s="2133" t="s">
        <v>211</v>
      </c>
      <c r="AI18" s="2133"/>
      <c r="AJ18" s="2133"/>
      <c r="AK18" s="410"/>
      <c r="AL18" s="2136"/>
      <c r="AM18" s="2136"/>
      <c r="AN18" s="2136"/>
      <c r="AO18" s="2136"/>
      <c r="AP18" s="2136"/>
      <c r="AQ18" s="2136"/>
      <c r="AR18" s="2136"/>
      <c r="AS18" s="2136"/>
      <c r="AT18" s="2136"/>
      <c r="AU18" s="2136"/>
      <c r="AV18" s="2136"/>
      <c r="AW18" s="2136"/>
      <c r="AX18" s="2136"/>
      <c r="AY18" s="2136"/>
      <c r="AZ18" s="410"/>
      <c r="BA18" s="50">
        <v>6</v>
      </c>
      <c r="BB18" s="50" t="s">
        <v>325</v>
      </c>
      <c r="BC18" s="50"/>
    </row>
    <row r="19" spans="1:55" ht="14.25" customHeight="1">
      <c r="A19" s="417"/>
      <c r="B19" s="417"/>
      <c r="C19" s="417"/>
      <c r="D19" s="417"/>
      <c r="E19" s="417"/>
      <c r="F19" s="417"/>
      <c r="G19" s="410"/>
      <c r="H19" s="417"/>
      <c r="I19" s="417"/>
      <c r="J19" s="417"/>
      <c r="K19" s="410"/>
      <c r="L19" s="432"/>
      <c r="M19" s="432"/>
      <c r="N19" s="432"/>
      <c r="O19" s="432"/>
      <c r="P19" s="432"/>
      <c r="Q19" s="432"/>
      <c r="R19" s="432"/>
      <c r="S19" s="432"/>
      <c r="T19" s="432"/>
      <c r="U19" s="432"/>
      <c r="V19" s="432"/>
      <c r="W19" s="432"/>
      <c r="X19" s="432"/>
      <c r="Y19" s="432"/>
      <c r="Z19" s="410"/>
      <c r="AA19" s="417"/>
      <c r="AB19" s="417"/>
      <c r="AC19" s="417"/>
      <c r="AD19" s="417"/>
      <c r="AE19" s="417"/>
      <c r="AF19" s="417"/>
      <c r="AG19" s="410"/>
      <c r="AH19" s="417"/>
      <c r="AI19" s="417"/>
      <c r="AJ19" s="417"/>
      <c r="AK19" s="410"/>
      <c r="AL19" s="432"/>
      <c r="AM19" s="432"/>
      <c r="AN19" s="432"/>
      <c r="AO19" s="432"/>
      <c r="AP19" s="432"/>
      <c r="AQ19" s="432"/>
      <c r="AR19" s="432"/>
      <c r="AS19" s="432"/>
      <c r="AT19" s="432"/>
      <c r="AU19" s="432"/>
      <c r="AV19" s="432"/>
      <c r="AW19" s="432"/>
      <c r="AX19" s="432"/>
      <c r="AY19" s="432"/>
      <c r="AZ19" s="410"/>
      <c r="BA19" s="50">
        <v>7</v>
      </c>
      <c r="BB19" s="50" t="s">
        <v>322</v>
      </c>
      <c r="BC19" s="50"/>
    </row>
    <row r="20" spans="1:55" ht="14.25" customHeight="1">
      <c r="A20" s="2133" t="s">
        <v>104</v>
      </c>
      <c r="B20" s="2133"/>
      <c r="C20" s="2133"/>
      <c r="D20" s="2133"/>
      <c r="E20" s="2133"/>
      <c r="F20" s="2133"/>
      <c r="G20" s="2133"/>
      <c r="H20" s="2133"/>
      <c r="I20" s="2133"/>
      <c r="J20" s="2133"/>
      <c r="K20" s="2133"/>
      <c r="L20" s="2133"/>
      <c r="M20" s="2133"/>
      <c r="N20" s="2133"/>
      <c r="O20" s="2133"/>
      <c r="P20" s="2133"/>
      <c r="Q20" s="2133"/>
      <c r="R20" s="2133"/>
      <c r="S20" s="2133"/>
      <c r="T20" s="2133"/>
      <c r="U20" s="2133"/>
      <c r="V20" s="2133"/>
      <c r="W20" s="2133"/>
      <c r="X20" s="2133"/>
      <c r="Y20" s="2133"/>
      <c r="Z20" s="2133"/>
      <c r="AA20" s="2133" t="s">
        <v>104</v>
      </c>
      <c r="AB20" s="2133"/>
      <c r="AC20" s="2133"/>
      <c r="AD20" s="2133"/>
      <c r="AE20" s="2133"/>
      <c r="AF20" s="2133"/>
      <c r="AG20" s="2133"/>
      <c r="AH20" s="2133"/>
      <c r="AI20" s="2133"/>
      <c r="AJ20" s="2133"/>
      <c r="AK20" s="2133"/>
      <c r="AL20" s="2133"/>
      <c r="AM20" s="2133"/>
      <c r="AN20" s="2133"/>
      <c r="AO20" s="2133"/>
      <c r="AP20" s="2133"/>
      <c r="AQ20" s="2133"/>
      <c r="AR20" s="2133"/>
      <c r="AS20" s="2133"/>
      <c r="AT20" s="2133"/>
      <c r="AU20" s="2133"/>
      <c r="AV20" s="2133"/>
      <c r="AW20" s="2133"/>
      <c r="AX20" s="2133"/>
      <c r="AY20" s="2133"/>
      <c r="AZ20" s="2133"/>
      <c r="BA20" s="50">
        <v>8</v>
      </c>
      <c r="BB20" s="50"/>
      <c r="BC20" s="50"/>
    </row>
    <row r="21" spans="1:55" ht="14.25" customHeight="1">
      <c r="A21" s="417"/>
      <c r="B21" s="417"/>
      <c r="C21" s="417"/>
      <c r="D21" s="417"/>
      <c r="E21" s="417"/>
      <c r="F21" s="417"/>
      <c r="G21" s="417"/>
      <c r="H21" s="417"/>
      <c r="I21" s="417"/>
      <c r="J21" s="417"/>
      <c r="K21" s="417"/>
      <c r="L21" s="417"/>
      <c r="M21" s="417"/>
      <c r="N21" s="417"/>
      <c r="O21" s="417"/>
      <c r="P21" s="417"/>
      <c r="Q21" s="417"/>
      <c r="R21" s="417"/>
      <c r="S21" s="417"/>
      <c r="T21" s="417"/>
      <c r="U21" s="417"/>
      <c r="V21" s="417"/>
      <c r="W21" s="417"/>
      <c r="X21" s="417"/>
      <c r="Y21" s="417"/>
      <c r="Z21" s="417"/>
      <c r="AA21" s="417"/>
      <c r="AB21" s="417"/>
      <c r="AC21" s="417"/>
      <c r="AD21" s="417"/>
      <c r="AE21" s="417"/>
      <c r="AF21" s="417"/>
      <c r="AG21" s="417"/>
      <c r="AH21" s="417"/>
      <c r="AI21" s="417"/>
      <c r="AJ21" s="417"/>
      <c r="AK21" s="417"/>
      <c r="AL21" s="417"/>
      <c r="AM21" s="417"/>
      <c r="AN21" s="417"/>
      <c r="AO21" s="417"/>
      <c r="AP21" s="417"/>
      <c r="AQ21" s="417"/>
      <c r="AR21" s="417"/>
      <c r="AS21" s="417"/>
      <c r="AT21" s="417"/>
      <c r="AU21" s="417"/>
      <c r="AV21" s="417"/>
      <c r="AW21" s="417"/>
      <c r="AX21" s="417"/>
      <c r="AY21" s="417"/>
      <c r="AZ21" s="417"/>
      <c r="BA21" s="50">
        <v>9</v>
      </c>
      <c r="BB21" s="50"/>
      <c r="BC21" s="50"/>
    </row>
    <row r="22" spans="1:55" ht="28.5" customHeight="1">
      <c r="A22" s="2136" t="s">
        <v>212</v>
      </c>
      <c r="B22" s="2136"/>
      <c r="C22" s="2136"/>
      <c r="D22" s="2136"/>
      <c r="E22" s="2136"/>
      <c r="F22" s="2136"/>
      <c r="G22" s="2136"/>
      <c r="H22" s="2136"/>
      <c r="I22" s="2136"/>
      <c r="J22" s="2136"/>
      <c r="K22" s="2136"/>
      <c r="L22" s="2136"/>
      <c r="M22" s="2136"/>
      <c r="N22" s="2136"/>
      <c r="O22" s="2136"/>
      <c r="P22" s="2136"/>
      <c r="Q22" s="2136"/>
      <c r="R22" s="2136"/>
      <c r="S22" s="2136"/>
      <c r="T22" s="2136"/>
      <c r="U22" s="2136"/>
      <c r="V22" s="2136"/>
      <c r="W22" s="2136"/>
      <c r="X22" s="2136"/>
      <c r="Y22" s="2136"/>
      <c r="Z22" s="2136"/>
      <c r="AA22" s="2136" t="s">
        <v>212</v>
      </c>
      <c r="AB22" s="2136"/>
      <c r="AC22" s="2136"/>
      <c r="AD22" s="2136"/>
      <c r="AE22" s="2136"/>
      <c r="AF22" s="2136"/>
      <c r="AG22" s="2136"/>
      <c r="AH22" s="2136"/>
      <c r="AI22" s="2136"/>
      <c r="AJ22" s="2136"/>
      <c r="AK22" s="2136"/>
      <c r="AL22" s="2136"/>
      <c r="AM22" s="2136"/>
      <c r="AN22" s="2136"/>
      <c r="AO22" s="2136"/>
      <c r="AP22" s="2136"/>
      <c r="AQ22" s="2136"/>
      <c r="AR22" s="2136"/>
      <c r="AS22" s="2136"/>
      <c r="AT22" s="2136"/>
      <c r="AU22" s="2136"/>
      <c r="AV22" s="2136"/>
      <c r="AW22" s="2136"/>
      <c r="AX22" s="2136"/>
      <c r="AY22" s="2136"/>
      <c r="AZ22" s="2136"/>
      <c r="BA22" s="50">
        <v>10</v>
      </c>
      <c r="BB22" s="50"/>
      <c r="BC22" s="50"/>
    </row>
    <row r="23" spans="1:55" ht="28.5" customHeight="1">
      <c r="A23" s="2378"/>
      <c r="B23" s="2378"/>
      <c r="C23" s="2378"/>
      <c r="D23" s="2378"/>
      <c r="E23" s="417" t="s">
        <v>13</v>
      </c>
      <c r="F23" s="781"/>
      <c r="G23" s="417" t="s">
        <v>12</v>
      </c>
      <c r="H23" s="781"/>
      <c r="I23" s="417" t="s">
        <v>105</v>
      </c>
      <c r="J23" s="417" t="s">
        <v>37</v>
      </c>
      <c r="K23" s="781"/>
      <c r="L23" s="417" t="s">
        <v>49</v>
      </c>
      <c r="M23" s="417" t="s">
        <v>213</v>
      </c>
      <c r="N23" s="781"/>
      <c r="O23" s="417" t="s">
        <v>12</v>
      </c>
      <c r="P23" s="781"/>
      <c r="Q23" s="417" t="s">
        <v>105</v>
      </c>
      <c r="R23" s="417" t="s">
        <v>73</v>
      </c>
      <c r="S23" s="781"/>
      <c r="T23" s="417" t="s">
        <v>49</v>
      </c>
      <c r="U23" s="417"/>
      <c r="V23" s="417"/>
      <c r="W23" s="417"/>
      <c r="X23" s="417"/>
      <c r="Y23" s="2133"/>
      <c r="Z23" s="2133"/>
      <c r="AA23" s="2377" t="s">
        <v>797</v>
      </c>
      <c r="AB23" s="2377"/>
      <c r="AC23" s="2377"/>
      <c r="AD23" s="2377"/>
      <c r="AE23" s="417" t="s">
        <v>13</v>
      </c>
      <c r="AF23" s="426" t="s">
        <v>207</v>
      </c>
      <c r="AG23" s="417" t="s">
        <v>12</v>
      </c>
      <c r="AH23" s="426" t="s">
        <v>484</v>
      </c>
      <c r="AI23" s="417" t="s">
        <v>105</v>
      </c>
      <c r="AJ23" s="417" t="s">
        <v>214</v>
      </c>
      <c r="AK23" s="426" t="s">
        <v>495</v>
      </c>
      <c r="AL23" s="417" t="s">
        <v>51</v>
      </c>
      <c r="AM23" s="417" t="s">
        <v>189</v>
      </c>
      <c r="AN23" s="426" t="s">
        <v>34</v>
      </c>
      <c r="AO23" s="417" t="s">
        <v>12</v>
      </c>
      <c r="AP23" s="426" t="s">
        <v>767</v>
      </c>
      <c r="AQ23" s="417" t="s">
        <v>105</v>
      </c>
      <c r="AR23" s="417" t="s">
        <v>214</v>
      </c>
      <c r="AS23" s="426" t="s">
        <v>496</v>
      </c>
      <c r="AT23" s="417" t="s">
        <v>51</v>
      </c>
      <c r="AU23" s="417"/>
      <c r="AV23" s="417"/>
      <c r="AW23" s="417"/>
      <c r="AX23" s="417"/>
      <c r="AY23" s="2133"/>
      <c r="AZ23" s="2133"/>
      <c r="BA23" s="50">
        <v>11</v>
      </c>
      <c r="BB23" s="50"/>
      <c r="BC23" s="50"/>
    </row>
    <row r="24" spans="1:55" ht="28.5" customHeight="1">
      <c r="A24" s="2136" t="s">
        <v>215</v>
      </c>
      <c r="B24" s="2136"/>
      <c r="C24" s="2136"/>
      <c r="D24" s="2136"/>
      <c r="E24" s="2136"/>
      <c r="F24" s="2136"/>
      <c r="G24" s="2136"/>
      <c r="H24" s="2136"/>
      <c r="I24" s="2136"/>
      <c r="J24" s="2136"/>
      <c r="K24" s="2136"/>
      <c r="L24" s="2136"/>
      <c r="M24" s="2136"/>
      <c r="N24" s="2136"/>
      <c r="O24" s="2136"/>
      <c r="P24" s="2136"/>
      <c r="Q24" s="2136"/>
      <c r="R24" s="2136"/>
      <c r="S24" s="2136"/>
      <c r="T24" s="2136"/>
      <c r="U24" s="2136"/>
      <c r="V24" s="2136"/>
      <c r="W24" s="2136"/>
      <c r="X24" s="2136"/>
      <c r="Y24" s="2136"/>
      <c r="Z24" s="2136"/>
      <c r="AA24" s="2136" t="s">
        <v>215</v>
      </c>
      <c r="AB24" s="2136"/>
      <c r="AC24" s="2136"/>
      <c r="AD24" s="2136"/>
      <c r="AE24" s="2136"/>
      <c r="AF24" s="2136"/>
      <c r="AG24" s="2136"/>
      <c r="AH24" s="2136"/>
      <c r="AI24" s="2136"/>
      <c r="AJ24" s="2136"/>
      <c r="AK24" s="2136"/>
      <c r="AL24" s="2136"/>
      <c r="AM24" s="2136"/>
      <c r="AN24" s="2136"/>
      <c r="AO24" s="2136"/>
      <c r="AP24" s="2136"/>
      <c r="AQ24" s="2136"/>
      <c r="AR24" s="2136"/>
      <c r="AS24" s="2136"/>
      <c r="AT24" s="2136"/>
      <c r="AU24" s="2136"/>
      <c r="AV24" s="2136"/>
      <c r="AW24" s="2136"/>
      <c r="AX24" s="2136"/>
      <c r="AY24" s="2136"/>
      <c r="AZ24" s="2136"/>
      <c r="BA24" s="50">
        <v>12</v>
      </c>
      <c r="BB24" s="50"/>
      <c r="BC24" s="50"/>
    </row>
    <row r="25" spans="1:55" ht="28.5" customHeight="1">
      <c r="A25" s="2378"/>
      <c r="B25" s="2378"/>
      <c r="C25" s="2378"/>
      <c r="D25" s="2378"/>
      <c r="E25" s="417" t="s">
        <v>13</v>
      </c>
      <c r="F25" s="781"/>
      <c r="G25" s="782" t="s">
        <v>12</v>
      </c>
      <c r="H25" s="781"/>
      <c r="I25" s="782" t="s">
        <v>105</v>
      </c>
      <c r="J25" s="782" t="s">
        <v>73</v>
      </c>
      <c r="K25" s="781"/>
      <c r="L25" s="782" t="s">
        <v>51</v>
      </c>
      <c r="M25" s="782" t="s">
        <v>213</v>
      </c>
      <c r="N25" s="781"/>
      <c r="O25" s="782" t="s">
        <v>12</v>
      </c>
      <c r="P25" s="781"/>
      <c r="Q25" s="782" t="s">
        <v>105</v>
      </c>
      <c r="R25" s="782" t="s">
        <v>214</v>
      </c>
      <c r="S25" s="781"/>
      <c r="T25" s="417" t="s">
        <v>36</v>
      </c>
      <c r="U25" s="417"/>
      <c r="V25" s="417"/>
      <c r="W25" s="417"/>
      <c r="X25" s="417"/>
      <c r="Y25" s="2133"/>
      <c r="Z25" s="2133"/>
      <c r="AA25" s="2377" t="s">
        <v>797</v>
      </c>
      <c r="AB25" s="2377"/>
      <c r="AC25" s="2377"/>
      <c r="AD25" s="2377"/>
      <c r="AE25" s="417" t="s">
        <v>13</v>
      </c>
      <c r="AF25" s="426" t="s">
        <v>321</v>
      </c>
      <c r="AG25" s="417" t="s">
        <v>12</v>
      </c>
      <c r="AH25" s="426" t="s">
        <v>769</v>
      </c>
      <c r="AI25" s="417" t="s">
        <v>105</v>
      </c>
      <c r="AJ25" s="417" t="s">
        <v>37</v>
      </c>
      <c r="AK25" s="426" t="s">
        <v>419</v>
      </c>
      <c r="AL25" s="417" t="s">
        <v>216</v>
      </c>
      <c r="AM25" s="417" t="s">
        <v>102</v>
      </c>
      <c r="AN25" s="426" t="s">
        <v>321</v>
      </c>
      <c r="AO25" s="417" t="s">
        <v>12</v>
      </c>
      <c r="AP25" s="426" t="s">
        <v>770</v>
      </c>
      <c r="AQ25" s="417" t="s">
        <v>105</v>
      </c>
      <c r="AR25" s="417" t="s">
        <v>73</v>
      </c>
      <c r="AS25" s="426" t="s">
        <v>248</v>
      </c>
      <c r="AT25" s="417" t="s">
        <v>216</v>
      </c>
      <c r="AU25" s="417"/>
      <c r="AV25" s="417"/>
      <c r="AW25" s="417"/>
      <c r="AX25" s="417"/>
      <c r="AY25" s="2133"/>
      <c r="AZ25" s="2133"/>
      <c r="BA25" s="50">
        <v>13</v>
      </c>
      <c r="BB25" s="50"/>
      <c r="BC25" s="50"/>
    </row>
    <row r="26" spans="1:55" ht="28.5" customHeight="1">
      <c r="A26" s="2136" t="s">
        <v>217</v>
      </c>
      <c r="B26" s="2136"/>
      <c r="C26" s="2136"/>
      <c r="D26" s="2136"/>
      <c r="E26" s="2136"/>
      <c r="F26" s="2136"/>
      <c r="G26" s="2136"/>
      <c r="H26" s="2136"/>
      <c r="I26" s="2136"/>
      <c r="J26" s="2136"/>
      <c r="K26" s="2136"/>
      <c r="L26" s="2136"/>
      <c r="M26" s="2136"/>
      <c r="N26" s="2136"/>
      <c r="O26" s="2136"/>
      <c r="P26" s="2136"/>
      <c r="Q26" s="2136"/>
      <c r="R26" s="2136"/>
      <c r="S26" s="2136"/>
      <c r="T26" s="2136"/>
      <c r="U26" s="2136"/>
      <c r="V26" s="2136"/>
      <c r="W26" s="2136"/>
      <c r="X26" s="2136"/>
      <c r="Y26" s="2136"/>
      <c r="Z26" s="2136"/>
      <c r="AA26" s="2136" t="s">
        <v>217</v>
      </c>
      <c r="AB26" s="2136"/>
      <c r="AC26" s="2136"/>
      <c r="AD26" s="2136"/>
      <c r="AE26" s="2136"/>
      <c r="AF26" s="2136"/>
      <c r="AG26" s="2136"/>
      <c r="AH26" s="2136"/>
      <c r="AI26" s="2136"/>
      <c r="AJ26" s="2136"/>
      <c r="AK26" s="2136"/>
      <c r="AL26" s="2136"/>
      <c r="AM26" s="2136"/>
      <c r="AN26" s="2136"/>
      <c r="AO26" s="2136"/>
      <c r="AP26" s="2136"/>
      <c r="AQ26" s="2136"/>
      <c r="AR26" s="2136"/>
      <c r="AS26" s="2136"/>
      <c r="AT26" s="2136"/>
      <c r="AU26" s="2136"/>
      <c r="AV26" s="2136"/>
      <c r="AW26" s="2136"/>
      <c r="AX26" s="2136"/>
      <c r="AY26" s="2136"/>
      <c r="AZ26" s="2136"/>
      <c r="BA26" s="50">
        <v>14</v>
      </c>
      <c r="BB26" s="50"/>
      <c r="BC26" s="50"/>
    </row>
    <row r="27" spans="1:55" ht="28.5" customHeight="1">
      <c r="A27" s="2376"/>
      <c r="B27" s="2376"/>
      <c r="C27" s="2376"/>
      <c r="D27" s="2376"/>
      <c r="E27" s="417" t="s">
        <v>27</v>
      </c>
      <c r="F27" s="2133"/>
      <c r="G27" s="2133"/>
      <c r="H27" s="2133"/>
      <c r="I27" s="2133"/>
      <c r="J27" s="2133"/>
      <c r="K27" s="2133"/>
      <c r="L27" s="2133"/>
      <c r="M27" s="2133"/>
      <c r="N27" s="2133"/>
      <c r="O27" s="2133"/>
      <c r="P27" s="2133"/>
      <c r="Q27" s="2133"/>
      <c r="R27" s="2133"/>
      <c r="S27" s="2133"/>
      <c r="T27" s="2133"/>
      <c r="U27" s="2133"/>
      <c r="V27" s="2133"/>
      <c r="W27" s="2133"/>
      <c r="X27" s="2133"/>
      <c r="Y27" s="2133"/>
      <c r="Z27" s="2133"/>
      <c r="AA27" s="2377" t="s">
        <v>284</v>
      </c>
      <c r="AB27" s="2377"/>
      <c r="AC27" s="2377"/>
      <c r="AD27" s="2377"/>
      <c r="AE27" s="417" t="s">
        <v>27</v>
      </c>
      <c r="AF27" s="2133"/>
      <c r="AG27" s="2133"/>
      <c r="AH27" s="2133"/>
      <c r="AI27" s="2133"/>
      <c r="AJ27" s="2133"/>
      <c r="AK27" s="2133"/>
      <c r="AL27" s="2133"/>
      <c r="AM27" s="2133"/>
      <c r="AN27" s="2133"/>
      <c r="AO27" s="2133"/>
      <c r="AP27" s="2133"/>
      <c r="AQ27" s="2133"/>
      <c r="AR27" s="2133"/>
      <c r="AS27" s="2133"/>
      <c r="AT27" s="2133"/>
      <c r="AU27" s="2133"/>
      <c r="AV27" s="2133"/>
      <c r="AW27" s="2133"/>
      <c r="AX27" s="2133"/>
      <c r="AY27" s="2133"/>
      <c r="AZ27" s="2133"/>
      <c r="BA27" s="50">
        <v>15</v>
      </c>
      <c r="BB27" s="50"/>
      <c r="BC27" s="50"/>
    </row>
    <row r="28" spans="1:55" ht="28.5" customHeight="1">
      <c r="A28" s="2136" t="s">
        <v>218</v>
      </c>
      <c r="B28" s="2136"/>
      <c r="C28" s="2136"/>
      <c r="D28" s="2136"/>
      <c r="E28" s="2136"/>
      <c r="F28" s="2136"/>
      <c r="G28" s="2136"/>
      <c r="H28" s="2136"/>
      <c r="I28" s="2136"/>
      <c r="J28" s="2136"/>
      <c r="K28" s="2136"/>
      <c r="L28" s="2136"/>
      <c r="M28" s="2136"/>
      <c r="N28" s="2136"/>
      <c r="O28" s="2136"/>
      <c r="P28" s="2136"/>
      <c r="Q28" s="2136"/>
      <c r="R28" s="2136"/>
      <c r="S28" s="2136"/>
      <c r="T28" s="2136"/>
      <c r="U28" s="2136"/>
      <c r="V28" s="2136"/>
      <c r="W28" s="2136"/>
      <c r="X28" s="2136"/>
      <c r="Y28" s="2136"/>
      <c r="Z28" s="2136"/>
      <c r="AA28" s="2136" t="s">
        <v>218</v>
      </c>
      <c r="AB28" s="2136"/>
      <c r="AC28" s="2136"/>
      <c r="AD28" s="2136"/>
      <c r="AE28" s="2136"/>
      <c r="AF28" s="2136"/>
      <c r="AG28" s="2136"/>
      <c r="AH28" s="2136"/>
      <c r="AI28" s="2136"/>
      <c r="AJ28" s="2136"/>
      <c r="AK28" s="2136"/>
      <c r="AL28" s="2136"/>
      <c r="AM28" s="2136"/>
      <c r="AN28" s="2136"/>
      <c r="AO28" s="2136"/>
      <c r="AP28" s="2136"/>
      <c r="AQ28" s="2136"/>
      <c r="AR28" s="2136"/>
      <c r="AS28" s="2136"/>
      <c r="AT28" s="2136"/>
      <c r="AU28" s="2136"/>
      <c r="AV28" s="2136"/>
      <c r="AW28" s="2136"/>
      <c r="AX28" s="2136"/>
      <c r="AY28" s="2136"/>
      <c r="AZ28" s="2136"/>
      <c r="BA28" s="50">
        <v>16</v>
      </c>
      <c r="BB28" s="50"/>
      <c r="BC28" s="50"/>
    </row>
    <row r="29" spans="1:55" ht="159.94999999999999" customHeight="1">
      <c r="A29" s="2374"/>
      <c r="B29" s="2374"/>
      <c r="C29" s="2374"/>
      <c r="D29" s="2374"/>
      <c r="E29" s="2374"/>
      <c r="F29" s="2374"/>
      <c r="G29" s="2374"/>
      <c r="H29" s="2374"/>
      <c r="I29" s="2374"/>
      <c r="J29" s="2374"/>
      <c r="K29" s="2374"/>
      <c r="L29" s="2374"/>
      <c r="M29" s="2374"/>
      <c r="N29" s="2374"/>
      <c r="O29" s="2374"/>
      <c r="P29" s="2374"/>
      <c r="Q29" s="2374"/>
      <c r="R29" s="2374"/>
      <c r="S29" s="2374"/>
      <c r="T29" s="2374"/>
      <c r="U29" s="2374"/>
      <c r="V29" s="2374"/>
      <c r="W29" s="2374"/>
      <c r="X29" s="2374"/>
      <c r="Y29" s="2374"/>
      <c r="Z29" s="2374"/>
      <c r="AA29" s="2375" t="s">
        <v>219</v>
      </c>
      <c r="AB29" s="2375"/>
      <c r="AC29" s="2375"/>
      <c r="AD29" s="2375"/>
      <c r="AE29" s="2375"/>
      <c r="AF29" s="2375"/>
      <c r="AG29" s="2375"/>
      <c r="AH29" s="2375"/>
      <c r="AI29" s="2375"/>
      <c r="AJ29" s="2375"/>
      <c r="AK29" s="2375"/>
      <c r="AL29" s="2375"/>
      <c r="AM29" s="2375"/>
      <c r="AN29" s="2375"/>
      <c r="AO29" s="2375"/>
      <c r="AP29" s="2375"/>
      <c r="AQ29" s="2375"/>
      <c r="AR29" s="2375"/>
      <c r="AS29" s="2375"/>
      <c r="AT29" s="2375"/>
      <c r="AU29" s="2375"/>
      <c r="AV29" s="2375"/>
      <c r="AW29" s="2375"/>
      <c r="AX29" s="2375"/>
      <c r="AY29" s="2375"/>
      <c r="AZ29" s="2375"/>
      <c r="BA29" s="50">
        <v>17</v>
      </c>
      <c r="BB29" s="50"/>
      <c r="BC29" s="50"/>
    </row>
    <row r="30" spans="1:55" ht="14.25" customHeight="1">
      <c r="A30" s="31"/>
      <c r="B30" s="30"/>
      <c r="C30" s="30"/>
      <c r="D30" s="30"/>
      <c r="E30" s="30"/>
      <c r="F30" s="30"/>
      <c r="G30" s="30"/>
      <c r="H30" s="30"/>
      <c r="I30" s="30"/>
      <c r="J30" s="32"/>
      <c r="K30" s="32"/>
      <c r="L30" s="32"/>
      <c r="M30" s="32"/>
      <c r="N30" s="32"/>
      <c r="O30" s="32"/>
      <c r="P30" s="32"/>
      <c r="Q30" s="32"/>
      <c r="R30" s="32"/>
      <c r="S30" s="32"/>
      <c r="T30" s="32"/>
      <c r="U30" s="32"/>
      <c r="V30" s="32"/>
      <c r="W30" s="32"/>
      <c r="X30" s="32"/>
      <c r="Y30" s="32"/>
      <c r="Z30" s="32"/>
      <c r="AA30" s="31"/>
      <c r="AB30" s="30"/>
      <c r="AC30" s="30"/>
      <c r="AD30" s="30"/>
      <c r="AE30" s="30"/>
      <c r="AF30" s="30"/>
      <c r="AG30" s="30"/>
      <c r="AH30" s="30"/>
      <c r="AI30" s="30"/>
      <c r="AJ30" s="32"/>
      <c r="AK30" s="32"/>
      <c r="AL30" s="32"/>
      <c r="AM30" s="32"/>
      <c r="AN30" s="32"/>
      <c r="AO30" s="32"/>
      <c r="AP30" s="32"/>
      <c r="AQ30" s="32"/>
      <c r="AR30" s="32"/>
      <c r="AS30" s="32"/>
      <c r="AT30" s="32"/>
      <c r="AU30" s="32"/>
      <c r="AV30" s="32"/>
      <c r="AW30" s="32"/>
      <c r="AX30" s="32"/>
      <c r="AY30" s="32"/>
      <c r="AZ30" s="32"/>
      <c r="BA30" s="50">
        <v>18</v>
      </c>
      <c r="BB30" s="50"/>
      <c r="BC30" s="50"/>
    </row>
    <row r="31" spans="1:55" ht="14.25">
      <c r="A31" s="30"/>
      <c r="B31" s="30"/>
      <c r="C31" s="30"/>
      <c r="D31" s="30"/>
      <c r="E31" s="30"/>
      <c r="F31" s="30"/>
      <c r="G31" s="30"/>
      <c r="H31" s="30"/>
      <c r="I31" s="30"/>
      <c r="J31" s="32"/>
      <c r="K31" s="32"/>
      <c r="L31" s="32"/>
      <c r="M31" s="32"/>
      <c r="N31" s="32"/>
      <c r="O31" s="32"/>
      <c r="P31" s="32"/>
      <c r="Q31" s="32"/>
      <c r="R31" s="32"/>
      <c r="S31" s="32"/>
      <c r="T31" s="32"/>
      <c r="U31" s="32"/>
      <c r="V31" s="32"/>
      <c r="W31" s="32"/>
      <c r="X31" s="32"/>
      <c r="Y31" s="32"/>
      <c r="Z31" s="32"/>
      <c r="AA31" s="30"/>
      <c r="AB31" s="30"/>
      <c r="AC31" s="30"/>
      <c r="AD31" s="30"/>
      <c r="AE31" s="30"/>
      <c r="AF31" s="30"/>
      <c r="AG31" s="30"/>
      <c r="AH31" s="30"/>
      <c r="AI31" s="30"/>
      <c r="AJ31" s="32"/>
      <c r="AK31" s="32"/>
      <c r="AL31" s="32"/>
      <c r="AM31" s="32"/>
      <c r="AN31" s="32"/>
      <c r="AO31" s="32"/>
      <c r="AP31" s="32"/>
      <c r="AQ31" s="32"/>
      <c r="AR31" s="32"/>
      <c r="AS31" s="32"/>
      <c r="AT31" s="32"/>
      <c r="AU31" s="32"/>
      <c r="AV31" s="32"/>
      <c r="AW31" s="32"/>
      <c r="AX31" s="32"/>
      <c r="AY31" s="32"/>
      <c r="AZ31" s="32"/>
      <c r="BA31" s="50">
        <v>19</v>
      </c>
      <c r="BB31" s="50"/>
      <c r="BC31" s="50"/>
    </row>
    <row r="32" spans="1:55" ht="14.25">
      <c r="A32" s="30"/>
      <c r="B32" s="30"/>
      <c r="C32" s="30"/>
      <c r="D32" s="30"/>
      <c r="E32" s="30"/>
      <c r="F32" s="30"/>
      <c r="G32" s="30"/>
      <c r="H32" s="30"/>
      <c r="I32" s="30"/>
      <c r="J32" s="32"/>
      <c r="K32" s="32"/>
      <c r="L32" s="32"/>
      <c r="M32" s="32"/>
      <c r="N32" s="32"/>
      <c r="O32" s="32"/>
      <c r="P32" s="32"/>
      <c r="Q32" s="32"/>
      <c r="R32" s="32"/>
      <c r="S32" s="32"/>
      <c r="T32" s="32"/>
      <c r="U32" s="32"/>
      <c r="V32" s="32"/>
      <c r="W32" s="32"/>
      <c r="X32" s="32"/>
      <c r="Y32" s="32"/>
      <c r="Z32" s="32"/>
      <c r="AA32" s="30"/>
      <c r="AB32" s="30"/>
      <c r="AC32" s="30"/>
      <c r="AD32" s="30"/>
      <c r="AE32" s="30"/>
      <c r="AF32" s="30"/>
      <c r="AG32" s="30"/>
      <c r="AH32" s="30"/>
      <c r="AI32" s="30"/>
      <c r="AJ32" s="32"/>
      <c r="AK32" s="32"/>
      <c r="AL32" s="32"/>
      <c r="AM32" s="32"/>
      <c r="AN32" s="32"/>
      <c r="AO32" s="32"/>
      <c r="AP32" s="32"/>
      <c r="AQ32" s="32"/>
      <c r="AR32" s="32"/>
      <c r="AS32" s="32"/>
      <c r="AT32" s="32"/>
      <c r="AU32" s="32"/>
      <c r="AV32" s="32"/>
      <c r="AW32" s="32"/>
      <c r="AX32" s="32"/>
      <c r="AY32" s="32"/>
      <c r="AZ32" s="32"/>
      <c r="BA32" s="50">
        <v>20</v>
      </c>
      <c r="BB32" s="50"/>
      <c r="BC32" s="50"/>
    </row>
    <row r="33" spans="1:55" ht="14.25">
      <c r="A33" s="30"/>
      <c r="B33" s="30"/>
      <c r="C33" s="30"/>
      <c r="D33" s="30"/>
      <c r="E33" s="30"/>
      <c r="F33" s="30"/>
      <c r="G33" s="30"/>
      <c r="H33" s="30"/>
      <c r="I33" s="30"/>
      <c r="J33" s="32"/>
      <c r="K33" s="32"/>
      <c r="L33" s="32"/>
      <c r="M33" s="32"/>
      <c r="N33" s="32"/>
      <c r="O33" s="32"/>
      <c r="P33" s="32"/>
      <c r="Q33" s="32"/>
      <c r="R33" s="32"/>
      <c r="S33" s="32"/>
      <c r="T33" s="32"/>
      <c r="U33" s="32"/>
      <c r="V33" s="32"/>
      <c r="W33" s="32"/>
      <c r="X33" s="32"/>
      <c r="Y33" s="32"/>
      <c r="Z33" s="32"/>
      <c r="AA33" s="30"/>
      <c r="AB33" s="30"/>
      <c r="AC33" s="30"/>
      <c r="AD33" s="30"/>
      <c r="AE33" s="30"/>
      <c r="AF33" s="30"/>
      <c r="AG33" s="30"/>
      <c r="AH33" s="30"/>
      <c r="AI33" s="30"/>
      <c r="AJ33" s="32"/>
      <c r="AK33" s="32"/>
      <c r="AL33" s="32"/>
      <c r="AM33" s="32"/>
      <c r="AN33" s="32"/>
      <c r="AO33" s="32"/>
      <c r="AP33" s="32"/>
      <c r="AQ33" s="32"/>
      <c r="AR33" s="32"/>
      <c r="AS33" s="32"/>
      <c r="AT33" s="32"/>
      <c r="AU33" s="32"/>
      <c r="AV33" s="32"/>
      <c r="AW33" s="32"/>
      <c r="AX33" s="32"/>
      <c r="AY33" s="32"/>
      <c r="AZ33" s="32"/>
      <c r="BA33" s="50">
        <v>21</v>
      </c>
      <c r="BB33" s="50"/>
      <c r="BC33" s="50"/>
    </row>
    <row r="34" spans="1:55" ht="14.25">
      <c r="A34" s="30"/>
      <c r="B34" s="30"/>
      <c r="C34" s="30"/>
      <c r="D34" s="30"/>
      <c r="E34" s="30"/>
      <c r="F34" s="30"/>
      <c r="G34" s="30"/>
      <c r="H34" s="30"/>
      <c r="I34" s="30"/>
      <c r="J34" s="32"/>
      <c r="K34" s="32"/>
      <c r="L34" s="32"/>
      <c r="M34" s="32"/>
      <c r="N34" s="32"/>
      <c r="O34" s="32"/>
      <c r="P34" s="32"/>
      <c r="Q34" s="32"/>
      <c r="R34" s="32"/>
      <c r="S34" s="32"/>
      <c r="T34" s="32"/>
      <c r="U34" s="32"/>
      <c r="V34" s="32"/>
      <c r="W34" s="32"/>
      <c r="X34" s="32"/>
      <c r="Y34" s="32"/>
      <c r="Z34" s="32"/>
      <c r="AA34" s="30"/>
      <c r="AB34" s="30"/>
      <c r="AC34" s="30"/>
      <c r="AD34" s="30"/>
      <c r="AE34" s="30"/>
      <c r="AF34" s="30"/>
      <c r="AG34" s="30"/>
      <c r="AH34" s="30"/>
      <c r="AI34" s="30"/>
      <c r="AJ34" s="32"/>
      <c r="AK34" s="32"/>
      <c r="AL34" s="32"/>
      <c r="AM34" s="32"/>
      <c r="AN34" s="32"/>
      <c r="AO34" s="32"/>
      <c r="AP34" s="32"/>
      <c r="AQ34" s="32"/>
      <c r="AR34" s="32"/>
      <c r="AS34" s="32"/>
      <c r="AT34" s="32"/>
      <c r="AU34" s="32"/>
      <c r="AV34" s="32"/>
      <c r="AW34" s="32"/>
      <c r="AX34" s="32"/>
      <c r="AY34" s="32"/>
      <c r="AZ34" s="32"/>
      <c r="BA34" s="50">
        <v>22</v>
      </c>
      <c r="BB34" s="50"/>
      <c r="BC34" s="50"/>
    </row>
    <row r="35" spans="1:55" ht="14.25">
      <c r="A35" s="30"/>
      <c r="B35" s="30"/>
      <c r="C35" s="30"/>
      <c r="D35" s="30"/>
      <c r="E35" s="30"/>
      <c r="F35" s="30"/>
      <c r="G35" s="30"/>
      <c r="H35" s="30"/>
      <c r="I35" s="30"/>
      <c r="J35" s="32"/>
      <c r="K35" s="32"/>
      <c r="L35" s="32"/>
      <c r="M35" s="32"/>
      <c r="N35" s="32"/>
      <c r="O35" s="32"/>
      <c r="P35" s="32"/>
      <c r="Q35" s="32"/>
      <c r="R35" s="32"/>
      <c r="S35" s="32"/>
      <c r="T35" s="32"/>
      <c r="U35" s="32"/>
      <c r="V35" s="32"/>
      <c r="W35" s="32"/>
      <c r="X35" s="32"/>
      <c r="Y35" s="32"/>
      <c r="Z35" s="32"/>
      <c r="AA35" s="30"/>
      <c r="AB35" s="30"/>
      <c r="AC35" s="30"/>
      <c r="AD35" s="30"/>
      <c r="AE35" s="30"/>
      <c r="AF35" s="30"/>
      <c r="AG35" s="30"/>
      <c r="AH35" s="30"/>
      <c r="AI35" s="30"/>
      <c r="AJ35" s="32"/>
      <c r="AK35" s="32"/>
      <c r="AL35" s="32"/>
      <c r="AM35" s="32"/>
      <c r="AN35" s="32"/>
      <c r="AO35" s="32"/>
      <c r="AP35" s="32"/>
      <c r="AQ35" s="32"/>
      <c r="AR35" s="32"/>
      <c r="AS35" s="32"/>
      <c r="AT35" s="32"/>
      <c r="AU35" s="32"/>
      <c r="AV35" s="32"/>
      <c r="AW35" s="32"/>
      <c r="AX35" s="32"/>
      <c r="AY35" s="32"/>
      <c r="AZ35" s="32"/>
      <c r="BA35" s="50">
        <v>23</v>
      </c>
      <c r="BB35" s="50"/>
      <c r="BC35" s="50"/>
    </row>
    <row r="36" spans="1:55" ht="14.25">
      <c r="A36" s="30"/>
      <c r="B36" s="30"/>
      <c r="C36" s="30"/>
      <c r="D36" s="30"/>
      <c r="E36" s="30"/>
      <c r="F36" s="30"/>
      <c r="G36" s="30"/>
      <c r="H36" s="30"/>
      <c r="I36" s="30"/>
      <c r="J36" s="32"/>
      <c r="K36" s="32"/>
      <c r="L36" s="32"/>
      <c r="M36" s="32"/>
      <c r="N36" s="32"/>
      <c r="O36" s="32"/>
      <c r="P36" s="32"/>
      <c r="Q36" s="32"/>
      <c r="R36" s="32"/>
      <c r="S36" s="32"/>
      <c r="T36" s="32"/>
      <c r="U36" s="32"/>
      <c r="V36" s="32"/>
      <c r="W36" s="32"/>
      <c r="X36" s="32"/>
      <c r="Y36" s="32"/>
      <c r="Z36" s="32"/>
      <c r="AA36" s="30"/>
      <c r="AB36" s="30"/>
      <c r="AC36" s="30"/>
      <c r="AD36" s="30"/>
      <c r="AE36" s="30"/>
      <c r="AF36" s="30"/>
      <c r="AG36" s="30"/>
      <c r="AH36" s="30"/>
      <c r="AI36" s="30"/>
      <c r="AJ36" s="32"/>
      <c r="AK36" s="32"/>
      <c r="AL36" s="32"/>
      <c r="AM36" s="32"/>
      <c r="AN36" s="32"/>
      <c r="AO36" s="32"/>
      <c r="AP36" s="32"/>
      <c r="AQ36" s="32"/>
      <c r="AR36" s="32"/>
      <c r="AS36" s="32"/>
      <c r="AT36" s="32"/>
      <c r="AU36" s="32"/>
      <c r="AV36" s="32"/>
      <c r="AW36" s="32"/>
      <c r="AX36" s="32"/>
      <c r="AY36" s="32"/>
      <c r="AZ36" s="32"/>
      <c r="BA36" s="50">
        <v>24</v>
      </c>
      <c r="BB36" s="50"/>
      <c r="BC36" s="50"/>
    </row>
    <row r="37" spans="1:55" ht="14.25">
      <c r="A37" s="30"/>
      <c r="B37" s="30"/>
      <c r="C37" s="30"/>
      <c r="D37" s="30"/>
      <c r="E37" s="30"/>
      <c r="F37" s="30"/>
      <c r="G37" s="30"/>
      <c r="H37" s="30"/>
      <c r="I37" s="30"/>
      <c r="J37" s="32"/>
      <c r="K37" s="32"/>
      <c r="L37" s="32"/>
      <c r="M37" s="32"/>
      <c r="N37" s="32"/>
      <c r="O37" s="32"/>
      <c r="P37" s="32"/>
      <c r="Q37" s="32"/>
      <c r="R37" s="32"/>
      <c r="S37" s="32"/>
      <c r="T37" s="32"/>
      <c r="U37" s="32"/>
      <c r="V37" s="32"/>
      <c r="W37" s="32"/>
      <c r="X37" s="32"/>
      <c r="Y37" s="32"/>
      <c r="Z37" s="32"/>
      <c r="AA37" s="30"/>
      <c r="AB37" s="30"/>
      <c r="AC37" s="30"/>
      <c r="AD37" s="30"/>
      <c r="AE37" s="30"/>
      <c r="AF37" s="30"/>
      <c r="AG37" s="30"/>
      <c r="AH37" s="30"/>
      <c r="AI37" s="30"/>
      <c r="AJ37" s="32"/>
      <c r="AK37" s="32"/>
      <c r="AL37" s="32"/>
      <c r="AM37" s="32"/>
      <c r="AN37" s="32"/>
      <c r="AO37" s="32"/>
      <c r="AP37" s="32"/>
      <c r="AQ37" s="32"/>
      <c r="AR37" s="32"/>
      <c r="AS37" s="32"/>
      <c r="AT37" s="32"/>
      <c r="AU37" s="32"/>
      <c r="AV37" s="32"/>
      <c r="AW37" s="32"/>
      <c r="AX37" s="32"/>
      <c r="AY37" s="32"/>
      <c r="AZ37" s="32"/>
      <c r="BA37" s="50">
        <v>25</v>
      </c>
      <c r="BB37" s="50"/>
      <c r="BC37" s="50"/>
    </row>
    <row r="38" spans="1:55" ht="14.25">
      <c r="A38" s="30"/>
      <c r="B38" s="30"/>
      <c r="C38" s="30"/>
      <c r="D38" s="30"/>
      <c r="E38" s="30"/>
      <c r="F38" s="30"/>
      <c r="G38" s="30"/>
      <c r="H38" s="30"/>
      <c r="I38" s="30"/>
      <c r="J38" s="32"/>
      <c r="K38" s="32"/>
      <c r="L38" s="32"/>
      <c r="M38" s="32"/>
      <c r="N38" s="32"/>
      <c r="O38" s="32"/>
      <c r="P38" s="32"/>
      <c r="Q38" s="32"/>
      <c r="R38" s="32"/>
      <c r="S38" s="32"/>
      <c r="T38" s="32"/>
      <c r="U38" s="32"/>
      <c r="V38" s="32"/>
      <c r="W38" s="32"/>
      <c r="X38" s="32"/>
      <c r="Y38" s="32"/>
      <c r="Z38" s="32"/>
      <c r="AA38" s="30"/>
      <c r="AB38" s="30"/>
      <c r="AC38" s="30"/>
      <c r="AD38" s="30"/>
      <c r="AE38" s="30"/>
      <c r="AF38" s="30"/>
      <c r="AG38" s="30"/>
      <c r="AH38" s="30"/>
      <c r="AI38" s="30"/>
      <c r="AJ38" s="32"/>
      <c r="AK38" s="32"/>
      <c r="AL38" s="32"/>
      <c r="AM38" s="32"/>
      <c r="AN38" s="32"/>
      <c r="AO38" s="32"/>
      <c r="AP38" s="32"/>
      <c r="AQ38" s="32"/>
      <c r="AR38" s="32"/>
      <c r="AS38" s="32"/>
      <c r="AT38" s="32"/>
      <c r="AU38" s="32"/>
      <c r="AV38" s="32"/>
      <c r="AW38" s="32"/>
      <c r="AX38" s="32"/>
      <c r="AY38" s="32"/>
      <c r="AZ38" s="32"/>
      <c r="BA38" s="50">
        <v>26</v>
      </c>
      <c r="BB38" s="50"/>
      <c r="BC38" s="50"/>
    </row>
    <row r="39" spans="1:55" ht="14.25">
      <c r="A39" s="32"/>
      <c r="B39" s="32"/>
      <c r="C39" s="32"/>
      <c r="D39" s="32"/>
      <c r="E39" s="32"/>
      <c r="F39" s="32"/>
      <c r="G39" s="32"/>
      <c r="H39" s="32"/>
      <c r="I39" s="32"/>
      <c r="J39" s="32"/>
      <c r="K39" s="32"/>
      <c r="L39" s="32"/>
      <c r="M39" s="32"/>
      <c r="N39" s="32"/>
      <c r="O39" s="32"/>
      <c r="P39" s="32"/>
      <c r="Q39" s="32"/>
      <c r="R39" s="32"/>
      <c r="S39" s="32"/>
      <c r="T39" s="32"/>
      <c r="U39" s="32"/>
      <c r="V39" s="32"/>
      <c r="W39" s="32"/>
      <c r="X39" s="32"/>
      <c r="Y39" s="32"/>
      <c r="Z39" s="32"/>
      <c r="AA39" s="32"/>
      <c r="AB39" s="32"/>
      <c r="AC39" s="32"/>
      <c r="AD39" s="32"/>
      <c r="AE39" s="32"/>
      <c r="AF39" s="32"/>
      <c r="AG39" s="32"/>
      <c r="AH39" s="32"/>
      <c r="AI39" s="32"/>
      <c r="AJ39" s="32"/>
      <c r="AK39" s="32"/>
      <c r="AL39" s="32"/>
      <c r="AM39" s="32"/>
      <c r="AN39" s="32"/>
      <c r="AO39" s="32"/>
      <c r="AP39" s="32"/>
      <c r="AQ39" s="32"/>
      <c r="AR39" s="32"/>
      <c r="AS39" s="32"/>
      <c r="AT39" s="32"/>
      <c r="AU39" s="32"/>
      <c r="AV39" s="32"/>
      <c r="AW39" s="32"/>
      <c r="AX39" s="32"/>
      <c r="AY39" s="32"/>
      <c r="AZ39" s="32"/>
      <c r="BA39" s="50">
        <v>27</v>
      </c>
      <c r="BB39" s="50"/>
      <c r="BC39" s="50"/>
    </row>
    <row r="40" spans="1:55" ht="14.25">
      <c r="A40" s="32"/>
      <c r="B40" s="32"/>
      <c r="C40" s="32"/>
      <c r="D40" s="32"/>
      <c r="E40" s="32"/>
      <c r="F40" s="32"/>
      <c r="G40" s="32"/>
      <c r="H40" s="32"/>
      <c r="I40" s="32"/>
      <c r="J40" s="32"/>
      <c r="K40" s="32"/>
      <c r="L40" s="32"/>
      <c r="M40" s="32"/>
      <c r="N40" s="32"/>
      <c r="O40" s="32"/>
      <c r="P40" s="32"/>
      <c r="Q40" s="32"/>
      <c r="R40" s="32"/>
      <c r="S40" s="32"/>
      <c r="T40" s="32"/>
      <c r="U40" s="32"/>
      <c r="V40" s="32"/>
      <c r="W40" s="32"/>
      <c r="X40" s="32"/>
      <c r="Y40" s="32"/>
      <c r="Z40" s="32"/>
      <c r="AA40" s="32"/>
      <c r="AB40" s="32"/>
      <c r="AC40" s="32"/>
      <c r="AD40" s="32"/>
      <c r="AE40" s="32"/>
      <c r="AF40" s="32"/>
      <c r="AG40" s="32"/>
      <c r="AH40" s="32"/>
      <c r="AI40" s="32"/>
      <c r="AJ40" s="32"/>
      <c r="AK40" s="32"/>
      <c r="AL40" s="32"/>
      <c r="AM40" s="32"/>
      <c r="AN40" s="32"/>
      <c r="AO40" s="32"/>
      <c r="AP40" s="32"/>
      <c r="AQ40" s="32"/>
      <c r="AR40" s="32"/>
      <c r="AS40" s="32"/>
      <c r="AT40" s="32"/>
      <c r="AU40" s="32"/>
      <c r="AV40" s="32"/>
      <c r="AW40" s="32"/>
      <c r="AX40" s="32"/>
      <c r="AY40" s="32"/>
      <c r="AZ40" s="32"/>
      <c r="BA40" s="50">
        <v>28</v>
      </c>
      <c r="BB40" s="50"/>
      <c r="BC40" s="50"/>
    </row>
    <row r="41" spans="1:55" ht="14.25">
      <c r="A41" s="32"/>
      <c r="B41" s="32"/>
      <c r="C41" s="32"/>
      <c r="D41" s="32"/>
      <c r="E41" s="32"/>
      <c r="F41" s="32"/>
      <c r="G41" s="32"/>
      <c r="H41" s="32"/>
      <c r="I41" s="32"/>
      <c r="J41" s="32"/>
      <c r="K41" s="32"/>
      <c r="L41" s="32"/>
      <c r="M41" s="32"/>
      <c r="N41" s="32"/>
      <c r="O41" s="32"/>
      <c r="P41" s="32"/>
      <c r="Q41" s="32"/>
      <c r="R41" s="32"/>
      <c r="S41" s="32"/>
      <c r="T41" s="32"/>
      <c r="U41" s="32"/>
      <c r="V41" s="32"/>
      <c r="W41" s="32"/>
      <c r="X41" s="32"/>
      <c r="Y41" s="32"/>
      <c r="Z41" s="32"/>
      <c r="AA41" s="32"/>
      <c r="AB41" s="32"/>
      <c r="AC41" s="32"/>
      <c r="AD41" s="32"/>
      <c r="AE41" s="32"/>
      <c r="AF41" s="32"/>
      <c r="AG41" s="32"/>
      <c r="AH41" s="32"/>
      <c r="AI41" s="32"/>
      <c r="AJ41" s="32"/>
      <c r="AK41" s="32"/>
      <c r="AL41" s="32"/>
      <c r="AM41" s="32"/>
      <c r="AN41" s="32"/>
      <c r="AO41" s="32"/>
      <c r="AP41" s="32"/>
      <c r="AQ41" s="32"/>
      <c r="AR41" s="32"/>
      <c r="AS41" s="32"/>
      <c r="AT41" s="32"/>
      <c r="AU41" s="32"/>
      <c r="AV41" s="32"/>
      <c r="AW41" s="32"/>
      <c r="AX41" s="32"/>
      <c r="AY41" s="32"/>
      <c r="AZ41" s="32"/>
      <c r="BA41" s="50">
        <v>29</v>
      </c>
      <c r="BB41" s="50"/>
      <c r="BC41" s="50"/>
    </row>
    <row r="42" spans="1:55" ht="14.25">
      <c r="A42" s="32"/>
      <c r="B42" s="32"/>
      <c r="C42" s="32"/>
      <c r="D42" s="32"/>
      <c r="E42" s="32"/>
      <c r="F42" s="32"/>
      <c r="G42" s="32"/>
      <c r="H42" s="32"/>
      <c r="I42" s="32"/>
      <c r="J42" s="32"/>
      <c r="K42" s="32"/>
      <c r="L42" s="32"/>
      <c r="M42" s="32"/>
      <c r="N42" s="32"/>
      <c r="O42" s="32"/>
      <c r="P42" s="32"/>
      <c r="Q42" s="32"/>
      <c r="R42" s="32"/>
      <c r="S42" s="32"/>
      <c r="T42" s="32"/>
      <c r="U42" s="32"/>
      <c r="V42" s="32"/>
      <c r="W42" s="32"/>
      <c r="X42" s="32"/>
      <c r="Y42" s="32"/>
      <c r="Z42" s="32"/>
      <c r="AA42" s="32"/>
      <c r="AB42" s="32"/>
      <c r="AC42" s="32"/>
      <c r="AD42" s="32"/>
      <c r="AE42" s="32"/>
      <c r="AF42" s="32"/>
      <c r="AG42" s="32"/>
      <c r="AH42" s="32"/>
      <c r="AI42" s="32"/>
      <c r="AJ42" s="32"/>
      <c r="AK42" s="32"/>
      <c r="AL42" s="32"/>
      <c r="AM42" s="32"/>
      <c r="AN42" s="32"/>
      <c r="AO42" s="32"/>
      <c r="AP42" s="32"/>
      <c r="AQ42" s="32"/>
      <c r="AR42" s="32"/>
      <c r="AS42" s="32"/>
      <c r="AT42" s="32"/>
      <c r="AU42" s="32"/>
      <c r="AV42" s="32"/>
      <c r="AW42" s="32"/>
      <c r="AX42" s="32"/>
      <c r="AY42" s="32"/>
      <c r="AZ42" s="32"/>
      <c r="BA42" s="50">
        <v>30</v>
      </c>
      <c r="BB42" s="50"/>
      <c r="BC42" s="50"/>
    </row>
    <row r="43" spans="1:55" ht="14.25">
      <c r="A43" s="32"/>
      <c r="B43" s="32"/>
      <c r="C43" s="32"/>
      <c r="D43" s="32"/>
      <c r="E43" s="32"/>
      <c r="F43" s="32"/>
      <c r="G43" s="32"/>
      <c r="H43" s="32"/>
      <c r="I43" s="32"/>
      <c r="J43" s="32"/>
      <c r="K43" s="32"/>
      <c r="L43" s="32"/>
      <c r="M43" s="32"/>
      <c r="N43" s="32"/>
      <c r="O43" s="32"/>
      <c r="P43" s="32"/>
      <c r="Q43" s="32"/>
      <c r="R43" s="32"/>
      <c r="S43" s="32"/>
      <c r="T43" s="32"/>
      <c r="U43" s="32"/>
      <c r="V43" s="32"/>
      <c r="W43" s="32"/>
      <c r="X43" s="32"/>
      <c r="Y43" s="32"/>
      <c r="Z43" s="32"/>
      <c r="AA43" s="32"/>
      <c r="AB43" s="32"/>
      <c r="AC43" s="32"/>
      <c r="AD43" s="32"/>
      <c r="AE43" s="32"/>
      <c r="AF43" s="32"/>
      <c r="AG43" s="32"/>
      <c r="AH43" s="32"/>
      <c r="AI43" s="32"/>
      <c r="AJ43" s="32"/>
      <c r="AK43" s="32"/>
      <c r="AL43" s="32"/>
      <c r="AM43" s="32"/>
      <c r="AN43" s="32"/>
      <c r="AO43" s="32"/>
      <c r="AP43" s="32"/>
      <c r="AQ43" s="32"/>
      <c r="AR43" s="32"/>
      <c r="AS43" s="32"/>
      <c r="AT43" s="32"/>
      <c r="AU43" s="32"/>
      <c r="AV43" s="32"/>
      <c r="AW43" s="32"/>
      <c r="AX43" s="32"/>
      <c r="AY43" s="32"/>
      <c r="AZ43" s="32"/>
      <c r="BA43" s="50">
        <v>31</v>
      </c>
      <c r="BB43" s="50"/>
      <c r="BC43" s="50"/>
    </row>
    <row r="44" spans="1:55" ht="14.25">
      <c r="A44" s="32"/>
      <c r="B44" s="32"/>
      <c r="C44" s="32"/>
      <c r="D44" s="32"/>
      <c r="E44" s="32"/>
      <c r="F44" s="32"/>
      <c r="G44" s="32"/>
      <c r="H44" s="32"/>
      <c r="I44" s="32"/>
      <c r="J44" s="32"/>
      <c r="K44" s="32"/>
      <c r="L44" s="32"/>
      <c r="M44" s="32"/>
      <c r="N44" s="32"/>
      <c r="O44" s="32"/>
      <c r="P44" s="32"/>
      <c r="Q44" s="32"/>
      <c r="R44" s="32"/>
      <c r="S44" s="32"/>
      <c r="T44" s="32"/>
      <c r="U44" s="32"/>
      <c r="V44" s="32"/>
      <c r="W44" s="32"/>
      <c r="X44" s="32"/>
      <c r="Y44" s="32"/>
      <c r="Z44" s="32"/>
      <c r="AA44" s="32"/>
      <c r="AB44" s="32"/>
      <c r="AC44" s="32"/>
      <c r="AD44" s="32"/>
      <c r="AE44" s="32"/>
      <c r="AF44" s="32"/>
      <c r="AG44" s="32"/>
      <c r="AH44" s="32"/>
      <c r="AI44" s="32"/>
      <c r="AJ44" s="32"/>
      <c r="AK44" s="32"/>
      <c r="AL44" s="32"/>
      <c r="AM44" s="32"/>
      <c r="AN44" s="32"/>
      <c r="AO44" s="32"/>
      <c r="AP44" s="32"/>
      <c r="AQ44" s="32"/>
      <c r="AR44" s="32"/>
      <c r="AS44" s="32"/>
      <c r="AT44" s="32"/>
      <c r="AU44" s="32"/>
      <c r="AV44" s="32"/>
      <c r="AW44" s="32"/>
      <c r="AX44" s="32"/>
      <c r="AY44" s="32"/>
      <c r="AZ44" s="32"/>
    </row>
    <row r="45" spans="1:55" ht="14.25">
      <c r="A45" s="32"/>
      <c r="B45" s="32"/>
      <c r="C45" s="32"/>
      <c r="D45" s="32"/>
      <c r="E45" s="32"/>
      <c r="F45" s="32"/>
      <c r="G45" s="32"/>
      <c r="H45" s="32"/>
      <c r="I45" s="32"/>
      <c r="J45" s="32"/>
      <c r="K45" s="32"/>
      <c r="L45" s="32"/>
      <c r="M45" s="32"/>
      <c r="N45" s="32"/>
      <c r="O45" s="32"/>
      <c r="P45" s="32"/>
      <c r="Q45" s="32"/>
      <c r="R45" s="32"/>
      <c r="S45" s="32"/>
      <c r="T45" s="32"/>
      <c r="U45" s="32"/>
      <c r="V45" s="32"/>
      <c r="W45" s="32"/>
      <c r="X45" s="32"/>
      <c r="Y45" s="32"/>
      <c r="Z45" s="32"/>
      <c r="AA45" s="32"/>
      <c r="AB45" s="32"/>
      <c r="AC45" s="32"/>
      <c r="AD45" s="32"/>
      <c r="AE45" s="32"/>
      <c r="AF45" s="32"/>
      <c r="AG45" s="32"/>
      <c r="AH45" s="32"/>
      <c r="AI45" s="32"/>
      <c r="AJ45" s="32"/>
      <c r="AK45" s="32"/>
      <c r="AL45" s="32"/>
      <c r="AM45" s="32"/>
      <c r="AN45" s="32"/>
      <c r="AO45" s="32"/>
      <c r="AP45" s="32"/>
      <c r="AQ45" s="32"/>
      <c r="AR45" s="32"/>
      <c r="AS45" s="32"/>
      <c r="AT45" s="32"/>
      <c r="AU45" s="32"/>
      <c r="AV45" s="32"/>
      <c r="AW45" s="32"/>
      <c r="AX45" s="32"/>
      <c r="AY45" s="32"/>
      <c r="AZ45" s="32"/>
    </row>
    <row r="46" spans="1:55" ht="14.25">
      <c r="A46" s="32"/>
      <c r="B46" s="32"/>
      <c r="C46" s="32"/>
      <c r="D46" s="32"/>
      <c r="E46" s="32"/>
      <c r="F46" s="32"/>
      <c r="G46" s="32"/>
      <c r="H46" s="32"/>
      <c r="I46" s="32"/>
      <c r="J46" s="32"/>
      <c r="K46" s="32"/>
      <c r="L46" s="32"/>
      <c r="M46" s="32"/>
      <c r="N46" s="32"/>
      <c r="O46" s="32"/>
      <c r="P46" s="32"/>
      <c r="Q46" s="32"/>
      <c r="R46" s="32"/>
      <c r="S46" s="32"/>
      <c r="T46" s="32"/>
      <c r="U46" s="32"/>
      <c r="V46" s="32"/>
      <c r="W46" s="32"/>
      <c r="X46" s="32"/>
      <c r="Y46" s="32"/>
      <c r="Z46" s="32"/>
      <c r="AA46" s="32"/>
      <c r="AB46" s="32"/>
      <c r="AC46" s="32"/>
      <c r="AD46" s="32"/>
      <c r="AE46" s="32"/>
      <c r="AF46" s="32"/>
      <c r="AG46" s="32"/>
      <c r="AH46" s="32"/>
      <c r="AI46" s="32"/>
      <c r="AJ46" s="32"/>
      <c r="AK46" s="32"/>
      <c r="AL46" s="32"/>
      <c r="AM46" s="32"/>
      <c r="AN46" s="32"/>
      <c r="AO46" s="32"/>
      <c r="AP46" s="32"/>
      <c r="AQ46" s="32"/>
      <c r="AR46" s="32"/>
      <c r="AS46" s="32"/>
      <c r="AT46" s="32"/>
      <c r="AU46" s="32"/>
      <c r="AV46" s="32"/>
      <c r="AW46" s="32"/>
      <c r="AX46" s="32"/>
      <c r="AY46" s="32"/>
      <c r="AZ46" s="32"/>
    </row>
    <row r="47" spans="1:55" ht="14.25">
      <c r="A47" s="32"/>
      <c r="B47" s="32"/>
      <c r="C47" s="32"/>
      <c r="D47" s="32"/>
      <c r="E47" s="32"/>
      <c r="F47" s="32"/>
      <c r="G47" s="32"/>
      <c r="H47" s="32"/>
      <c r="I47" s="32"/>
      <c r="J47" s="32"/>
      <c r="K47" s="32"/>
      <c r="L47" s="32"/>
      <c r="M47" s="32"/>
      <c r="N47" s="32"/>
      <c r="O47" s="32"/>
      <c r="P47" s="32"/>
      <c r="Q47" s="32"/>
      <c r="R47" s="32"/>
      <c r="S47" s="32"/>
      <c r="T47" s="32"/>
      <c r="U47" s="32"/>
      <c r="V47" s="32"/>
      <c r="W47" s="32"/>
      <c r="X47" s="32"/>
      <c r="Y47" s="32"/>
      <c r="Z47" s="32"/>
      <c r="AA47" s="32"/>
      <c r="AB47" s="32"/>
      <c r="AC47" s="32"/>
      <c r="AD47" s="32"/>
      <c r="AE47" s="32"/>
      <c r="AF47" s="32"/>
      <c r="AG47" s="32"/>
      <c r="AH47" s="32"/>
      <c r="AI47" s="32"/>
      <c r="AJ47" s="32"/>
      <c r="AK47" s="32"/>
      <c r="AL47" s="32"/>
      <c r="AM47" s="32"/>
      <c r="AN47" s="32"/>
      <c r="AO47" s="32"/>
      <c r="AP47" s="32"/>
      <c r="AQ47" s="32"/>
      <c r="AR47" s="32"/>
      <c r="AS47" s="32"/>
      <c r="AT47" s="32"/>
      <c r="AU47" s="32"/>
      <c r="AV47" s="32"/>
      <c r="AW47" s="32"/>
      <c r="AX47" s="32"/>
      <c r="AY47" s="32"/>
      <c r="AZ47" s="32"/>
    </row>
    <row r="48" spans="1:55" ht="14.25">
      <c r="A48" s="32"/>
      <c r="B48" s="32"/>
      <c r="C48" s="32"/>
      <c r="D48" s="32"/>
      <c r="E48" s="32"/>
      <c r="F48" s="32"/>
      <c r="G48" s="32"/>
      <c r="H48" s="32"/>
      <c r="I48" s="32"/>
      <c r="J48" s="32"/>
      <c r="K48" s="32"/>
      <c r="L48" s="32"/>
      <c r="M48" s="32"/>
      <c r="N48" s="32"/>
      <c r="O48" s="32"/>
      <c r="P48" s="32"/>
      <c r="Q48" s="32"/>
      <c r="R48" s="32"/>
      <c r="S48" s="32"/>
      <c r="T48" s="32"/>
      <c r="U48" s="32"/>
      <c r="V48" s="32"/>
      <c r="W48" s="32"/>
      <c r="X48" s="32"/>
      <c r="Y48" s="32"/>
      <c r="Z48" s="32"/>
      <c r="AA48" s="32"/>
      <c r="AB48" s="32"/>
      <c r="AC48" s="32"/>
      <c r="AD48" s="32"/>
      <c r="AE48" s="32"/>
      <c r="AF48" s="32"/>
      <c r="AG48" s="32"/>
      <c r="AH48" s="32"/>
      <c r="AI48" s="32"/>
      <c r="AJ48" s="32"/>
      <c r="AK48" s="32"/>
      <c r="AL48" s="32"/>
      <c r="AM48" s="32"/>
      <c r="AN48" s="32"/>
      <c r="AO48" s="32"/>
      <c r="AP48" s="32"/>
      <c r="AQ48" s="32"/>
      <c r="AR48" s="32"/>
      <c r="AS48" s="32"/>
      <c r="AT48" s="32"/>
      <c r="AU48" s="32"/>
      <c r="AV48" s="32"/>
      <c r="AW48" s="32"/>
      <c r="AX48" s="32"/>
      <c r="AY48" s="32"/>
      <c r="AZ48" s="32"/>
    </row>
    <row r="49" spans="1:52" ht="14.25">
      <c r="A49" s="32"/>
      <c r="B49" s="32"/>
      <c r="C49" s="32"/>
      <c r="D49" s="32"/>
      <c r="E49" s="32"/>
      <c r="F49" s="32"/>
      <c r="G49" s="32"/>
      <c r="H49" s="32"/>
      <c r="I49" s="32"/>
      <c r="J49" s="32"/>
      <c r="K49" s="32"/>
      <c r="L49" s="32"/>
      <c r="M49" s="32"/>
      <c r="N49" s="32"/>
      <c r="O49" s="32"/>
      <c r="P49" s="32"/>
      <c r="Q49" s="32"/>
      <c r="R49" s="32"/>
      <c r="S49" s="32"/>
      <c r="T49" s="32"/>
      <c r="U49" s="32"/>
      <c r="V49" s="32"/>
      <c r="W49" s="32"/>
      <c r="X49" s="32"/>
      <c r="Y49" s="32"/>
      <c r="Z49" s="32"/>
      <c r="AA49" s="32"/>
      <c r="AB49" s="32"/>
      <c r="AC49" s="32"/>
      <c r="AD49" s="32"/>
      <c r="AE49" s="32"/>
      <c r="AF49" s="32"/>
      <c r="AG49" s="32"/>
      <c r="AH49" s="32"/>
      <c r="AI49" s="32"/>
      <c r="AJ49" s="32"/>
      <c r="AK49" s="32"/>
      <c r="AL49" s="32"/>
      <c r="AM49" s="32"/>
      <c r="AN49" s="32"/>
      <c r="AO49" s="32"/>
      <c r="AP49" s="32"/>
      <c r="AQ49" s="32"/>
      <c r="AR49" s="32"/>
      <c r="AS49" s="32"/>
      <c r="AT49" s="32"/>
      <c r="AU49" s="32"/>
      <c r="AV49" s="32"/>
      <c r="AW49" s="32"/>
      <c r="AX49" s="32"/>
      <c r="AY49" s="32"/>
      <c r="AZ49" s="32"/>
    </row>
  </sheetData>
  <sheetProtection algorithmName="SHA-512" hashValue="fsLutQFD1kB4f43jVX9PS5/0HkqlGXYCTP8BYByWBMlHq3T5ByHxE1rTEKptqOAOIu/8ju8z86IEWA//8mNhNQ==" saltValue="kszNG4GtLM3LPV4o9uFhGA==" spinCount="100000" sheet="1" selectLockedCells="1"/>
  <mergeCells count="80">
    <mergeCell ref="A1:Z1"/>
    <mergeCell ref="AA1:AZ1"/>
    <mergeCell ref="A2:Z2"/>
    <mergeCell ref="AA2:AZ2"/>
    <mergeCell ref="A3:Z3"/>
    <mergeCell ref="AA3:AZ3"/>
    <mergeCell ref="A5:Z5"/>
    <mergeCell ref="AA5:AZ5"/>
    <mergeCell ref="A6:Z6"/>
    <mergeCell ref="AA6:AZ6"/>
    <mergeCell ref="R4:T4"/>
    <mergeCell ref="AR4:AT4"/>
    <mergeCell ref="A7:Z7"/>
    <mergeCell ref="AA7:AZ7"/>
    <mergeCell ref="A8:Z8"/>
    <mergeCell ref="AA8:AZ8"/>
    <mergeCell ref="A9:Z9"/>
    <mergeCell ref="AA9:AZ9"/>
    <mergeCell ref="A10:Z10"/>
    <mergeCell ref="AA10:AZ10"/>
    <mergeCell ref="A11:L11"/>
    <mergeCell ref="M11:O11"/>
    <mergeCell ref="P11:Z11"/>
    <mergeCell ref="AA11:AL11"/>
    <mergeCell ref="AM11:AO11"/>
    <mergeCell ref="AP11:AZ11"/>
    <mergeCell ref="AP13:AZ13"/>
    <mergeCell ref="A12:L12"/>
    <mergeCell ref="M12:O12"/>
    <mergeCell ref="P12:X12"/>
    <mergeCell ref="AA12:AL12"/>
    <mergeCell ref="AM12:AO12"/>
    <mergeCell ref="AP12:AX12"/>
    <mergeCell ref="A13:L13"/>
    <mergeCell ref="M13:O13"/>
    <mergeCell ref="P13:Z13"/>
    <mergeCell ref="AA13:AL13"/>
    <mergeCell ref="AM13:AO13"/>
    <mergeCell ref="AM14:AO14"/>
    <mergeCell ref="A15:Z15"/>
    <mergeCell ref="AA15:AZ15"/>
    <mergeCell ref="A14:L14"/>
    <mergeCell ref="M14:O14"/>
    <mergeCell ref="AA14:AL14"/>
    <mergeCell ref="P14:Z14"/>
    <mergeCell ref="AP14:AZ14"/>
    <mergeCell ref="A16:Z16"/>
    <mergeCell ref="AA16:AZ16"/>
    <mergeCell ref="A17:F18"/>
    <mergeCell ref="L17:Y18"/>
    <mergeCell ref="AA17:AF18"/>
    <mergeCell ref="AH17:AJ17"/>
    <mergeCell ref="AL17:AY18"/>
    <mergeCell ref="AH18:AJ18"/>
    <mergeCell ref="G17:K17"/>
    <mergeCell ref="G18:K18"/>
    <mergeCell ref="A20:Z20"/>
    <mergeCell ref="AA20:AZ20"/>
    <mergeCell ref="A22:Z22"/>
    <mergeCell ref="AA22:AZ22"/>
    <mergeCell ref="Y23:Z23"/>
    <mergeCell ref="AY23:AZ23"/>
    <mergeCell ref="A23:D23"/>
    <mergeCell ref="AA23:AD23"/>
    <mergeCell ref="A24:Z24"/>
    <mergeCell ref="AA24:AZ24"/>
    <mergeCell ref="Y25:Z25"/>
    <mergeCell ref="AY25:AZ25"/>
    <mergeCell ref="A25:D25"/>
    <mergeCell ref="AA25:AD25"/>
    <mergeCell ref="A28:Z28"/>
    <mergeCell ref="AA28:AZ28"/>
    <mergeCell ref="A29:Z29"/>
    <mergeCell ref="AA29:AZ29"/>
    <mergeCell ref="A26:Z26"/>
    <mergeCell ref="AA26:AZ26"/>
    <mergeCell ref="A27:D27"/>
    <mergeCell ref="F27:Z27"/>
    <mergeCell ref="AA27:AD27"/>
    <mergeCell ref="AF27:AZ27"/>
  </mergeCells>
  <phoneticPr fontId="7"/>
  <conditionalFormatting sqref="G17:K17">
    <cfRule type="expression" dxfId="1" priority="3">
      <formula>$Z$17=TRUE</formula>
    </cfRule>
  </conditionalFormatting>
  <conditionalFormatting sqref="G18:K18">
    <cfRule type="expression" dxfId="0" priority="2">
      <formula>$Z$18=TRUE</formula>
    </cfRule>
  </conditionalFormatting>
  <dataValidations count="6">
    <dataValidation type="list" allowBlank="1" showInputMessage="1" showErrorMessage="1" sqref="A23:D23 A25:D25" xr:uid="{00000000-0002-0000-0C00-000000000000}">
      <formula1>$BC$13:$BC$15</formula1>
    </dataValidation>
    <dataValidation type="list" allowBlank="1" showInputMessage="1" sqref="R4:T4" xr:uid="{00000000-0002-0000-0C00-000001000000}">
      <formula1>$BC$13:$BC$15</formula1>
    </dataValidation>
    <dataValidation type="list" allowBlank="1" showInputMessage="1" sqref="V4 N25 N23 F25 F23" xr:uid="{00000000-0002-0000-0C00-000002000000}">
      <formula1>$BA$13:$BA$24</formula1>
    </dataValidation>
    <dataValidation type="list" allowBlank="1" showInputMessage="1" sqref="X4" xr:uid="{00000000-0002-0000-0C00-000003000000}">
      <formula1>$BA$13:$BA$43</formula1>
    </dataValidation>
    <dataValidation type="list" allowBlank="1" showInputMessage="1" showErrorMessage="1" sqref="H23 P25 P23 H25" xr:uid="{00000000-0002-0000-0C00-000004000000}">
      <formula1>$BA$13:$BA$43</formula1>
    </dataValidation>
    <dataValidation type="list" allowBlank="1" showInputMessage="1" sqref="K23 S25 S23 K25" xr:uid="{00000000-0002-0000-0C00-000005000000}">
      <formula1>$BB$13:$BB$19</formula1>
    </dataValidation>
  </dataValidations>
  <printOptions horizontalCentered="1"/>
  <pageMargins left="0.39370078740157483" right="0.39370078740157483" top="0.39370078740157483" bottom="0.39370078740157483" header="0" footer="0"/>
  <pageSetup paperSize="9" scale="94" orientation="portrait" r:id="rId1"/>
  <headerFooter>
    <oddHeader>&amp;RⅥ-11</oddHeader>
  </headerFooter>
  <colBreaks count="1" manualBreakCount="1">
    <brk id="26" max="35" man="1"/>
  </colBreaks>
  <drawing r:id="rId2"/>
  <legacyDrawing r:id="rId3"/>
  <mc:AlternateContent xmlns:mc="http://schemas.openxmlformats.org/markup-compatibility/2006">
    <mc:Choice Requires="x14">
      <controls>
        <mc:AlternateContent xmlns:mc="http://schemas.openxmlformats.org/markup-compatibility/2006">
          <mc:Choice Requires="x14">
            <control shapeId="44034" r:id="rId4" name="Check Box 2">
              <controlPr defaultSize="0" autoFill="0" autoLine="0" autoPict="0">
                <anchor moveWithCells="1">
                  <from>
                    <xdr:col>6</xdr:col>
                    <xdr:colOff>85725</xdr:colOff>
                    <xdr:row>16</xdr:row>
                    <xdr:rowOff>76200</xdr:rowOff>
                  </from>
                  <to>
                    <xdr:col>7</xdr:col>
                    <xdr:colOff>114300</xdr:colOff>
                    <xdr:row>16</xdr:row>
                    <xdr:rowOff>323850</xdr:rowOff>
                  </to>
                </anchor>
              </controlPr>
            </control>
          </mc:Choice>
        </mc:AlternateContent>
        <mc:AlternateContent xmlns:mc="http://schemas.openxmlformats.org/markup-compatibility/2006">
          <mc:Choice Requires="x14">
            <control shapeId="44035" r:id="rId5" name="Check Box 3">
              <controlPr defaultSize="0" autoFill="0" autoLine="0" autoPict="0">
                <anchor moveWithCells="1">
                  <from>
                    <xdr:col>6</xdr:col>
                    <xdr:colOff>76200</xdr:colOff>
                    <xdr:row>17</xdr:row>
                    <xdr:rowOff>38100</xdr:rowOff>
                  </from>
                  <to>
                    <xdr:col>7</xdr:col>
                    <xdr:colOff>104775</xdr:colOff>
                    <xdr:row>17</xdr:row>
                    <xdr:rowOff>323850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19</vt:i4>
      </vt:variant>
    </vt:vector>
  </HeadingPairs>
  <TitlesOfParts>
    <vt:vector size="28" baseType="lpstr">
      <vt:lpstr>※必ずはじめにお読みください※</vt:lpstr>
      <vt:lpstr>01 使用承認申請書</vt:lpstr>
      <vt:lpstr>02 利用計画書</vt:lpstr>
      <vt:lpstr>03 食事申込書</vt:lpstr>
      <vt:lpstr>04 利用者名簿</vt:lpstr>
      <vt:lpstr>05 人数報告用紙</vt:lpstr>
      <vt:lpstr>06 使用料減免申請書</vt:lpstr>
      <vt:lpstr>07 車両動向報告書</vt:lpstr>
      <vt:lpstr>08 利用日変更（取消）報告書</vt:lpstr>
      <vt:lpstr>※必ずはじめにお読みください※!Print_Area</vt:lpstr>
      <vt:lpstr>'01 使用承認申請書'!Print_Area</vt:lpstr>
      <vt:lpstr>'03 食事申込書'!Print_Area</vt:lpstr>
      <vt:lpstr>'04 利用者名簿'!Print_Area</vt:lpstr>
      <vt:lpstr>'05 人数報告用紙'!Print_Area</vt:lpstr>
      <vt:lpstr>'06 使用料減免申請書'!Print_Area</vt:lpstr>
      <vt:lpstr>'08 利用日変更（取消）報告書'!Print_Area</vt:lpstr>
      <vt:lpstr>一</vt:lpstr>
      <vt:lpstr>引</vt:lpstr>
      <vt:lpstr>携帯食</vt:lpstr>
      <vt:lpstr>時機</vt:lpstr>
      <vt:lpstr>小</vt:lpstr>
      <vt:lpstr>食事時機</vt:lpstr>
      <vt:lpstr>食堂</vt:lpstr>
      <vt:lpstr>炊事</vt:lpstr>
      <vt:lpstr>中</vt:lpstr>
      <vt:lpstr>通常食</vt:lpstr>
      <vt:lpstr>日付</vt:lpstr>
      <vt:lpstr>料金区分</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00はじめにお読みください</dc:title>
  <dc:creator>公財）さっぽろ青少年女性活動協会;臼井平</dc:creator>
  <cp:lastModifiedBy>家 山の</cp:lastModifiedBy>
  <cp:lastPrinted>2026-03-31T04:38:43Z</cp:lastPrinted>
  <dcterms:created xsi:type="dcterms:W3CDTF">2011-11-13T05:32:05Z</dcterms:created>
  <dcterms:modified xsi:type="dcterms:W3CDTF">2026-05-26T05:11:31Z</dcterms:modified>
</cp:coreProperties>
</file>