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trlProps/ctrlProp213.xml" ContentType="application/vnd.ms-excel.controlproperties+xml"/>
  <Override PartName="/xl/ctrlProps/ctrlProp214.xml" ContentType="application/vnd.ms-excel.controlproperties+xml"/>
  <Override PartName="/xl/drawings/drawing10.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0997343D-CBC8-41E9-AF2E-D6DC44D96682}" xr6:coauthVersionLast="47" xr6:coauthVersionMax="47" xr10:uidLastSave="{00000000-0000-0000-0000-000000000000}"/>
  <bookViews>
    <workbookView xWindow="-120" yWindow="-120" windowWidth="20730" windowHeight="11040" tabRatio="916" activeTab="3" xr2:uid="{00000000-000D-0000-FFFF-FFFF00000000}"/>
  </bookViews>
  <sheets>
    <sheet name="※必ずはじめにお読みください" sheetId="52" r:id="rId1"/>
    <sheet name="01 使用承認申請書" sheetId="53" r:id="rId2"/>
    <sheet name="02 利用計画書" sheetId="72" r:id="rId3"/>
    <sheet name="03 食事申込書" sheetId="65" r:id="rId4"/>
    <sheet name="04 利用者名簿" sheetId="58" r:id="rId5"/>
    <sheet name="05 人数報告用紙" sheetId="2" r:id="rId6"/>
    <sheet name="06 使用料減免申請書" sheetId="66" r:id="rId7"/>
    <sheet name="07 補助的指導者" sheetId="61" r:id="rId8"/>
    <sheet name="08 車両動向報告書" sheetId="73" r:id="rId9"/>
    <sheet name="09利用日変更（取消）報告書" sheetId="62" r:id="rId10"/>
    <sheet name="10　歩くスキー事前調査票" sheetId="71" r:id="rId11"/>
  </sheets>
  <externalReferences>
    <externalReference r:id="rId12"/>
    <externalReference r:id="rId13"/>
    <externalReference r:id="rId14"/>
  </externalReferences>
  <definedNames>
    <definedName name="_xlnm._FilterDatabase" localSheetId="1" hidden="1">'01 使用承認申請書'!$A$1:$BB$34</definedName>
    <definedName name="_xlnm._FilterDatabase" localSheetId="3" hidden="1">'03 食事申込書'!$A$42:$AZ$47</definedName>
    <definedName name="▼炊事食▼" localSheetId="3">'03 食事申込書'!$BE$201</definedName>
    <definedName name="_xlnm.Print_Area" localSheetId="0">※必ずはじめにお読みください!$A$1:$Z$29</definedName>
    <definedName name="_xlnm.Print_Area" localSheetId="1">'01 使用承認申請書'!$A$1:$AZ$36</definedName>
    <definedName name="_xlnm.Print_Area" localSheetId="2">'02 利用計画書'!$A$1:$AW$185</definedName>
    <definedName name="_xlnm.Print_Area" localSheetId="3">'03 食事申込書'!$A$1:$AZ$50</definedName>
    <definedName name="_xlnm.Print_Area" localSheetId="4">'04 利用者名簿'!$A$1:$AZ$171</definedName>
    <definedName name="_xlnm.Print_Area" localSheetId="5">'05 人数報告用紙'!$A$1:$CY$47</definedName>
    <definedName name="_xlnm.Print_Area" localSheetId="6">'06 使用料減免申請書'!$A$1:$AZ$54</definedName>
    <definedName name="_xlnm.Print_Area" localSheetId="7">'07 補助的指導者'!$A$1:$AZ$41</definedName>
    <definedName name="_xlnm.Print_Area" localSheetId="9">'09利用日変更（取消）報告書'!$A$1:$AZ$29</definedName>
    <definedName name="_xlnm.Print_Area" localSheetId="10">'10　歩くスキー事前調査票'!$A$1:$AY$32</definedName>
    <definedName name="一" localSheetId="10">#REF!</definedName>
    <definedName name="一">'04 利用者名簿'!$D$261</definedName>
    <definedName name="引" localSheetId="10">#REF!</definedName>
    <definedName name="引">'04 利用者名簿'!$C$261</definedName>
    <definedName name="携帯食" localSheetId="10">#REF!</definedName>
    <definedName name="携帯食">'03 食事申込書'!$BG$87:$BG$95</definedName>
    <definedName name="時機" localSheetId="2">'[1]03 食事申込書'!$BK$57:$BK$59</definedName>
    <definedName name="時機" localSheetId="8">'[2]03 食事申込書'!$BK$56:$BK$58</definedName>
    <definedName name="時機" localSheetId="10">'[3]03 食事申込書'!$BK$57:$BK$59</definedName>
    <definedName name="時機">'03 食事申込書'!$BK$55:$BK$57</definedName>
    <definedName name="小" localSheetId="10">#REF!</definedName>
    <definedName name="小">'04 利用者名簿'!$A$261:$A$285</definedName>
    <definedName name="食事時機" localSheetId="10">#REF!</definedName>
    <definedName name="食事時機">'03 食事申込書'!$BK$55:$BK$57</definedName>
    <definedName name="食堂" localSheetId="10">#REF!</definedName>
    <definedName name="食堂">'03 食事申込書'!$BG$43:$BG$54</definedName>
    <definedName name="炊事" localSheetId="10">#REF!</definedName>
    <definedName name="炊事">'03 食事申込書'!$BG$71:$BG$80</definedName>
    <definedName name="中" localSheetId="10">#REF!</definedName>
    <definedName name="中">'04 利用者名簿'!$B$261:$B$285</definedName>
    <definedName name="通常食" localSheetId="10">#REF!</definedName>
    <definedName name="通常食">'03 食事申込書'!$BG$43:$BG$49</definedName>
    <definedName name="日付">'[1]01 使用承認申請書'!$BE$6:$ADG$6</definedName>
    <definedName name="料金区分" localSheetId="2">'[1]04 利用者名簿'!$A$251:$J$251</definedName>
    <definedName name="料金区分" localSheetId="8">'[2]05 利用者名簿'!$A$260:$D$260</definedName>
    <definedName name="料金区分" localSheetId="10">'[3]05 利用者名簿'!$A$260:$D$260</definedName>
    <definedName name="料金区分">'04 利用者名簿'!$A$260:$D$260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 i="65" l="1"/>
  <c r="R30" i="65"/>
  <c r="E8" i="53"/>
  <c r="O39" i="53"/>
  <c r="W44" i="2" l="1"/>
  <c r="W43" i="2"/>
  <c r="K19" i="66"/>
  <c r="F4" i="2" l="1"/>
  <c r="D5" i="58"/>
  <c r="F7" i="65"/>
  <c r="H7" i="65"/>
  <c r="N7" i="65"/>
  <c r="P7" i="65"/>
  <c r="U39" i="53"/>
  <c r="U38" i="53"/>
  <c r="D47" i="73"/>
  <c r="O38" i="53"/>
  <c r="D4" i="73" s="1"/>
  <c r="D2" i="73"/>
  <c r="D45" i="73" s="1"/>
  <c r="L23" i="65" l="1"/>
  <c r="U23" i="65"/>
  <c r="L92" i="72"/>
  <c r="E92" i="72"/>
  <c r="D10" i="53"/>
  <c r="L4" i="72"/>
  <c r="E4" i="72"/>
  <c r="R35" i="65"/>
  <c r="V61" i="73"/>
  <c r="V60" i="73"/>
  <c r="V59" i="73"/>
  <c r="V58" i="73"/>
  <c r="V57" i="73"/>
  <c r="V56" i="73"/>
  <c r="V55" i="73"/>
  <c r="V54" i="73"/>
  <c r="V53" i="73"/>
  <c r="V52" i="73"/>
  <c r="BN18" i="73"/>
  <c r="V18" i="73"/>
  <c r="BN17" i="73"/>
  <c r="V17" i="73"/>
  <c r="BN16" i="73"/>
  <c r="V16" i="73"/>
  <c r="BN15" i="73"/>
  <c r="V15" i="73"/>
  <c r="BN14" i="73"/>
  <c r="V14" i="73"/>
  <c r="BN13" i="73"/>
  <c r="V13" i="73"/>
  <c r="BN12" i="73"/>
  <c r="V12" i="73"/>
  <c r="BN11" i="73"/>
  <c r="V11" i="73"/>
  <c r="BN10" i="73"/>
  <c r="V10" i="73"/>
  <c r="BN9" i="73"/>
  <c r="V9" i="73"/>
  <c r="U92" i="72" l="1"/>
  <c r="D3" i="53" l="1"/>
  <c r="D9" i="53"/>
  <c r="BA32" i="2" l="1"/>
  <c r="R8" i="53"/>
  <c r="BB24" i="2"/>
  <c r="BB23" i="2"/>
  <c r="CF24" i="2" l="1"/>
  <c r="CF23" i="2"/>
  <c r="R31" i="65"/>
  <c r="R32" i="65"/>
  <c r="R33" i="65"/>
  <c r="R34" i="65"/>
  <c r="R36" i="65"/>
  <c r="R37" i="65"/>
  <c r="R38" i="65"/>
  <c r="R39" i="65"/>
  <c r="R40" i="65"/>
  <c r="BD120" i="65" l="1"/>
  <c r="BE120" i="65" s="1"/>
  <c r="BD104" i="65"/>
  <c r="BF104" i="65" l="1"/>
  <c r="BE104" i="65"/>
  <c r="B29" i="61"/>
  <c r="C23" i="61" l="1"/>
  <c r="AC23" i="61"/>
  <c r="AP33" i="65" l="1"/>
  <c r="AP34" i="65"/>
  <c r="AD24" i="2"/>
  <c r="AX15" i="65"/>
  <c r="AU15" i="65"/>
  <c r="AR15" i="65"/>
  <c r="D6" i="65"/>
  <c r="BV20" i="58"/>
  <c r="BV50" i="58" s="1"/>
  <c r="P34" i="58"/>
  <c r="BG12" i="58"/>
  <c r="V5" i="71"/>
  <c r="S5" i="71"/>
  <c r="Q5" i="71"/>
  <c r="N5" i="71"/>
  <c r="K5" i="71"/>
  <c r="I5" i="71"/>
  <c r="D4" i="71"/>
  <c r="E5" i="71"/>
  <c r="U9" i="71"/>
  <c r="AU9" i="71"/>
  <c r="W46" i="65"/>
  <c r="AR44" i="2" s="1"/>
  <c r="Y46" i="65"/>
  <c r="AT44" i="2" s="1"/>
  <c r="W44" i="65"/>
  <c r="AR43" i="2" s="1"/>
  <c r="AW44" i="65"/>
  <c r="AQ44" i="2"/>
  <c r="AO44" i="2"/>
  <c r="AN44" i="2"/>
  <c r="AL44" i="2"/>
  <c r="AK44" i="2"/>
  <c r="AI44" i="2"/>
  <c r="AH44" i="2"/>
  <c r="AF44" i="2"/>
  <c r="AE44" i="2"/>
  <c r="AC44" i="2"/>
  <c r="AQ43" i="2"/>
  <c r="AO43" i="2"/>
  <c r="AN43" i="2"/>
  <c r="AL43" i="2"/>
  <c r="AK43" i="2"/>
  <c r="AI43" i="2"/>
  <c r="AH43" i="2"/>
  <c r="AF43" i="2"/>
  <c r="AE43" i="2"/>
  <c r="AC43" i="2"/>
  <c r="Y44" i="2"/>
  <c r="Y43" i="2"/>
  <c r="AY46" i="65"/>
  <c r="AW46" i="65"/>
  <c r="AY44" i="65"/>
  <c r="Y44" i="65"/>
  <c r="AT43" i="2" s="1"/>
  <c r="BG148" i="65"/>
  <c r="BI148" i="65" s="1"/>
  <c r="AP40" i="65"/>
  <c r="BB40" i="65"/>
  <c r="BC40" i="65" s="1"/>
  <c r="AE34" i="2"/>
  <c r="BA34" i="2" s="1"/>
  <c r="K5" i="58"/>
  <c r="K176" i="58" s="1"/>
  <c r="K219" i="58" s="1"/>
  <c r="AE33" i="2"/>
  <c r="BA33" i="2" s="1"/>
  <c r="AE31" i="2"/>
  <c r="BA31" i="2" s="1"/>
  <c r="AE30" i="2"/>
  <c r="BA30" i="2" s="1"/>
  <c r="AE29" i="2"/>
  <c r="BA29" i="2" s="1"/>
  <c r="AE28" i="2"/>
  <c r="BA28" i="2" s="1"/>
  <c r="AE27" i="2"/>
  <c r="BA27" i="2" s="1"/>
  <c r="AE26" i="2"/>
  <c r="BA26" i="2" s="1"/>
  <c r="AE25" i="2"/>
  <c r="BA25" i="2" s="1"/>
  <c r="AE24" i="2"/>
  <c r="AE23" i="2"/>
  <c r="AD23" i="2"/>
  <c r="CW35" i="2" s="1"/>
  <c r="CG31" i="2"/>
  <c r="CY31" i="2" s="1"/>
  <c r="CG34" i="2"/>
  <c r="CY34" i="2" s="1"/>
  <c r="CG33" i="2"/>
  <c r="CY33" i="2" s="1"/>
  <c r="CG30" i="2"/>
  <c r="CY30" i="2" s="1"/>
  <c r="CG29" i="2"/>
  <c r="CY29" i="2" s="1"/>
  <c r="CG28" i="2"/>
  <c r="CY28" i="2" s="1"/>
  <c r="CG27" i="2"/>
  <c r="CY27" i="2" s="1"/>
  <c r="CG26" i="2"/>
  <c r="CY26" i="2" s="1"/>
  <c r="CG25" i="2"/>
  <c r="CY25" i="2" s="1"/>
  <c r="CG24" i="2"/>
  <c r="CY24" i="2" s="1"/>
  <c r="CG23" i="2"/>
  <c r="CY23" i="2" s="1"/>
  <c r="P12" i="62"/>
  <c r="P11" i="62"/>
  <c r="G23" i="61"/>
  <c r="J65" i="2" s="1"/>
  <c r="AS22" i="61"/>
  <c r="AP22" i="61"/>
  <c r="AM22" i="61"/>
  <c r="S22" i="61"/>
  <c r="P22" i="61"/>
  <c r="L22" i="61"/>
  <c r="AP16" i="61"/>
  <c r="P14" i="61"/>
  <c r="P13" i="61"/>
  <c r="AW51" i="66"/>
  <c r="AL51" i="66" s="1"/>
  <c r="AR51" i="66"/>
  <c r="AW49" i="66"/>
  <c r="AL49" i="66"/>
  <c r="AW47" i="66"/>
  <c r="AL47" i="66" s="1"/>
  <c r="AW45" i="66"/>
  <c r="AL45" i="66" s="1"/>
  <c r="AV35" i="66"/>
  <c r="AH26" i="66"/>
  <c r="AH24" i="66"/>
  <c r="AU19" i="66"/>
  <c r="AS19" i="66"/>
  <c r="AM19" i="66"/>
  <c r="U19" i="66"/>
  <c r="S19" i="66"/>
  <c r="O19" i="66"/>
  <c r="M19" i="66"/>
  <c r="N12" i="66"/>
  <c r="N11" i="66"/>
  <c r="BK56" i="2"/>
  <c r="BL55" i="2"/>
  <c r="BL57" i="2" s="1"/>
  <c r="BK54" i="2"/>
  <c r="BK53" i="2"/>
  <c r="BK50" i="2"/>
  <c r="BT45" i="2"/>
  <c r="BR45" i="2"/>
  <c r="BQ45" i="2"/>
  <c r="BP45" i="2"/>
  <c r="BO45" i="2"/>
  <c r="BN45" i="2"/>
  <c r="BL45" i="2"/>
  <c r="R45" i="2"/>
  <c r="P45" i="2"/>
  <c r="O45" i="2"/>
  <c r="N45" i="2"/>
  <c r="M45" i="2"/>
  <c r="L45" i="2"/>
  <c r="J45" i="2"/>
  <c r="BV41" i="2"/>
  <c r="BK40" i="2"/>
  <c r="BV40" i="2" s="1"/>
  <c r="BK39" i="2"/>
  <c r="BK38" i="2"/>
  <c r="BV38" i="2" s="1"/>
  <c r="BT37" i="2"/>
  <c r="BR37" i="2"/>
  <c r="BQ37" i="2"/>
  <c r="BP37" i="2"/>
  <c r="BO37" i="2"/>
  <c r="BN37" i="2"/>
  <c r="BN46" i="2" s="1"/>
  <c r="BL37" i="2"/>
  <c r="R37" i="2"/>
  <c r="P37" i="2"/>
  <c r="O37" i="2"/>
  <c r="N37" i="2"/>
  <c r="M37" i="2"/>
  <c r="L37" i="2"/>
  <c r="J37" i="2"/>
  <c r="BK33" i="2"/>
  <c r="BK37" i="2" s="1"/>
  <c r="BV32" i="2"/>
  <c r="BV31" i="2"/>
  <c r="BV30" i="2"/>
  <c r="BT29" i="2"/>
  <c r="BR29" i="2"/>
  <c r="BQ29" i="2"/>
  <c r="BP29" i="2"/>
  <c r="BO29" i="2"/>
  <c r="BN29" i="2"/>
  <c r="BL29" i="2"/>
  <c r="BK29" i="2"/>
  <c r="R29" i="2"/>
  <c r="P29" i="2"/>
  <c r="O29" i="2"/>
  <c r="N29" i="2"/>
  <c r="M29" i="2"/>
  <c r="L29" i="2"/>
  <c r="J29" i="2"/>
  <c r="BJ27" i="2"/>
  <c r="H27" i="2"/>
  <c r="BV26" i="2"/>
  <c r="BV25" i="2"/>
  <c r="BV24" i="2"/>
  <c r="BV23" i="2"/>
  <c r="BJ23" i="2"/>
  <c r="H23" i="2"/>
  <c r="CG20" i="2"/>
  <c r="CC20" i="2"/>
  <c r="CF20" i="2" s="1"/>
  <c r="CB20" i="2"/>
  <c r="CA20" i="2"/>
  <c r="CG19" i="2"/>
  <c r="CC19" i="2"/>
  <c r="CF19" i="2" s="1"/>
  <c r="CB19" i="2"/>
  <c r="CA19" i="2"/>
  <c r="CG18" i="2"/>
  <c r="CC18" i="2"/>
  <c r="CF18" i="2" s="1"/>
  <c r="CB18" i="2"/>
  <c r="CA18" i="2"/>
  <c r="CG17" i="2"/>
  <c r="CC17" i="2"/>
  <c r="CF17" i="2" s="1"/>
  <c r="CB17" i="2"/>
  <c r="CA17" i="2"/>
  <c r="CG16" i="2"/>
  <c r="CC16" i="2"/>
  <c r="CF16" i="2" s="1"/>
  <c r="CB16" i="2"/>
  <c r="CA16" i="2"/>
  <c r="CG15" i="2"/>
  <c r="CC15" i="2"/>
  <c r="CF15" i="2" s="1"/>
  <c r="CB15" i="2"/>
  <c r="CA15" i="2"/>
  <c r="CG14" i="2"/>
  <c r="CC14" i="2"/>
  <c r="CF14" i="2" s="1"/>
  <c r="CB14" i="2"/>
  <c r="CA14" i="2"/>
  <c r="R4" i="2"/>
  <c r="O4" i="2"/>
  <c r="M4" i="2"/>
  <c r="J4" i="2"/>
  <c r="H4" i="2"/>
  <c r="E3" i="2"/>
  <c r="BC332" i="58"/>
  <c r="BE332" i="58" s="1"/>
  <c r="BB332" i="58"/>
  <c r="BD332" i="58" s="1"/>
  <c r="BC331" i="58"/>
  <c r="BE331" i="58" s="1"/>
  <c r="BB331" i="58"/>
  <c r="BD331" i="58"/>
  <c r="BC330" i="58"/>
  <c r="BE330" i="58" s="1"/>
  <c r="BB330" i="58"/>
  <c r="BD330" i="58" s="1"/>
  <c r="BC329" i="58"/>
  <c r="BE329" i="58" s="1"/>
  <c r="BB329" i="58"/>
  <c r="BD329" i="58" s="1"/>
  <c r="BC328" i="58"/>
  <c r="BE328" i="58"/>
  <c r="BB328" i="58"/>
  <c r="BD328" i="58" s="1"/>
  <c r="BC327" i="58"/>
  <c r="BE327" i="58" s="1"/>
  <c r="BB327" i="58"/>
  <c r="BD327" i="58" s="1"/>
  <c r="BC326" i="58"/>
  <c r="BE326" i="58" s="1"/>
  <c r="BB326" i="58"/>
  <c r="BD326" i="58" s="1"/>
  <c r="BC325" i="58"/>
  <c r="BE325" i="58" s="1"/>
  <c r="BB325" i="58"/>
  <c r="BD325" i="58"/>
  <c r="BC324" i="58"/>
  <c r="BE324" i="58"/>
  <c r="BB324" i="58"/>
  <c r="BD324" i="58" s="1"/>
  <c r="BC323" i="58"/>
  <c r="BE323" i="58" s="1"/>
  <c r="BB323" i="58"/>
  <c r="BD323" i="58" s="1"/>
  <c r="BC322" i="58"/>
  <c r="BE322" i="58"/>
  <c r="BB322" i="58"/>
  <c r="BD322" i="58" s="1"/>
  <c r="BC321" i="58"/>
  <c r="BE321" i="58" s="1"/>
  <c r="BB321" i="58"/>
  <c r="BD321" i="58" s="1"/>
  <c r="BC320" i="58"/>
  <c r="BE320" i="58" s="1"/>
  <c r="BB320" i="58"/>
  <c r="BD320" i="58" s="1"/>
  <c r="BC319" i="58"/>
  <c r="BE319" i="58"/>
  <c r="BB319" i="58"/>
  <c r="BD319" i="58" s="1"/>
  <c r="BC318" i="58"/>
  <c r="BE318" i="58"/>
  <c r="BB318" i="58"/>
  <c r="BD318" i="58" s="1"/>
  <c r="BC317" i="58"/>
  <c r="BE317" i="58" s="1"/>
  <c r="BB317" i="58"/>
  <c r="BD317" i="58" s="1"/>
  <c r="BC316" i="58"/>
  <c r="BE316" i="58"/>
  <c r="BB316" i="58"/>
  <c r="BD316" i="58"/>
  <c r="BC315" i="58"/>
  <c r="BE315" i="58" s="1"/>
  <c r="BB315" i="58"/>
  <c r="BD315" i="58" s="1"/>
  <c r="BC314" i="58"/>
  <c r="BE314" i="58" s="1"/>
  <c r="BB314" i="58"/>
  <c r="BD314" i="58" s="1"/>
  <c r="BC313" i="58"/>
  <c r="BE313" i="58" s="1"/>
  <c r="BB313" i="58"/>
  <c r="BD313" i="58" s="1"/>
  <c r="BC312" i="58"/>
  <c r="BE312" i="58" s="1"/>
  <c r="BB312" i="58"/>
  <c r="BD312" i="58" s="1"/>
  <c r="BC311" i="58"/>
  <c r="BE311" i="58"/>
  <c r="BB311" i="58"/>
  <c r="BD311" i="58" s="1"/>
  <c r="BC310" i="58"/>
  <c r="BE310" i="58" s="1"/>
  <c r="BB310" i="58"/>
  <c r="BD310" i="58" s="1"/>
  <c r="BC309" i="58"/>
  <c r="BE309" i="58" s="1"/>
  <c r="BB309" i="58"/>
  <c r="BD309" i="58" s="1"/>
  <c r="BC308" i="58"/>
  <c r="BE308" i="58" s="1"/>
  <c r="BB308" i="58"/>
  <c r="BD308" i="58" s="1"/>
  <c r="BC307" i="58"/>
  <c r="BE307" i="58" s="1"/>
  <c r="BB307" i="58"/>
  <c r="BD307" i="58" s="1"/>
  <c r="BC306" i="58"/>
  <c r="BE306" i="58" s="1"/>
  <c r="BB306" i="58"/>
  <c r="BD306" i="58" s="1"/>
  <c r="BC305" i="58"/>
  <c r="BE305" i="58"/>
  <c r="BB305" i="58"/>
  <c r="BD305" i="58" s="1"/>
  <c r="BC304" i="58"/>
  <c r="BE304" i="58"/>
  <c r="BB304" i="58"/>
  <c r="BD304" i="58" s="1"/>
  <c r="BC303" i="58"/>
  <c r="BE303" i="58" s="1"/>
  <c r="BB303" i="58"/>
  <c r="BD303" i="58" s="1"/>
  <c r="BC302" i="58"/>
  <c r="BE302" i="58" s="1"/>
  <c r="BB302" i="58"/>
  <c r="BD302" i="58" s="1"/>
  <c r="BC301" i="58"/>
  <c r="BE301" i="58"/>
  <c r="BB301" i="58"/>
  <c r="BD301" i="58"/>
  <c r="BC300" i="58"/>
  <c r="BE300" i="58" s="1"/>
  <c r="BB300" i="58"/>
  <c r="BD300" i="58" s="1"/>
  <c r="BC299" i="58"/>
  <c r="BE299" i="58"/>
  <c r="BB299" i="58"/>
  <c r="BD299" i="58" s="1"/>
  <c r="BC298" i="58"/>
  <c r="BE298" i="58" s="1"/>
  <c r="BB298" i="58"/>
  <c r="BD298" i="58" s="1"/>
  <c r="BC297" i="58"/>
  <c r="BE297" i="58" s="1"/>
  <c r="BB297" i="58"/>
  <c r="BD297" i="58" s="1"/>
  <c r="BC296" i="58"/>
  <c r="BE296" i="58" s="1"/>
  <c r="BB296" i="58"/>
  <c r="BD296" i="58" s="1"/>
  <c r="BC295" i="58"/>
  <c r="BE295" i="58"/>
  <c r="BB295" i="58"/>
  <c r="BD295" i="58" s="1"/>
  <c r="BC294" i="58"/>
  <c r="BE294" i="58" s="1"/>
  <c r="BB294" i="58"/>
  <c r="BD294" i="58" s="1"/>
  <c r="BC293" i="58"/>
  <c r="BE293" i="58" s="1"/>
  <c r="BB293" i="58"/>
  <c r="BD293" i="58" s="1"/>
  <c r="BC292" i="58"/>
  <c r="BE292" i="58" s="1"/>
  <c r="BB292" i="58"/>
  <c r="BD292" i="58" s="1"/>
  <c r="BC291" i="58"/>
  <c r="BE291" i="58" s="1"/>
  <c r="BB291" i="58"/>
  <c r="BD291" i="58" s="1"/>
  <c r="BC290" i="58"/>
  <c r="BE290" i="58"/>
  <c r="BB290" i="58"/>
  <c r="BD290" i="58" s="1"/>
  <c r="BC289" i="58"/>
  <c r="BE289" i="58"/>
  <c r="BB289" i="58"/>
  <c r="BD289" i="58" s="1"/>
  <c r="BC288" i="58"/>
  <c r="BE288" i="58" s="1"/>
  <c r="BB288" i="58"/>
  <c r="BD288" i="58" s="1"/>
  <c r="BC287" i="58"/>
  <c r="BE287" i="58" s="1"/>
  <c r="BB287" i="58"/>
  <c r="BD287" i="58" s="1"/>
  <c r="BC286" i="58"/>
  <c r="BE286" i="58"/>
  <c r="BB286" i="58"/>
  <c r="BD286" i="58"/>
  <c r="BC285" i="58"/>
  <c r="BE285" i="58" s="1"/>
  <c r="BB285" i="58"/>
  <c r="BD285" i="58" s="1"/>
  <c r="BC284" i="58"/>
  <c r="BE284" i="58"/>
  <c r="BB284" i="58"/>
  <c r="BD284" i="58" s="1"/>
  <c r="BC283" i="58"/>
  <c r="BE283" i="58" s="1"/>
  <c r="BB283" i="58"/>
  <c r="BD283" i="58"/>
  <c r="BC282" i="58"/>
  <c r="BE282" i="58"/>
  <c r="BB282" i="58"/>
  <c r="BD282" i="58" s="1"/>
  <c r="BC281" i="58"/>
  <c r="BE281" i="58" s="1"/>
  <c r="BB281" i="58"/>
  <c r="BD281" i="58" s="1"/>
  <c r="BC280" i="58"/>
  <c r="BE280" i="58" s="1"/>
  <c r="BB280" i="58"/>
  <c r="BD280" i="58" s="1"/>
  <c r="BC279" i="58"/>
  <c r="BE279" i="58" s="1"/>
  <c r="BB279" i="58"/>
  <c r="BD279" i="58" s="1"/>
  <c r="BC278" i="58"/>
  <c r="BE278" i="58"/>
  <c r="BB278" i="58"/>
  <c r="BD278" i="58" s="1"/>
  <c r="BC277" i="58"/>
  <c r="BE277" i="58" s="1"/>
  <c r="BB277" i="58"/>
  <c r="BD277" i="58" s="1"/>
  <c r="BC276" i="58"/>
  <c r="BE276" i="58" s="1"/>
  <c r="BB276" i="58"/>
  <c r="BD276" i="58" s="1"/>
  <c r="BC275" i="58"/>
  <c r="BE275" i="58" s="1"/>
  <c r="BB275" i="58"/>
  <c r="BD275" i="58" s="1"/>
  <c r="BC274" i="58"/>
  <c r="BE274" i="58" s="1"/>
  <c r="BB274" i="58"/>
  <c r="BD274" i="58" s="1"/>
  <c r="BC273" i="58"/>
  <c r="BE273" i="58" s="1"/>
  <c r="BB273" i="58"/>
  <c r="BD273" i="58" s="1"/>
  <c r="BC272" i="58"/>
  <c r="BE272" i="58" s="1"/>
  <c r="BB272" i="58"/>
  <c r="BD272" i="58" s="1"/>
  <c r="BC271" i="58"/>
  <c r="BE271" i="58"/>
  <c r="BB271" i="58"/>
  <c r="BD271" i="58"/>
  <c r="BC270" i="58"/>
  <c r="BE270" i="58" s="1"/>
  <c r="BB270" i="58"/>
  <c r="BD270" i="58" s="1"/>
  <c r="BC269" i="58"/>
  <c r="BE269" i="58"/>
  <c r="BB269" i="58"/>
  <c r="BD269" i="58" s="1"/>
  <c r="BC268" i="58"/>
  <c r="BE268" i="58" s="1"/>
  <c r="BB268" i="58"/>
  <c r="BD268" i="58"/>
  <c r="BC267" i="58"/>
  <c r="BE267" i="58"/>
  <c r="BB267" i="58"/>
  <c r="BD267" i="58" s="1"/>
  <c r="BC266" i="58"/>
  <c r="BE266" i="58" s="1"/>
  <c r="BB266" i="58"/>
  <c r="BD266" i="58" s="1"/>
  <c r="BC265" i="58"/>
  <c r="BE265" i="58" s="1"/>
  <c r="BB265" i="58"/>
  <c r="BD265" i="58" s="1"/>
  <c r="BC264" i="58"/>
  <c r="BE264" i="58" s="1"/>
  <c r="BB264" i="58"/>
  <c r="BD264" i="58" s="1"/>
  <c r="BC263" i="58"/>
  <c r="BE263" i="58"/>
  <c r="BB263" i="58"/>
  <c r="BD263" i="58" s="1"/>
  <c r="BC262" i="58"/>
  <c r="BE262" i="58" s="1"/>
  <c r="BB262" i="58"/>
  <c r="BD262" i="58" s="1"/>
  <c r="BC261" i="58"/>
  <c r="BE261" i="58" s="1"/>
  <c r="BB261" i="58"/>
  <c r="BD261" i="58" s="1"/>
  <c r="BC260" i="58"/>
  <c r="BE260" i="58" s="1"/>
  <c r="BB260" i="58"/>
  <c r="BD260" i="58" s="1"/>
  <c r="BC259" i="58"/>
  <c r="BE259" i="58" s="1"/>
  <c r="BB259" i="58"/>
  <c r="BD259" i="58" s="1"/>
  <c r="BC258" i="58"/>
  <c r="BE258" i="58" s="1"/>
  <c r="BB258" i="58"/>
  <c r="BD258" i="58" s="1"/>
  <c r="BC257" i="58"/>
  <c r="BE257" i="58"/>
  <c r="BB257" i="58"/>
  <c r="BD257" i="58" s="1"/>
  <c r="BL256" i="58"/>
  <c r="BK256" i="58"/>
  <c r="BH256" i="58"/>
  <c r="BG256" i="58"/>
  <c r="BC256" i="58"/>
  <c r="BE256" i="58" s="1"/>
  <c r="BB256" i="58"/>
  <c r="BD256" i="58" s="1"/>
  <c r="BL255" i="58"/>
  <c r="BK255" i="58"/>
  <c r="BH255" i="58"/>
  <c r="BG255" i="58"/>
  <c r="BC255" i="58"/>
  <c r="BE255" i="58" s="1"/>
  <c r="BB255" i="58"/>
  <c r="BD255" i="58" s="1"/>
  <c r="BL254" i="58"/>
  <c r="BK254" i="58"/>
  <c r="BH254" i="58"/>
  <c r="BG254" i="58"/>
  <c r="BC254" i="58"/>
  <c r="BE254" i="58" s="1"/>
  <c r="BB254" i="58"/>
  <c r="BD254" i="58" s="1"/>
  <c r="BL253" i="58"/>
  <c r="BK253" i="58"/>
  <c r="BH253" i="58"/>
  <c r="BG253" i="58"/>
  <c r="BC253" i="58"/>
  <c r="BE253" i="58"/>
  <c r="BB253" i="58"/>
  <c r="BD253" i="58" s="1"/>
  <c r="BL252" i="58"/>
  <c r="BK252" i="58"/>
  <c r="BH252" i="58"/>
  <c r="BG252" i="58"/>
  <c r="BC252" i="58"/>
  <c r="BE252" i="58" s="1"/>
  <c r="BB252" i="58"/>
  <c r="BD252" i="58" s="1"/>
  <c r="BL251" i="58"/>
  <c r="BK251" i="58"/>
  <c r="BH251" i="58"/>
  <c r="BG251" i="58"/>
  <c r="BC251" i="58"/>
  <c r="BE251" i="58" s="1"/>
  <c r="BB251" i="58"/>
  <c r="BD251" i="58" s="1"/>
  <c r="BL250" i="58"/>
  <c r="BK250" i="58"/>
  <c r="BH250" i="58"/>
  <c r="BG250" i="58"/>
  <c r="BC250" i="58"/>
  <c r="BE250" i="58" s="1"/>
  <c r="BB250" i="58"/>
  <c r="BD250" i="58" s="1"/>
  <c r="BL249" i="58"/>
  <c r="BK249" i="58"/>
  <c r="BH249" i="58"/>
  <c r="BG249" i="58"/>
  <c r="BC249" i="58"/>
  <c r="BE249" i="58"/>
  <c r="BB249" i="58"/>
  <c r="BD249" i="58" s="1"/>
  <c r="BL248" i="58"/>
  <c r="BK248" i="58"/>
  <c r="BH248" i="58"/>
  <c r="BG248" i="58"/>
  <c r="BC248" i="58"/>
  <c r="BE248" i="58"/>
  <c r="BB248" i="58"/>
  <c r="BD248" i="58" s="1"/>
  <c r="BL247" i="58"/>
  <c r="BK247" i="58"/>
  <c r="BH247" i="58"/>
  <c r="BG247" i="58"/>
  <c r="BC247" i="58"/>
  <c r="BE247" i="58" s="1"/>
  <c r="BB247" i="58"/>
  <c r="BD247" i="58" s="1"/>
  <c r="BL246" i="58"/>
  <c r="BK246" i="58"/>
  <c r="BH246" i="58"/>
  <c r="BG246" i="58"/>
  <c r="BC246" i="58"/>
  <c r="BE246" i="58" s="1"/>
  <c r="BB246" i="58"/>
  <c r="BD246" i="58" s="1"/>
  <c r="BL245" i="58"/>
  <c r="BK245" i="58"/>
  <c r="BH245" i="58"/>
  <c r="BG245" i="58"/>
  <c r="BC245" i="58"/>
  <c r="BE245" i="58"/>
  <c r="BB245" i="58"/>
  <c r="BD245" i="58" s="1"/>
  <c r="BL244" i="58"/>
  <c r="BK244" i="58"/>
  <c r="BH244" i="58"/>
  <c r="BG244" i="58"/>
  <c r="BC244" i="58"/>
  <c r="BE244" i="58"/>
  <c r="BB244" i="58"/>
  <c r="BD244" i="58" s="1"/>
  <c r="BL243" i="58"/>
  <c r="BK243" i="58"/>
  <c r="BH243" i="58"/>
  <c r="BG243" i="58"/>
  <c r="BC243" i="58"/>
  <c r="BE243" i="58"/>
  <c r="BB243" i="58"/>
  <c r="BD243" i="58" s="1"/>
  <c r="BL242" i="58"/>
  <c r="BK242" i="58"/>
  <c r="BH242" i="58"/>
  <c r="BG242" i="58"/>
  <c r="BC242" i="58"/>
  <c r="BE242" i="58" s="1"/>
  <c r="BB242" i="58"/>
  <c r="BD242" i="58" s="1"/>
  <c r="BL241" i="58"/>
  <c r="BK241" i="58"/>
  <c r="BH241" i="58"/>
  <c r="BG241" i="58"/>
  <c r="BC241" i="58"/>
  <c r="BE241" i="58" s="1"/>
  <c r="BB241" i="58"/>
  <c r="BD241" i="58" s="1"/>
  <c r="BL240" i="58"/>
  <c r="BK240" i="58"/>
  <c r="BH240" i="58"/>
  <c r="BG240" i="58"/>
  <c r="BC240" i="58"/>
  <c r="BE240" i="58" s="1"/>
  <c r="BB240" i="58"/>
  <c r="BD240" i="58" s="1"/>
  <c r="BL239" i="58"/>
  <c r="BK239" i="58"/>
  <c r="BH239" i="58"/>
  <c r="BG239" i="58"/>
  <c r="BC239" i="58"/>
  <c r="BE239" i="58" s="1"/>
  <c r="BB239" i="58"/>
  <c r="BD239" i="58" s="1"/>
  <c r="BL238" i="58"/>
  <c r="BK238" i="58"/>
  <c r="BH238" i="58"/>
  <c r="BG238" i="58"/>
  <c r="BC238" i="58"/>
  <c r="BE238" i="58" s="1"/>
  <c r="BB238" i="58"/>
  <c r="BD238" i="58" s="1"/>
  <c r="BL237" i="58"/>
  <c r="BK237" i="58"/>
  <c r="BH237" i="58"/>
  <c r="BG237" i="58"/>
  <c r="BC237" i="58"/>
  <c r="BE237" i="58" s="1"/>
  <c r="BB237" i="58"/>
  <c r="BD237" i="58" s="1"/>
  <c r="BL236" i="58"/>
  <c r="BK236" i="58"/>
  <c r="BH236" i="58"/>
  <c r="BG236" i="58"/>
  <c r="BC236" i="58"/>
  <c r="BE236" i="58"/>
  <c r="BB236" i="58"/>
  <c r="BD236" i="58" s="1"/>
  <c r="BL235" i="58"/>
  <c r="BK235" i="58"/>
  <c r="BH235" i="58"/>
  <c r="BG235" i="58"/>
  <c r="BC235" i="58"/>
  <c r="BE235" i="58" s="1"/>
  <c r="BB235" i="58"/>
  <c r="BD235" i="58" s="1"/>
  <c r="BL234" i="58"/>
  <c r="BK234" i="58"/>
  <c r="BH234" i="58"/>
  <c r="BG234" i="58"/>
  <c r="BC234" i="58"/>
  <c r="BE234" i="58" s="1"/>
  <c r="BB234" i="58"/>
  <c r="BD234" i="58" s="1"/>
  <c r="BL233" i="58"/>
  <c r="BK233" i="58"/>
  <c r="BH233" i="58"/>
  <c r="BG233" i="58"/>
  <c r="BC233" i="58"/>
  <c r="BE233" i="58"/>
  <c r="BB233" i="58"/>
  <c r="BD233" i="58" s="1"/>
  <c r="BL232" i="58"/>
  <c r="BK232" i="58"/>
  <c r="BH232" i="58"/>
  <c r="BG232" i="58"/>
  <c r="BC232" i="58"/>
  <c r="BE232" i="58"/>
  <c r="BB232" i="58"/>
  <c r="BD232" i="58" s="1"/>
  <c r="BL231" i="58"/>
  <c r="BK231" i="58"/>
  <c r="BH231" i="58"/>
  <c r="BG231" i="58"/>
  <c r="BC231" i="58"/>
  <c r="BE231" i="58"/>
  <c r="BB231" i="58"/>
  <c r="BD231" i="58" s="1"/>
  <c r="BL230" i="58"/>
  <c r="BK230" i="58"/>
  <c r="BH230" i="58"/>
  <c r="BG230" i="58"/>
  <c r="BC230" i="58"/>
  <c r="BE230" i="58" s="1"/>
  <c r="BB230" i="58"/>
  <c r="BD230" i="58" s="1"/>
  <c r="BL229" i="58"/>
  <c r="BK229" i="58"/>
  <c r="BH229" i="58"/>
  <c r="BG229" i="58"/>
  <c r="BC229" i="58"/>
  <c r="BE229" i="58" s="1"/>
  <c r="BB229" i="58"/>
  <c r="BD229" i="58" s="1"/>
  <c r="BL228" i="58"/>
  <c r="BK228" i="58"/>
  <c r="BH228" i="58"/>
  <c r="BG228" i="58"/>
  <c r="BC228" i="58"/>
  <c r="BE228" i="58" s="1"/>
  <c r="BB228" i="58"/>
  <c r="BD228" i="58" s="1"/>
  <c r="BL227" i="58"/>
  <c r="BK227" i="58"/>
  <c r="BH227" i="58"/>
  <c r="BG227" i="58"/>
  <c r="BC227" i="58"/>
  <c r="BE227" i="58"/>
  <c r="BB227" i="58"/>
  <c r="BD227" i="58" s="1"/>
  <c r="BC226" i="58"/>
  <c r="BE226" i="58" s="1"/>
  <c r="BB226" i="58"/>
  <c r="BD226" i="58"/>
  <c r="BC225" i="58"/>
  <c r="BE225" i="58"/>
  <c r="BB225" i="58"/>
  <c r="BD225" i="58" s="1"/>
  <c r="BC224" i="58"/>
  <c r="BE224" i="58" s="1"/>
  <c r="BB224" i="58"/>
  <c r="BD224" i="58" s="1"/>
  <c r="BC223" i="58"/>
  <c r="BE223" i="58" s="1"/>
  <c r="BB223" i="58"/>
  <c r="BD223" i="58" s="1"/>
  <c r="BC222" i="58"/>
  <c r="BE222" i="58"/>
  <c r="BB222" i="58"/>
  <c r="BD222" i="58" s="1"/>
  <c r="BC221" i="58"/>
  <c r="BE221" i="58"/>
  <c r="BB221" i="58"/>
  <c r="BD221" i="58" s="1"/>
  <c r="BC220" i="58"/>
  <c r="BE220" i="58" s="1"/>
  <c r="BB220" i="58"/>
  <c r="BD220" i="58" s="1"/>
  <c r="BC219" i="58"/>
  <c r="BE219" i="58" s="1"/>
  <c r="BB219" i="58"/>
  <c r="BD219" i="58" s="1"/>
  <c r="BC218" i="58"/>
  <c r="BE218" i="58" s="1"/>
  <c r="BB218" i="58"/>
  <c r="BD218" i="58" s="1"/>
  <c r="BC217" i="58"/>
  <c r="BE217" i="58" s="1"/>
  <c r="BB217" i="58"/>
  <c r="BD217" i="58" s="1"/>
  <c r="R217" i="58"/>
  <c r="Q217" i="58"/>
  <c r="P217" i="58"/>
  <c r="O217" i="58"/>
  <c r="N217" i="58"/>
  <c r="M217" i="58"/>
  <c r="L217" i="58"/>
  <c r="K217" i="58"/>
  <c r="J217" i="58"/>
  <c r="I217" i="58"/>
  <c r="H217" i="58"/>
  <c r="G217" i="58"/>
  <c r="F217" i="58"/>
  <c r="E217" i="58"/>
  <c r="D217" i="58"/>
  <c r="C217" i="58"/>
  <c r="B217" i="58"/>
  <c r="A217" i="58"/>
  <c r="BC216" i="58"/>
  <c r="BE216" i="58" s="1"/>
  <c r="BB216" i="58"/>
  <c r="BD216" i="58"/>
  <c r="R216" i="58"/>
  <c r="Q216" i="58"/>
  <c r="P216" i="58"/>
  <c r="O216" i="58"/>
  <c r="N216" i="58"/>
  <c r="M216" i="58"/>
  <c r="L216" i="58"/>
  <c r="K216" i="58"/>
  <c r="J216" i="58"/>
  <c r="I216" i="58"/>
  <c r="H216" i="58"/>
  <c r="G216" i="58"/>
  <c r="F216" i="58"/>
  <c r="E216" i="58"/>
  <c r="D216" i="58"/>
  <c r="C216" i="58"/>
  <c r="B216" i="58"/>
  <c r="A216" i="58"/>
  <c r="S216" i="58" s="1"/>
  <c r="BC215" i="58"/>
  <c r="BE215" i="58"/>
  <c r="BB215" i="58"/>
  <c r="BD215" i="58" s="1"/>
  <c r="BC214" i="58"/>
  <c r="BE214" i="58" s="1"/>
  <c r="BB214" i="58"/>
  <c r="BD214" i="58" s="1"/>
  <c r="BH213" i="58"/>
  <c r="BG213" i="58"/>
  <c r="BC213" i="58"/>
  <c r="BE213" i="58" s="1"/>
  <c r="BB213" i="58"/>
  <c r="BD213" i="58" s="1"/>
  <c r="BH212" i="58"/>
  <c r="BG212" i="58"/>
  <c r="BC212" i="58"/>
  <c r="BE212" i="58" s="1"/>
  <c r="BB212" i="58"/>
  <c r="BD212" i="58" s="1"/>
  <c r="BH211" i="58"/>
  <c r="BG211" i="58"/>
  <c r="BC211" i="58"/>
  <c r="BE211" i="58" s="1"/>
  <c r="BB211" i="58"/>
  <c r="BD211" i="58"/>
  <c r="BH210" i="58"/>
  <c r="BG210" i="58"/>
  <c r="BC210" i="58"/>
  <c r="BE210" i="58"/>
  <c r="BB210" i="58"/>
  <c r="BD210" i="58" s="1"/>
  <c r="BH209" i="58"/>
  <c r="BG209" i="58"/>
  <c r="BC209" i="58"/>
  <c r="BE209" i="58" s="1"/>
  <c r="BB209" i="58"/>
  <c r="BD209" i="58" s="1"/>
  <c r="BH208" i="58"/>
  <c r="BG208" i="58"/>
  <c r="BC208" i="58"/>
  <c r="BE208" i="58" s="1"/>
  <c r="BB208" i="58"/>
  <c r="BD208" i="58"/>
  <c r="BH207" i="58"/>
  <c r="BG207" i="58"/>
  <c r="BC207" i="58"/>
  <c r="BE207" i="58" s="1"/>
  <c r="BB207" i="58"/>
  <c r="BD207" i="58" s="1"/>
  <c r="BH206" i="58"/>
  <c r="BG206" i="58"/>
  <c r="BC206" i="58"/>
  <c r="BE206" i="58" s="1"/>
  <c r="BB206" i="58"/>
  <c r="BD206" i="58"/>
  <c r="BH205" i="58"/>
  <c r="BG205" i="58"/>
  <c r="BC205" i="58"/>
  <c r="BE205" i="58" s="1"/>
  <c r="BB205" i="58"/>
  <c r="BD205" i="58" s="1"/>
  <c r="BH204" i="58"/>
  <c r="BG204" i="58"/>
  <c r="BC204" i="58"/>
  <c r="BE204" i="58" s="1"/>
  <c r="BB204" i="58"/>
  <c r="BD204" i="58" s="1"/>
  <c r="BH203" i="58"/>
  <c r="BG203" i="58"/>
  <c r="BC203" i="58"/>
  <c r="BE203" i="58" s="1"/>
  <c r="BB203" i="58"/>
  <c r="BD203" i="58"/>
  <c r="BH202" i="58"/>
  <c r="BG202" i="58"/>
  <c r="BC202" i="58"/>
  <c r="BE202" i="58" s="1"/>
  <c r="BB202" i="58"/>
  <c r="BD202" i="58" s="1"/>
  <c r="BH201" i="58"/>
  <c r="BG201" i="58"/>
  <c r="BC201" i="58"/>
  <c r="BE201" i="58" s="1"/>
  <c r="BB201" i="58"/>
  <c r="BD201" i="58" s="1"/>
  <c r="BH200" i="58"/>
  <c r="BG200" i="58"/>
  <c r="BC200" i="58"/>
  <c r="BE200" i="58" s="1"/>
  <c r="BB200" i="58"/>
  <c r="BD200" i="58" s="1"/>
  <c r="BH199" i="58"/>
  <c r="BG199" i="58"/>
  <c r="BC199" i="58"/>
  <c r="BE199" i="58" s="1"/>
  <c r="BB199" i="58"/>
  <c r="BD199" i="58"/>
  <c r="BH198" i="58"/>
  <c r="BG198" i="58"/>
  <c r="BC198" i="58"/>
  <c r="BE198" i="58" s="1"/>
  <c r="BB198" i="58"/>
  <c r="BD198" i="58" s="1"/>
  <c r="BH197" i="58"/>
  <c r="BG197" i="58"/>
  <c r="BC197" i="58"/>
  <c r="BE197" i="58" s="1"/>
  <c r="BB197" i="58"/>
  <c r="BD197" i="58" s="1"/>
  <c r="BH196" i="58"/>
  <c r="BG196" i="58"/>
  <c r="BC196" i="58"/>
  <c r="BE196" i="58"/>
  <c r="BB196" i="58"/>
  <c r="BD196" i="58" s="1"/>
  <c r="BH195" i="58"/>
  <c r="BG195" i="58"/>
  <c r="BC195" i="58"/>
  <c r="BE195" i="58" s="1"/>
  <c r="BB195" i="58"/>
  <c r="BD195" i="58" s="1"/>
  <c r="BH194" i="58"/>
  <c r="BG194" i="58"/>
  <c r="BC194" i="58"/>
  <c r="BE194" i="58"/>
  <c r="BB194" i="58"/>
  <c r="BD194" i="58"/>
  <c r="BH193" i="58"/>
  <c r="BG193" i="58"/>
  <c r="BC193" i="58"/>
  <c r="BE193" i="58" s="1"/>
  <c r="BB193" i="58"/>
  <c r="BD193" i="58"/>
  <c r="BH192" i="58"/>
  <c r="BG192" i="58"/>
  <c r="BC192" i="58"/>
  <c r="BE192" i="58"/>
  <c r="BB192" i="58"/>
  <c r="BD192" i="58" s="1"/>
  <c r="BH191" i="58"/>
  <c r="BG191" i="58"/>
  <c r="BE191" i="58"/>
  <c r="BC191" i="58"/>
  <c r="BB191" i="58"/>
  <c r="BD191" i="58" s="1"/>
  <c r="BH190" i="58"/>
  <c r="BG190" i="58"/>
  <c r="BC190" i="58"/>
  <c r="BE190" i="58" s="1"/>
  <c r="BB190" i="58"/>
  <c r="BD190" i="58" s="1"/>
  <c r="BH189" i="58"/>
  <c r="BG189" i="58"/>
  <c r="BC189" i="58"/>
  <c r="BE189" i="58" s="1"/>
  <c r="BB189" i="58"/>
  <c r="BD189" i="58" s="1"/>
  <c r="BH188" i="58"/>
  <c r="BG188" i="58"/>
  <c r="BC188" i="58"/>
  <c r="BE188" i="58" s="1"/>
  <c r="BB188" i="58"/>
  <c r="BD188" i="58" s="1"/>
  <c r="BH187" i="58"/>
  <c r="BG187" i="58"/>
  <c r="BC187" i="58"/>
  <c r="BE187" i="58" s="1"/>
  <c r="BB187" i="58"/>
  <c r="BD187" i="58" s="1"/>
  <c r="BH186" i="58"/>
  <c r="BG186" i="58"/>
  <c r="BC186" i="58"/>
  <c r="BE186" i="58" s="1"/>
  <c r="BB186" i="58"/>
  <c r="BD186" i="58"/>
  <c r="BH185" i="58"/>
  <c r="BG185" i="58"/>
  <c r="BC185" i="58"/>
  <c r="BE185" i="58" s="1"/>
  <c r="BB185" i="58"/>
  <c r="BD185" i="58"/>
  <c r="BH184" i="58"/>
  <c r="BG184" i="58"/>
  <c r="BC184" i="58"/>
  <c r="BE184" i="58" s="1"/>
  <c r="BB184" i="58"/>
  <c r="BD184" i="58" s="1"/>
  <c r="BC183" i="58"/>
  <c r="BE183" i="58" s="1"/>
  <c r="BB183" i="58"/>
  <c r="BD183" i="58" s="1"/>
  <c r="BC182" i="58"/>
  <c r="BE182" i="58" s="1"/>
  <c r="BB182" i="58"/>
  <c r="BD182" i="58" s="1"/>
  <c r="BC181" i="58"/>
  <c r="BE181" i="58" s="1"/>
  <c r="BB181" i="58"/>
  <c r="BD181" i="58" s="1"/>
  <c r="BC180" i="58"/>
  <c r="BE180" i="58" s="1"/>
  <c r="BB180" i="58"/>
  <c r="BD180" i="58" s="1"/>
  <c r="BC179" i="58"/>
  <c r="BE179" i="58"/>
  <c r="BB179" i="58"/>
  <c r="BD179" i="58" s="1"/>
  <c r="BC178" i="58"/>
  <c r="BE178" i="58" s="1"/>
  <c r="BB178" i="58"/>
  <c r="BD178" i="58" s="1"/>
  <c r="BC177" i="58"/>
  <c r="BE177" i="58" s="1"/>
  <c r="BB177" i="58"/>
  <c r="BD177" i="58" s="1"/>
  <c r="BC176" i="58"/>
  <c r="BE176" i="58" s="1"/>
  <c r="BB176" i="58"/>
  <c r="BD176" i="58" s="1"/>
  <c r="BC175" i="58"/>
  <c r="BE175" i="58" s="1"/>
  <c r="BB175" i="58"/>
  <c r="BD175" i="58" s="1"/>
  <c r="BC174" i="58"/>
  <c r="BE174" i="58" s="1"/>
  <c r="BB174" i="58"/>
  <c r="BD174" i="58" s="1"/>
  <c r="R174" i="58"/>
  <c r="Q174" i="58"/>
  <c r="P174" i="58"/>
  <c r="O174" i="58"/>
  <c r="N174" i="58"/>
  <c r="M174" i="58"/>
  <c r="L174" i="58"/>
  <c r="K174" i="58"/>
  <c r="J174" i="58"/>
  <c r="I174" i="58"/>
  <c r="H174" i="58"/>
  <c r="G174" i="58"/>
  <c r="F174" i="58"/>
  <c r="E174" i="58"/>
  <c r="D174" i="58"/>
  <c r="C174" i="58"/>
  <c r="B174" i="58"/>
  <c r="A174" i="58"/>
  <c r="BC173" i="58"/>
  <c r="BE173" i="58" s="1"/>
  <c r="BB173" i="58"/>
  <c r="BD173" i="58" s="1"/>
  <c r="R173" i="58"/>
  <c r="Q173" i="58"/>
  <c r="P173" i="58"/>
  <c r="O173" i="58"/>
  <c r="N173" i="58"/>
  <c r="M173" i="58"/>
  <c r="L173" i="58"/>
  <c r="K173" i="58"/>
  <c r="J173" i="58"/>
  <c r="I173" i="58"/>
  <c r="H173" i="58"/>
  <c r="G173" i="58"/>
  <c r="F173" i="58"/>
  <c r="E173" i="58"/>
  <c r="D173" i="58"/>
  <c r="C173" i="58"/>
  <c r="B173" i="58"/>
  <c r="A173" i="58"/>
  <c r="BC172" i="58"/>
  <c r="BE172" i="58"/>
  <c r="BB172" i="58"/>
  <c r="BD172" i="58" s="1"/>
  <c r="BC171" i="58"/>
  <c r="BE171" i="58"/>
  <c r="BB171" i="58"/>
  <c r="BD171" i="58" s="1"/>
  <c r="BH170" i="58"/>
  <c r="BG170" i="58"/>
  <c r="BC170" i="58"/>
  <c r="BE170" i="58" s="1"/>
  <c r="BB170" i="58"/>
  <c r="BD170" i="58" s="1"/>
  <c r="BH169" i="58"/>
  <c r="BG169" i="58"/>
  <c r="BC169" i="58"/>
  <c r="BE169" i="58" s="1"/>
  <c r="BB169" i="58"/>
  <c r="BD169" i="58" s="1"/>
  <c r="BH168" i="58"/>
  <c r="BG168" i="58"/>
  <c r="BC168" i="58"/>
  <c r="BE168" i="58" s="1"/>
  <c r="BB168" i="58"/>
  <c r="BD168" i="58"/>
  <c r="BH167" i="58"/>
  <c r="BG167" i="58"/>
  <c r="BC167" i="58"/>
  <c r="BE167" i="58"/>
  <c r="BB167" i="58"/>
  <c r="BD167" i="58" s="1"/>
  <c r="BH166" i="58"/>
  <c r="BG166" i="58"/>
  <c r="BC166" i="58"/>
  <c r="BE166" i="58" s="1"/>
  <c r="BB166" i="58"/>
  <c r="BD166" i="58" s="1"/>
  <c r="BH165" i="58"/>
  <c r="BG165" i="58"/>
  <c r="BC165" i="58"/>
  <c r="BE165" i="58" s="1"/>
  <c r="BB165" i="58"/>
  <c r="BD165" i="58" s="1"/>
  <c r="BH164" i="58"/>
  <c r="BG164" i="58"/>
  <c r="BC164" i="58"/>
  <c r="BE164" i="58" s="1"/>
  <c r="BB164" i="58"/>
  <c r="BD164" i="58"/>
  <c r="BH163" i="58"/>
  <c r="BG163" i="58"/>
  <c r="BC163" i="58"/>
  <c r="BE163" i="58"/>
  <c r="BB163" i="58"/>
  <c r="BD163" i="58" s="1"/>
  <c r="BH162" i="58"/>
  <c r="BG162" i="58"/>
  <c r="BC162" i="58"/>
  <c r="BE162" i="58" s="1"/>
  <c r="BB162" i="58"/>
  <c r="BD162" i="58" s="1"/>
  <c r="BH161" i="58"/>
  <c r="BG161" i="58"/>
  <c r="BC161" i="58"/>
  <c r="BE161" i="58" s="1"/>
  <c r="BB161" i="58"/>
  <c r="BD161" i="58" s="1"/>
  <c r="BH160" i="58"/>
  <c r="BG160" i="58"/>
  <c r="BC160" i="58"/>
  <c r="BE160" i="58" s="1"/>
  <c r="BB160" i="58"/>
  <c r="BD160" i="58"/>
  <c r="BH159" i="58"/>
  <c r="BG159" i="58"/>
  <c r="BC159" i="58"/>
  <c r="BE159" i="58"/>
  <c r="BB159" i="58"/>
  <c r="BD159" i="58" s="1"/>
  <c r="BH158" i="58"/>
  <c r="BG158" i="58"/>
  <c r="BC158" i="58"/>
  <c r="BE158" i="58" s="1"/>
  <c r="BB158" i="58"/>
  <c r="BD158" i="58" s="1"/>
  <c r="BH157" i="58"/>
  <c r="BG157" i="58"/>
  <c r="BC157" i="58"/>
  <c r="BE157" i="58" s="1"/>
  <c r="BB157" i="58"/>
  <c r="BD157" i="58" s="1"/>
  <c r="BH156" i="58"/>
  <c r="BG156" i="58"/>
  <c r="BC156" i="58"/>
  <c r="BE156" i="58" s="1"/>
  <c r="BB156" i="58"/>
  <c r="BD156" i="58"/>
  <c r="BH155" i="58"/>
  <c r="BG155" i="58"/>
  <c r="BC155" i="58"/>
  <c r="BE155" i="58"/>
  <c r="BB155" i="58"/>
  <c r="BD155" i="58" s="1"/>
  <c r="BH154" i="58"/>
  <c r="BG154" i="58"/>
  <c r="BC154" i="58"/>
  <c r="BE154" i="58" s="1"/>
  <c r="BB154" i="58"/>
  <c r="BD154" i="58" s="1"/>
  <c r="BH153" i="58"/>
  <c r="BG153" i="58"/>
  <c r="BC153" i="58"/>
  <c r="BE153" i="58" s="1"/>
  <c r="BB153" i="58"/>
  <c r="BD153" i="58" s="1"/>
  <c r="BH152" i="58"/>
  <c r="BG152" i="58"/>
  <c r="BC152" i="58"/>
  <c r="BE152" i="58" s="1"/>
  <c r="BB152" i="58"/>
  <c r="BD152" i="58"/>
  <c r="BH151" i="58"/>
  <c r="BG151" i="58"/>
  <c r="BC151" i="58"/>
  <c r="BE151" i="58"/>
  <c r="BB151" i="58"/>
  <c r="BD151" i="58" s="1"/>
  <c r="BH150" i="58"/>
  <c r="BG150" i="58"/>
  <c r="BC150" i="58"/>
  <c r="BE150" i="58" s="1"/>
  <c r="BB150" i="58"/>
  <c r="BD150" i="58" s="1"/>
  <c r="BH149" i="58"/>
  <c r="BG149" i="58"/>
  <c r="BC149" i="58"/>
  <c r="BE149" i="58" s="1"/>
  <c r="BB149" i="58"/>
  <c r="BD149" i="58" s="1"/>
  <c r="BH148" i="58"/>
  <c r="BG148" i="58"/>
  <c r="BC148" i="58"/>
  <c r="BE148" i="58" s="1"/>
  <c r="BB148" i="58"/>
  <c r="BD148" i="58"/>
  <c r="BH147" i="58"/>
  <c r="BG147" i="58"/>
  <c r="BC147" i="58"/>
  <c r="BE147" i="58"/>
  <c r="BB147" i="58"/>
  <c r="BD147" i="58" s="1"/>
  <c r="BH146" i="58"/>
  <c r="BG146" i="58"/>
  <c r="BC146" i="58"/>
  <c r="BE146" i="58" s="1"/>
  <c r="BB146" i="58"/>
  <c r="BD146" i="58" s="1"/>
  <c r="BH145" i="58"/>
  <c r="BG145" i="58"/>
  <c r="BC145" i="58"/>
  <c r="BE145" i="58" s="1"/>
  <c r="BB145" i="58"/>
  <c r="BD145" i="58" s="1"/>
  <c r="BH144" i="58"/>
  <c r="BG144" i="58"/>
  <c r="BC144" i="58"/>
  <c r="BE144" i="58" s="1"/>
  <c r="BB144" i="58"/>
  <c r="BD144" i="58"/>
  <c r="BH143" i="58"/>
  <c r="BG143" i="58"/>
  <c r="BC143" i="58"/>
  <c r="BE143" i="58"/>
  <c r="BB143" i="58"/>
  <c r="BD143" i="58" s="1"/>
  <c r="BH142" i="58"/>
  <c r="BG142" i="58"/>
  <c r="BC142" i="58"/>
  <c r="BE142" i="58" s="1"/>
  <c r="BB142" i="58"/>
  <c r="BD142" i="58" s="1"/>
  <c r="BH141" i="58"/>
  <c r="BG141" i="58"/>
  <c r="BC141" i="58"/>
  <c r="BE141" i="58" s="1"/>
  <c r="BB141" i="58"/>
  <c r="BD141" i="58" s="1"/>
  <c r="BC140" i="58"/>
  <c r="BE140" i="58" s="1"/>
  <c r="BB140" i="58"/>
  <c r="BD140" i="58" s="1"/>
  <c r="BC139" i="58"/>
  <c r="BE139" i="58" s="1"/>
  <c r="BB139" i="58"/>
  <c r="BD139" i="58" s="1"/>
  <c r="BC138" i="58"/>
  <c r="BE138" i="58" s="1"/>
  <c r="BB138" i="58"/>
  <c r="BD138" i="58" s="1"/>
  <c r="BC137" i="58"/>
  <c r="BE137" i="58" s="1"/>
  <c r="BB137" i="58"/>
  <c r="BD137" i="58" s="1"/>
  <c r="BC136" i="58"/>
  <c r="BE136" i="58" s="1"/>
  <c r="BB136" i="58"/>
  <c r="BD136" i="58" s="1"/>
  <c r="BC135" i="58"/>
  <c r="BE135" i="58" s="1"/>
  <c r="BB135" i="58"/>
  <c r="BD135" i="58" s="1"/>
  <c r="BC134" i="58"/>
  <c r="BE134" i="58"/>
  <c r="BB134" i="58"/>
  <c r="BD134" i="58" s="1"/>
  <c r="BC133" i="58"/>
  <c r="BE133" i="58" s="1"/>
  <c r="BB133" i="58"/>
  <c r="BD133" i="58" s="1"/>
  <c r="BC132" i="58"/>
  <c r="BE132" i="58" s="1"/>
  <c r="BB132" i="58"/>
  <c r="BD132" i="58" s="1"/>
  <c r="BC131" i="58"/>
  <c r="BE131" i="58" s="1"/>
  <c r="BB131" i="58"/>
  <c r="BD131" i="58" s="1"/>
  <c r="R131" i="58"/>
  <c r="Q131" i="58"/>
  <c r="P131" i="58"/>
  <c r="O131" i="58"/>
  <c r="N131" i="58"/>
  <c r="M131" i="58"/>
  <c r="L131" i="58"/>
  <c r="K131" i="58"/>
  <c r="J131" i="58"/>
  <c r="I131" i="58"/>
  <c r="H131" i="58"/>
  <c r="G131" i="58"/>
  <c r="F131" i="58"/>
  <c r="E131" i="58"/>
  <c r="D131" i="58"/>
  <c r="C131" i="58"/>
  <c r="B131" i="58"/>
  <c r="A131" i="58"/>
  <c r="BC130" i="58"/>
  <c r="BE130" i="58" s="1"/>
  <c r="BB130" i="58"/>
  <c r="BD130" i="58" s="1"/>
  <c r="R130" i="58"/>
  <c r="Q130" i="58"/>
  <c r="P130" i="58"/>
  <c r="O130" i="58"/>
  <c r="N130" i="58"/>
  <c r="M130" i="58"/>
  <c r="L130" i="58"/>
  <c r="K130" i="58"/>
  <c r="J130" i="58"/>
  <c r="I130" i="58"/>
  <c r="H130" i="58"/>
  <c r="G130" i="58"/>
  <c r="F130" i="58"/>
  <c r="E130" i="58"/>
  <c r="D130" i="58"/>
  <c r="C130" i="58"/>
  <c r="B130" i="58"/>
  <c r="A130" i="58"/>
  <c r="BC129" i="58"/>
  <c r="BE129" i="58" s="1"/>
  <c r="BB129" i="58"/>
  <c r="BD129" i="58" s="1"/>
  <c r="BC128" i="58"/>
  <c r="BE128" i="58"/>
  <c r="BB128" i="58"/>
  <c r="BD128" i="58" s="1"/>
  <c r="BC127" i="58"/>
  <c r="BE127" i="58" s="1"/>
  <c r="BB127" i="58"/>
  <c r="BD127" i="58" s="1"/>
  <c r="BC126" i="58"/>
  <c r="BE126" i="58" s="1"/>
  <c r="BB126" i="58"/>
  <c r="BD126" i="58" s="1"/>
  <c r="BC125" i="58"/>
  <c r="BE125" i="58"/>
  <c r="BB125" i="58"/>
  <c r="BD125" i="58" s="1"/>
  <c r="BC124" i="58"/>
  <c r="BE124" i="58"/>
  <c r="BB124" i="58"/>
  <c r="BD124" i="58" s="1"/>
  <c r="BC123" i="58"/>
  <c r="BE123" i="58" s="1"/>
  <c r="BB123" i="58"/>
  <c r="BD123" i="58" s="1"/>
  <c r="BC122" i="58"/>
  <c r="BE122" i="58" s="1"/>
  <c r="BB122" i="58"/>
  <c r="BD122" i="58"/>
  <c r="BC121" i="58"/>
  <c r="BE121" i="58" s="1"/>
  <c r="BB121" i="58"/>
  <c r="BD121" i="58"/>
  <c r="BC120" i="58"/>
  <c r="BE120" i="58" s="1"/>
  <c r="BB120" i="58"/>
  <c r="BD120" i="58" s="1"/>
  <c r="BC119" i="58"/>
  <c r="BE119" i="58" s="1"/>
  <c r="BB119" i="58"/>
  <c r="BD119" i="58" s="1"/>
  <c r="CC118" i="58"/>
  <c r="BC118" i="58"/>
  <c r="BE118" i="58"/>
  <c r="BB118" i="58"/>
  <c r="BD118" i="58" s="1"/>
  <c r="CC117" i="58"/>
  <c r="BC117" i="58"/>
  <c r="BE117" i="58" s="1"/>
  <c r="BB117" i="58"/>
  <c r="BD117" i="58" s="1"/>
  <c r="CC116" i="58"/>
  <c r="BC116" i="58"/>
  <c r="BE116" i="58" s="1"/>
  <c r="BB116" i="58"/>
  <c r="BD116" i="58" s="1"/>
  <c r="CC115" i="58"/>
  <c r="BC115" i="58"/>
  <c r="BE115" i="58" s="1"/>
  <c r="BB115" i="58"/>
  <c r="BD115" i="58" s="1"/>
  <c r="CC114" i="58"/>
  <c r="BC114" i="58"/>
  <c r="BE114" i="58" s="1"/>
  <c r="BB114" i="58"/>
  <c r="BD114" i="58" s="1"/>
  <c r="CC113" i="58"/>
  <c r="BC113" i="58"/>
  <c r="BE113" i="58" s="1"/>
  <c r="BB113" i="58"/>
  <c r="BD113" i="58"/>
  <c r="CC112" i="58"/>
  <c r="BC112" i="58"/>
  <c r="BE112" i="58" s="1"/>
  <c r="BB112" i="58"/>
  <c r="BD112" i="58" s="1"/>
  <c r="CC111" i="58"/>
  <c r="BC111" i="58"/>
  <c r="BE111" i="58" s="1"/>
  <c r="BB111" i="58"/>
  <c r="BD111" i="58" s="1"/>
  <c r="CC110" i="58"/>
  <c r="BC110" i="58"/>
  <c r="BE110" i="58" s="1"/>
  <c r="BB110" i="58"/>
  <c r="BD110" i="58" s="1"/>
  <c r="CC109" i="58"/>
  <c r="BC109" i="58"/>
  <c r="BE109" i="58"/>
  <c r="BB109" i="58"/>
  <c r="BD109" i="58" s="1"/>
  <c r="CC108" i="58"/>
  <c r="BC108" i="58"/>
  <c r="BE108" i="58" s="1"/>
  <c r="BB108" i="58"/>
  <c r="BD108" i="58" s="1"/>
  <c r="CC107" i="58"/>
  <c r="BC107" i="58"/>
  <c r="BE107" i="58" s="1"/>
  <c r="BB107" i="58"/>
  <c r="BD107" i="58" s="1"/>
  <c r="CC106" i="58"/>
  <c r="BC106" i="58"/>
  <c r="BE106" i="58" s="1"/>
  <c r="BB106" i="58"/>
  <c r="BD106" i="58" s="1"/>
  <c r="CC105" i="58"/>
  <c r="BC105" i="58"/>
  <c r="BE105" i="58"/>
  <c r="BB105" i="58"/>
  <c r="BD105" i="58" s="1"/>
  <c r="CC104" i="58"/>
  <c r="BC104" i="58"/>
  <c r="BE104" i="58" s="1"/>
  <c r="BB104" i="58"/>
  <c r="BD104" i="58" s="1"/>
  <c r="CC103" i="58"/>
  <c r="BC103" i="58"/>
  <c r="BE103" i="58" s="1"/>
  <c r="BB103" i="58"/>
  <c r="BD103" i="58" s="1"/>
  <c r="CC102" i="58"/>
  <c r="BC102" i="58"/>
  <c r="BE102" i="58"/>
  <c r="BB102" i="58"/>
  <c r="BD102" i="58" s="1"/>
  <c r="CC101" i="58"/>
  <c r="BL101" i="58"/>
  <c r="BC101" i="58"/>
  <c r="BE101" i="58" s="1"/>
  <c r="BB101" i="58"/>
  <c r="BD101" i="58" s="1"/>
  <c r="CC100" i="58"/>
  <c r="BL100" i="58"/>
  <c r="BC100" i="58"/>
  <c r="BE100" i="58" s="1"/>
  <c r="BB100" i="58"/>
  <c r="BD100" i="58" s="1"/>
  <c r="CC99" i="58"/>
  <c r="BL99" i="58"/>
  <c r="BC99" i="58"/>
  <c r="BE99" i="58" s="1"/>
  <c r="BB99" i="58"/>
  <c r="BD99" i="58"/>
  <c r="CC98" i="58"/>
  <c r="BL98" i="58"/>
  <c r="BC98" i="58"/>
  <c r="BE98" i="58"/>
  <c r="BB98" i="58"/>
  <c r="BD98" i="58" s="1"/>
  <c r="CC97" i="58"/>
  <c r="BL97" i="58"/>
  <c r="BC97" i="58"/>
  <c r="BE97" i="58" s="1"/>
  <c r="BB97" i="58"/>
  <c r="BD97" i="58" s="1"/>
  <c r="CC96" i="58"/>
  <c r="BL96" i="58"/>
  <c r="BC96" i="58"/>
  <c r="BE96" i="58" s="1"/>
  <c r="BB96" i="58"/>
  <c r="BD96" i="58" s="1"/>
  <c r="CC95" i="58"/>
  <c r="BL95" i="58"/>
  <c r="BC95" i="58"/>
  <c r="BE95" i="58" s="1"/>
  <c r="BB95" i="58"/>
  <c r="BD95" i="58" s="1"/>
  <c r="CE94" i="58"/>
  <c r="CD94" i="58"/>
  <c r="CC94" i="58"/>
  <c r="BL94" i="58"/>
  <c r="BC94" i="58"/>
  <c r="BE94" i="58" s="1"/>
  <c r="BB94" i="58"/>
  <c r="BD94" i="58" s="1"/>
  <c r="CC93" i="58"/>
  <c r="BL93" i="58"/>
  <c r="BC93" i="58"/>
  <c r="BE93" i="58" s="1"/>
  <c r="BB93" i="58"/>
  <c r="BD93" i="58" s="1"/>
  <c r="CC92" i="58"/>
  <c r="BL92" i="58"/>
  <c r="BC92" i="58"/>
  <c r="BE92" i="58" s="1"/>
  <c r="BB92" i="58"/>
  <c r="BD92" i="58" s="1"/>
  <c r="CC91" i="58"/>
  <c r="BL91" i="58"/>
  <c r="BC91" i="58"/>
  <c r="BE91" i="58" s="1"/>
  <c r="BB91" i="58"/>
  <c r="BD91" i="58" s="1"/>
  <c r="CC90" i="58"/>
  <c r="BL90" i="58"/>
  <c r="BC90" i="58"/>
  <c r="BE90" i="58" s="1"/>
  <c r="BB90" i="58"/>
  <c r="BD90" i="58" s="1"/>
  <c r="CC89" i="58"/>
  <c r="BL89" i="58"/>
  <c r="BC89" i="58"/>
  <c r="BE89" i="58" s="1"/>
  <c r="BB89" i="58"/>
  <c r="BD89" i="58" s="1"/>
  <c r="CC88" i="58"/>
  <c r="BL88" i="58"/>
  <c r="BC88" i="58"/>
  <c r="BE88" i="58" s="1"/>
  <c r="BB88" i="58"/>
  <c r="BD88" i="58" s="1"/>
  <c r="R88" i="58"/>
  <c r="Q88" i="58"/>
  <c r="P88" i="58"/>
  <c r="O88" i="58"/>
  <c r="N88" i="58"/>
  <c r="M88" i="58"/>
  <c r="L88" i="58"/>
  <c r="K88" i="58"/>
  <c r="J88" i="58"/>
  <c r="I88" i="58"/>
  <c r="H88" i="58"/>
  <c r="G88" i="58"/>
  <c r="F88" i="58"/>
  <c r="E88" i="58"/>
  <c r="D88" i="58"/>
  <c r="C88" i="58"/>
  <c r="B88" i="58"/>
  <c r="A88" i="58"/>
  <c r="CC87" i="58"/>
  <c r="BL87" i="58"/>
  <c r="BC87" i="58"/>
  <c r="BE87" i="58" s="1"/>
  <c r="BB87" i="58"/>
  <c r="BD87" i="58" s="1"/>
  <c r="R87" i="58"/>
  <c r="Q87" i="58"/>
  <c r="P87" i="58"/>
  <c r="O87" i="58"/>
  <c r="N87" i="58"/>
  <c r="M87" i="58"/>
  <c r="L87" i="58"/>
  <c r="K87" i="58"/>
  <c r="J87" i="58"/>
  <c r="I87" i="58"/>
  <c r="H87" i="58"/>
  <c r="G87" i="58"/>
  <c r="F87" i="58"/>
  <c r="E87" i="58"/>
  <c r="D87" i="58"/>
  <c r="C87" i="58"/>
  <c r="B87" i="58"/>
  <c r="A87" i="58"/>
  <c r="CC86" i="58"/>
  <c r="BC86" i="58"/>
  <c r="BE86" i="58"/>
  <c r="BB86" i="58"/>
  <c r="BD86" i="58" s="1"/>
  <c r="CC85" i="58"/>
  <c r="BN85" i="58"/>
  <c r="BM85" i="58"/>
  <c r="BL85" i="58"/>
  <c r="BK85" i="58"/>
  <c r="BJ85" i="58"/>
  <c r="BI85" i="58"/>
  <c r="BH85" i="58"/>
  <c r="BG85" i="58"/>
  <c r="BC85" i="58"/>
  <c r="BE85" i="58" s="1"/>
  <c r="BB85" i="58"/>
  <c r="BD85" i="58" s="1"/>
  <c r="CC84" i="58"/>
  <c r="BN84" i="58"/>
  <c r="BM84" i="58"/>
  <c r="BL84" i="58"/>
  <c r="BK84" i="58"/>
  <c r="BJ84" i="58"/>
  <c r="BI84" i="58"/>
  <c r="BH84" i="58"/>
  <c r="BG84" i="58"/>
  <c r="BC84" i="58"/>
  <c r="BE84" i="58" s="1"/>
  <c r="BB84" i="58"/>
  <c r="BD84" i="58" s="1"/>
  <c r="CC83" i="58"/>
  <c r="BN83" i="58"/>
  <c r="BM83" i="58"/>
  <c r="BL83" i="58"/>
  <c r="BK83" i="58"/>
  <c r="BJ83" i="58"/>
  <c r="BI83" i="58"/>
  <c r="BH83" i="58"/>
  <c r="BG83" i="58"/>
  <c r="BC83" i="58"/>
  <c r="BE83" i="58" s="1"/>
  <c r="BB83" i="58"/>
  <c r="BD83" i="58" s="1"/>
  <c r="CC82" i="58"/>
  <c r="BN82" i="58"/>
  <c r="BM82" i="58"/>
  <c r="BL82" i="58"/>
  <c r="BK82" i="58"/>
  <c r="BJ82" i="58"/>
  <c r="BI82" i="58"/>
  <c r="BH82" i="58"/>
  <c r="BG82" i="58"/>
  <c r="BC82" i="58"/>
  <c r="BE82" i="58" s="1"/>
  <c r="BB82" i="58"/>
  <c r="BD82" i="58" s="1"/>
  <c r="CC81" i="58"/>
  <c r="BN81" i="58"/>
  <c r="BM81" i="58"/>
  <c r="BL81" i="58"/>
  <c r="BK81" i="58"/>
  <c r="BJ81" i="58"/>
  <c r="BI81" i="58"/>
  <c r="BH81" i="58"/>
  <c r="BG81" i="58"/>
  <c r="BC81" i="58"/>
  <c r="BE81" i="58" s="1"/>
  <c r="BB81" i="58"/>
  <c r="BD81" i="58"/>
  <c r="CC80" i="58"/>
  <c r="BN80" i="58"/>
  <c r="BM80" i="58"/>
  <c r="BL80" i="58"/>
  <c r="BK80" i="58"/>
  <c r="BJ80" i="58"/>
  <c r="BI80" i="58"/>
  <c r="BH80" i="58"/>
  <c r="BG80" i="58"/>
  <c r="BC80" i="58"/>
  <c r="BE80" i="58" s="1"/>
  <c r="BB80" i="58"/>
  <c r="BD80" i="58"/>
  <c r="CC79" i="58"/>
  <c r="BN79" i="58"/>
  <c r="BM79" i="58"/>
  <c r="BL79" i="58"/>
  <c r="BK79" i="58"/>
  <c r="BJ79" i="58"/>
  <c r="BI79" i="58"/>
  <c r="BH79" i="58"/>
  <c r="BG79" i="58"/>
  <c r="BC79" i="58"/>
  <c r="BE79" i="58" s="1"/>
  <c r="BB79" i="58"/>
  <c r="BD79" i="58" s="1"/>
  <c r="CC78" i="58"/>
  <c r="BN78" i="58"/>
  <c r="BM78" i="58"/>
  <c r="BL78" i="58"/>
  <c r="BK78" i="58"/>
  <c r="BJ78" i="58"/>
  <c r="BI78" i="58"/>
  <c r="BH78" i="58"/>
  <c r="BG78" i="58"/>
  <c r="BC78" i="58"/>
  <c r="BE78" i="58"/>
  <c r="BB78" i="58"/>
  <c r="BD78" i="58" s="1"/>
  <c r="CC77" i="58"/>
  <c r="BN77" i="58"/>
  <c r="BM77" i="58"/>
  <c r="BL77" i="58"/>
  <c r="BK77" i="58"/>
  <c r="BJ77" i="58"/>
  <c r="BI77" i="58"/>
  <c r="BH77" i="58"/>
  <c r="BG77" i="58"/>
  <c r="BC77" i="58"/>
  <c r="BE77" i="58"/>
  <c r="BB77" i="58"/>
  <c r="BD77" i="58" s="1"/>
  <c r="CC76" i="58"/>
  <c r="BN76" i="58"/>
  <c r="BM76" i="58"/>
  <c r="BL76" i="58"/>
  <c r="BK76" i="58"/>
  <c r="BJ76" i="58"/>
  <c r="BI76" i="58"/>
  <c r="BH76" i="58"/>
  <c r="BG76" i="58"/>
  <c r="BC76" i="58"/>
  <c r="BE76" i="58" s="1"/>
  <c r="BB76" i="58"/>
  <c r="BD76" i="58" s="1"/>
  <c r="CC75" i="58"/>
  <c r="BN75" i="58"/>
  <c r="BM75" i="58"/>
  <c r="BL75" i="58"/>
  <c r="BK75" i="58"/>
  <c r="BJ75" i="58"/>
  <c r="BI75" i="58"/>
  <c r="BH75" i="58"/>
  <c r="BG75" i="58"/>
  <c r="BC75" i="58"/>
  <c r="BE75" i="58"/>
  <c r="BB75" i="58"/>
  <c r="BD75" i="58" s="1"/>
  <c r="CC74" i="58"/>
  <c r="BN74" i="58"/>
  <c r="BM74" i="58"/>
  <c r="BL74" i="58"/>
  <c r="BK74" i="58"/>
  <c r="BJ74" i="58"/>
  <c r="BI74" i="58"/>
  <c r="BH74" i="58"/>
  <c r="BG74" i="58"/>
  <c r="BC74" i="58"/>
  <c r="BE74" i="58" s="1"/>
  <c r="BB74" i="58"/>
  <c r="BD74" i="58" s="1"/>
  <c r="CC73" i="58"/>
  <c r="BC73" i="58"/>
  <c r="BE73" i="58"/>
  <c r="BB73" i="58"/>
  <c r="BD73" i="58" s="1"/>
  <c r="CC72" i="58"/>
  <c r="BC72" i="58"/>
  <c r="BE72" i="58" s="1"/>
  <c r="BB72" i="58"/>
  <c r="BD72" i="58" s="1"/>
  <c r="CC71" i="58"/>
  <c r="BC71" i="58"/>
  <c r="BE71" i="58" s="1"/>
  <c r="BB71" i="58"/>
  <c r="BD71" i="58" s="1"/>
  <c r="CC70" i="58"/>
  <c r="BC70" i="58"/>
  <c r="BE70" i="58"/>
  <c r="BB70" i="58"/>
  <c r="BD70" i="58" s="1"/>
  <c r="CC69" i="58"/>
  <c r="BQ69" i="58"/>
  <c r="BP69" i="58"/>
  <c r="BO69" i="58"/>
  <c r="BN69" i="58"/>
  <c r="BM69" i="58"/>
  <c r="BL69" i="58"/>
  <c r="BK69" i="58"/>
  <c r="BJ69" i="58"/>
  <c r="BI69" i="58"/>
  <c r="BH69" i="58"/>
  <c r="BC69" i="58"/>
  <c r="BE69" i="58" s="1"/>
  <c r="BB69" i="58"/>
  <c r="BD69" i="58" s="1"/>
  <c r="CE68" i="58"/>
  <c r="CD68" i="58"/>
  <c r="CC68" i="58"/>
  <c r="BQ68" i="58"/>
  <c r="BP68" i="58"/>
  <c r="BO68" i="58"/>
  <c r="BN68" i="58"/>
  <c r="BM68" i="58"/>
  <c r="BL68" i="58"/>
  <c r="BK68" i="58"/>
  <c r="BJ68" i="58"/>
  <c r="BI68" i="58"/>
  <c r="BH68" i="58"/>
  <c r="BC68" i="58"/>
  <c r="BE68" i="58" s="1"/>
  <c r="BB68" i="58"/>
  <c r="BD68" i="58" s="1"/>
  <c r="CC67" i="58"/>
  <c r="BQ67" i="58"/>
  <c r="BP67" i="58"/>
  <c r="BO67" i="58"/>
  <c r="BN67" i="58"/>
  <c r="BM67" i="58"/>
  <c r="BL67" i="58"/>
  <c r="BK67" i="58"/>
  <c r="BJ67" i="58"/>
  <c r="BI67" i="58"/>
  <c r="BH67" i="58"/>
  <c r="BC67" i="58"/>
  <c r="BE67" i="58" s="1"/>
  <c r="BB67" i="58"/>
  <c r="BD67" i="58" s="1"/>
  <c r="CC66" i="58"/>
  <c r="BQ66" i="58"/>
  <c r="BP66" i="58"/>
  <c r="BO66" i="58"/>
  <c r="BN66" i="58"/>
  <c r="BM66" i="58"/>
  <c r="BL66" i="58"/>
  <c r="BK66" i="58"/>
  <c r="BJ66" i="58"/>
  <c r="BI66" i="58"/>
  <c r="BH66" i="58"/>
  <c r="BC66" i="58"/>
  <c r="BE66" i="58" s="1"/>
  <c r="BB66" i="58"/>
  <c r="BD66" i="58" s="1"/>
  <c r="CC65" i="58"/>
  <c r="BQ65" i="58"/>
  <c r="BP65" i="58"/>
  <c r="BO65" i="58"/>
  <c r="BN65" i="58"/>
  <c r="BM65" i="58"/>
  <c r="BL65" i="58"/>
  <c r="BK65" i="58"/>
  <c r="BJ65" i="58"/>
  <c r="BI65" i="58"/>
  <c r="BH65" i="58"/>
  <c r="BC65" i="58"/>
  <c r="BE65" i="58" s="1"/>
  <c r="BB65" i="58"/>
  <c r="BD65" i="58"/>
  <c r="CC64" i="58"/>
  <c r="BQ64" i="58"/>
  <c r="BP64" i="58"/>
  <c r="BO64" i="58"/>
  <c r="BN64" i="58"/>
  <c r="BM64" i="58"/>
  <c r="BL64" i="58"/>
  <c r="BK64" i="58"/>
  <c r="BJ64" i="58"/>
  <c r="BI64" i="58"/>
  <c r="BH64" i="58"/>
  <c r="BC64" i="58"/>
  <c r="BE64" i="58" s="1"/>
  <c r="BB64" i="58"/>
  <c r="BD64" i="58" s="1"/>
  <c r="CC63" i="58"/>
  <c r="BQ63" i="58"/>
  <c r="BP63" i="58"/>
  <c r="BO63" i="58"/>
  <c r="BN63" i="58"/>
  <c r="BM63" i="58"/>
  <c r="BL63" i="58"/>
  <c r="BK63" i="58"/>
  <c r="BJ63" i="58"/>
  <c r="BI63" i="58"/>
  <c r="BH63" i="58"/>
  <c r="BC63" i="58"/>
  <c r="BE63" i="58" s="1"/>
  <c r="BB63" i="58"/>
  <c r="BD63" i="58"/>
  <c r="CC62" i="58"/>
  <c r="BQ62" i="58"/>
  <c r="BP62" i="58"/>
  <c r="BO62" i="58"/>
  <c r="BN62" i="58"/>
  <c r="BM62" i="58"/>
  <c r="BL62" i="58"/>
  <c r="BK62" i="58"/>
  <c r="BJ62" i="58"/>
  <c r="BI62" i="58"/>
  <c r="BH62" i="58"/>
  <c r="BC62" i="58"/>
  <c r="BE62" i="58" s="1"/>
  <c r="BB62" i="58"/>
  <c r="BD62" i="58" s="1"/>
  <c r="CC61" i="58"/>
  <c r="BQ61" i="58"/>
  <c r="BP61" i="58"/>
  <c r="BO61" i="58"/>
  <c r="BN61" i="58"/>
  <c r="BM61" i="58"/>
  <c r="BL61" i="58"/>
  <c r="BK61" i="58"/>
  <c r="BJ61" i="58"/>
  <c r="BI61" i="58"/>
  <c r="BH61" i="58"/>
  <c r="BC61" i="58"/>
  <c r="BE61" i="58" s="1"/>
  <c r="BB61" i="58"/>
  <c r="BD61" i="58" s="1"/>
  <c r="CC60" i="58"/>
  <c r="BQ60" i="58"/>
  <c r="BP60" i="58"/>
  <c r="BO60" i="58"/>
  <c r="BN60" i="58"/>
  <c r="BM60" i="58"/>
  <c r="BL60" i="58"/>
  <c r="BK60" i="58"/>
  <c r="BJ60" i="58"/>
  <c r="BI60" i="58"/>
  <c r="BH60" i="58"/>
  <c r="BC60" i="58"/>
  <c r="BE60" i="58" s="1"/>
  <c r="BB60" i="58"/>
  <c r="BD60" i="58" s="1"/>
  <c r="CC59" i="58"/>
  <c r="BQ59" i="58"/>
  <c r="BP59" i="58"/>
  <c r="BO59" i="58"/>
  <c r="BN59" i="58"/>
  <c r="BM59" i="58"/>
  <c r="BL59" i="58"/>
  <c r="BK59" i="58"/>
  <c r="BJ59" i="58"/>
  <c r="BI59" i="58"/>
  <c r="BH59" i="58"/>
  <c r="BC59" i="58"/>
  <c r="BE59" i="58" s="1"/>
  <c r="BB59" i="58"/>
  <c r="BD59" i="58" s="1"/>
  <c r="CC58" i="58"/>
  <c r="BQ58" i="58"/>
  <c r="BP58" i="58"/>
  <c r="BO58" i="58"/>
  <c r="BN58" i="58"/>
  <c r="BM58" i="58"/>
  <c r="BL58" i="58"/>
  <c r="BK58" i="58"/>
  <c r="BJ58" i="58"/>
  <c r="BI58" i="58"/>
  <c r="BH58" i="58"/>
  <c r="BC58" i="58"/>
  <c r="BE58" i="58" s="1"/>
  <c r="BB58" i="58"/>
  <c r="BD58" i="58" s="1"/>
  <c r="CC57" i="58"/>
  <c r="BQ57" i="58"/>
  <c r="BP57" i="58"/>
  <c r="BO57" i="58"/>
  <c r="BN57" i="58"/>
  <c r="BM57" i="58"/>
  <c r="BL57" i="58"/>
  <c r="BK57" i="58"/>
  <c r="BJ57" i="58"/>
  <c r="BI57" i="58"/>
  <c r="BH57" i="58"/>
  <c r="BC57" i="58"/>
  <c r="BE57" i="58" s="1"/>
  <c r="BB57" i="58"/>
  <c r="BD57" i="58" s="1"/>
  <c r="CC56" i="58"/>
  <c r="BQ56" i="58"/>
  <c r="BP56" i="58"/>
  <c r="BO56" i="58"/>
  <c r="BN56" i="58"/>
  <c r="BM56" i="58"/>
  <c r="BL56" i="58"/>
  <c r="BK56" i="58"/>
  <c r="BJ56" i="58"/>
  <c r="BI56" i="58"/>
  <c r="BH56" i="58"/>
  <c r="BC56" i="58"/>
  <c r="BE56" i="58" s="1"/>
  <c r="BB56" i="58"/>
  <c r="BD56" i="58" s="1"/>
  <c r="CC55" i="58"/>
  <c r="BQ55" i="58"/>
  <c r="BP55" i="58"/>
  <c r="BO55" i="58"/>
  <c r="BN55" i="58"/>
  <c r="BM55" i="58"/>
  <c r="BL55" i="58"/>
  <c r="BK55" i="58"/>
  <c r="BJ55" i="58"/>
  <c r="BI55" i="58"/>
  <c r="BH55" i="58"/>
  <c r="BC55" i="58"/>
  <c r="BE55" i="58"/>
  <c r="BB55" i="58"/>
  <c r="BD55" i="58" s="1"/>
  <c r="CC54" i="58"/>
  <c r="BQ54" i="58"/>
  <c r="BP54" i="58"/>
  <c r="BO54" i="58"/>
  <c r="BN54" i="58"/>
  <c r="BM54" i="58"/>
  <c r="BL54" i="58"/>
  <c r="BK54" i="58"/>
  <c r="BJ54" i="58"/>
  <c r="BI54" i="58"/>
  <c r="BH54" i="58"/>
  <c r="BC54" i="58"/>
  <c r="BE54" i="58" s="1"/>
  <c r="BB54" i="58"/>
  <c r="BD54" i="58" s="1"/>
  <c r="CC53" i="58"/>
  <c r="BQ53" i="58"/>
  <c r="BP53" i="58"/>
  <c r="BO53" i="58"/>
  <c r="BN53" i="58"/>
  <c r="BM53" i="58"/>
  <c r="BL53" i="58"/>
  <c r="BK53" i="58"/>
  <c r="BJ53" i="58"/>
  <c r="BI53" i="58"/>
  <c r="BH53" i="58"/>
  <c r="BC53" i="58"/>
  <c r="BE53" i="58" s="1"/>
  <c r="BB53" i="58"/>
  <c r="BD53" i="58" s="1"/>
  <c r="CC52" i="58"/>
  <c r="BQ52" i="58"/>
  <c r="BP52" i="58"/>
  <c r="BO52" i="58"/>
  <c r="BN52" i="58"/>
  <c r="BM52" i="58"/>
  <c r="BL52" i="58"/>
  <c r="BK52" i="58"/>
  <c r="BJ52" i="58"/>
  <c r="BI52" i="58"/>
  <c r="BH52" i="58"/>
  <c r="BC52" i="58"/>
  <c r="BE52" i="58" s="1"/>
  <c r="BB52" i="58"/>
  <c r="BD52" i="58" s="1"/>
  <c r="CC51" i="58"/>
  <c r="BQ51" i="58"/>
  <c r="BP51" i="58"/>
  <c r="BO51" i="58"/>
  <c r="BN51" i="58"/>
  <c r="BM51" i="58"/>
  <c r="BL51" i="58"/>
  <c r="BK51" i="58"/>
  <c r="BJ51" i="58"/>
  <c r="BI51" i="58"/>
  <c r="BH51" i="58"/>
  <c r="BC51" i="58"/>
  <c r="BE51" i="58" s="1"/>
  <c r="BB51" i="58"/>
  <c r="BD51" i="58" s="1"/>
  <c r="CC50" i="58"/>
  <c r="BQ50" i="58"/>
  <c r="BP50" i="58"/>
  <c r="BO50" i="58"/>
  <c r="BN50" i="58"/>
  <c r="BM50" i="58"/>
  <c r="BL50" i="58"/>
  <c r="BK50" i="58"/>
  <c r="BJ50" i="58"/>
  <c r="BI50" i="58"/>
  <c r="BH50" i="58"/>
  <c r="BC50" i="58"/>
  <c r="BE50" i="58" s="1"/>
  <c r="BB50" i="58"/>
  <c r="BD50" i="58" s="1"/>
  <c r="CC49" i="58"/>
  <c r="BQ49" i="58"/>
  <c r="BP49" i="58"/>
  <c r="BO49" i="58"/>
  <c r="BN49" i="58"/>
  <c r="BM49" i="58"/>
  <c r="BL49" i="58"/>
  <c r="BK49" i="58"/>
  <c r="BJ49" i="58"/>
  <c r="BI49" i="58"/>
  <c r="BH49" i="58"/>
  <c r="BG49" i="58"/>
  <c r="BF49" i="58"/>
  <c r="BC49" i="58"/>
  <c r="BE49" i="58"/>
  <c r="BB49" i="58"/>
  <c r="BD49" i="58" s="1"/>
  <c r="CC48" i="58"/>
  <c r="BQ48" i="58"/>
  <c r="BP48" i="58"/>
  <c r="BO48" i="58"/>
  <c r="BN48" i="58"/>
  <c r="BM48" i="58"/>
  <c r="BL48" i="58"/>
  <c r="BK48" i="58"/>
  <c r="BJ48" i="58"/>
  <c r="BI48" i="58"/>
  <c r="BH48" i="58"/>
  <c r="BG48" i="58"/>
  <c r="BF48" i="58"/>
  <c r="BC48" i="58"/>
  <c r="BE48" i="58"/>
  <c r="BB48" i="58"/>
  <c r="BD48" i="58" s="1"/>
  <c r="CC47" i="58"/>
  <c r="BW47" i="58"/>
  <c r="BV47" i="58"/>
  <c r="BU47" i="58"/>
  <c r="BT47" i="58"/>
  <c r="BQ47" i="58"/>
  <c r="BP47" i="58"/>
  <c r="BO47" i="58"/>
  <c r="BN47" i="58"/>
  <c r="BM47" i="58"/>
  <c r="BL47" i="58"/>
  <c r="BK47" i="58"/>
  <c r="BJ47" i="58"/>
  <c r="BI47" i="58"/>
  <c r="BH47" i="58"/>
  <c r="BG47" i="58"/>
  <c r="BF47" i="58"/>
  <c r="BC47" i="58"/>
  <c r="BE47" i="58"/>
  <c r="BB47" i="58"/>
  <c r="BD47" i="58" s="1"/>
  <c r="CC46" i="58"/>
  <c r="BQ46" i="58"/>
  <c r="BP46" i="58"/>
  <c r="BO46" i="58"/>
  <c r="BN46" i="58"/>
  <c r="BM46" i="58"/>
  <c r="BL46" i="58"/>
  <c r="BK46" i="58"/>
  <c r="BJ46" i="58"/>
  <c r="BI46" i="58"/>
  <c r="BH46" i="58"/>
  <c r="BG46" i="58"/>
  <c r="BF46" i="58"/>
  <c r="BC46" i="58"/>
  <c r="BE46" i="58" s="1"/>
  <c r="BB46" i="58"/>
  <c r="BD46" i="58" s="1"/>
  <c r="CC45" i="58"/>
  <c r="BQ45" i="58"/>
  <c r="BP45" i="58"/>
  <c r="BO45" i="58"/>
  <c r="BN45" i="58"/>
  <c r="BM45" i="58"/>
  <c r="BL45" i="58"/>
  <c r="BK45" i="58"/>
  <c r="BJ45" i="58"/>
  <c r="BI45" i="58"/>
  <c r="BH45" i="58"/>
  <c r="BG45" i="58"/>
  <c r="BF45" i="58"/>
  <c r="BC45" i="58"/>
  <c r="BE45" i="58" s="1"/>
  <c r="BB45" i="58"/>
  <c r="BD45" i="58" s="1"/>
  <c r="R45" i="58"/>
  <c r="Q45" i="58"/>
  <c r="P45" i="58"/>
  <c r="O45" i="58"/>
  <c r="N45" i="58"/>
  <c r="M45" i="58"/>
  <c r="L45" i="58"/>
  <c r="K45" i="58"/>
  <c r="J45" i="58"/>
  <c r="I45" i="58"/>
  <c r="H45" i="58"/>
  <c r="G45" i="58"/>
  <c r="F45" i="58"/>
  <c r="E45" i="58"/>
  <c r="D45" i="58"/>
  <c r="C45" i="58"/>
  <c r="B45" i="58"/>
  <c r="A45" i="58"/>
  <c r="CC44" i="58"/>
  <c r="BQ44" i="58"/>
  <c r="BP44" i="58"/>
  <c r="BO44" i="58"/>
  <c r="BN44" i="58"/>
  <c r="BM44" i="58"/>
  <c r="BL44" i="58"/>
  <c r="BK44" i="58"/>
  <c r="BJ44" i="58"/>
  <c r="BI44" i="58"/>
  <c r="BH44" i="58"/>
  <c r="BG44" i="58"/>
  <c r="BF44" i="58"/>
  <c r="BC44" i="58"/>
  <c r="BE44" i="58" s="1"/>
  <c r="BB44" i="58"/>
  <c r="BD44" i="58" s="1"/>
  <c r="R44" i="58"/>
  <c r="Q44" i="58"/>
  <c r="P44" i="58"/>
  <c r="O44" i="58"/>
  <c r="N44" i="58"/>
  <c r="M44" i="58"/>
  <c r="L44" i="58"/>
  <c r="K44" i="58"/>
  <c r="J44" i="58"/>
  <c r="I44" i="58"/>
  <c r="H44" i="58"/>
  <c r="G44" i="58"/>
  <c r="F44" i="58"/>
  <c r="E44" i="58"/>
  <c r="D44" i="58"/>
  <c r="C44" i="58"/>
  <c r="B44" i="58"/>
  <c r="A44" i="58"/>
  <c r="CC43" i="58"/>
  <c r="BQ43" i="58"/>
  <c r="BP43" i="58"/>
  <c r="BO43" i="58"/>
  <c r="BN43" i="58"/>
  <c r="BM43" i="58"/>
  <c r="BL43" i="58"/>
  <c r="BK43" i="58"/>
  <c r="BJ43" i="58"/>
  <c r="BI43" i="58"/>
  <c r="BH43" i="58"/>
  <c r="BG43" i="58"/>
  <c r="BF43" i="58"/>
  <c r="BC43" i="58"/>
  <c r="BE43" i="58" s="1"/>
  <c r="BB43" i="58"/>
  <c r="BD43" i="58" s="1"/>
  <c r="CE42" i="58"/>
  <c r="CD42" i="58"/>
  <c r="CC42" i="58"/>
  <c r="BQ42" i="58"/>
  <c r="BP42" i="58"/>
  <c r="BO42" i="58"/>
  <c r="BN42" i="58"/>
  <c r="BM42" i="58"/>
  <c r="BL42" i="58"/>
  <c r="BK42" i="58"/>
  <c r="BJ42" i="58"/>
  <c r="BI42" i="58"/>
  <c r="BH42" i="58"/>
  <c r="BG42" i="58"/>
  <c r="BF42" i="58"/>
  <c r="BC42" i="58"/>
  <c r="BE42" i="58" s="1"/>
  <c r="BB42" i="58"/>
  <c r="BD42" i="58" s="1"/>
  <c r="CC41" i="58"/>
  <c r="BQ41" i="58"/>
  <c r="BP41" i="58"/>
  <c r="BO41" i="58"/>
  <c r="BN41" i="58"/>
  <c r="BM41" i="58"/>
  <c r="BL41" i="58"/>
  <c r="BK41" i="58"/>
  <c r="BJ41" i="58"/>
  <c r="BI41" i="58"/>
  <c r="BH41" i="58"/>
  <c r="BG41" i="58"/>
  <c r="BF41" i="58"/>
  <c r="BC41" i="58"/>
  <c r="BE41" i="58" s="1"/>
  <c r="BB41" i="58"/>
  <c r="BD41" i="58" s="1"/>
  <c r="CC40" i="58"/>
  <c r="BQ40" i="58"/>
  <c r="BP40" i="58"/>
  <c r="BO40" i="58"/>
  <c r="BN40" i="58"/>
  <c r="BM40" i="58"/>
  <c r="BL40" i="58"/>
  <c r="BK40" i="58"/>
  <c r="BJ40" i="58"/>
  <c r="BI40" i="58"/>
  <c r="BH40" i="58"/>
  <c r="BG40" i="58"/>
  <c r="BF40" i="58"/>
  <c r="BC40" i="58"/>
  <c r="BE40" i="58" s="1"/>
  <c r="BB40" i="58"/>
  <c r="BD40" i="58" s="1"/>
  <c r="CC39" i="58"/>
  <c r="BC39" i="58"/>
  <c r="BE39" i="58"/>
  <c r="BB39" i="58"/>
  <c r="BD39" i="58" s="1"/>
  <c r="CC38" i="58"/>
  <c r="BC38" i="58"/>
  <c r="BE38" i="58" s="1"/>
  <c r="BB38" i="58"/>
  <c r="BD38" i="58" s="1"/>
  <c r="CC37" i="58"/>
  <c r="BW37" i="58"/>
  <c r="BW67" i="58" s="1"/>
  <c r="BV37" i="58"/>
  <c r="BV67" i="58" s="1"/>
  <c r="BU37" i="58"/>
  <c r="BU67" i="58" s="1"/>
  <c r="BT37" i="58"/>
  <c r="BT67" i="58" s="1"/>
  <c r="BR37" i="58"/>
  <c r="BQ37" i="58"/>
  <c r="BP37" i="58"/>
  <c r="BO37" i="58"/>
  <c r="BN37" i="58"/>
  <c r="BM37" i="58"/>
  <c r="BL37" i="58"/>
  <c r="BK37" i="58"/>
  <c r="BJ37" i="58"/>
  <c r="BI37" i="58"/>
  <c r="BH37" i="58"/>
  <c r="BG37" i="58"/>
  <c r="BC37" i="58"/>
  <c r="BE37" i="58" s="1"/>
  <c r="BB37" i="58"/>
  <c r="BD37" i="58" s="1"/>
  <c r="CC36" i="58"/>
  <c r="BW36" i="58"/>
  <c r="CE113" i="58" s="1"/>
  <c r="BV36" i="58"/>
  <c r="CE87" i="58" s="1"/>
  <c r="BU36" i="58"/>
  <c r="CE61" i="58" s="1"/>
  <c r="BT36" i="58"/>
  <c r="CE35" i="58" s="1"/>
  <c r="BR36" i="58"/>
  <c r="BQ36" i="58"/>
  <c r="BP36" i="58"/>
  <c r="BO36" i="58"/>
  <c r="BN36" i="58"/>
  <c r="BM36" i="58"/>
  <c r="BL36" i="58"/>
  <c r="BK36" i="58"/>
  <c r="BJ36" i="58"/>
  <c r="BI36" i="58"/>
  <c r="BH36" i="58"/>
  <c r="BG36" i="58"/>
  <c r="BC36" i="58"/>
  <c r="BE36" i="58" s="1"/>
  <c r="BB36" i="58"/>
  <c r="BD36" i="58" s="1"/>
  <c r="CC35" i="58"/>
  <c r="BW35" i="58"/>
  <c r="CD112" i="58" s="1"/>
  <c r="BV35" i="58"/>
  <c r="CE86" i="58" s="1"/>
  <c r="BU35" i="58"/>
  <c r="BU65" i="58" s="1"/>
  <c r="BT35" i="58"/>
  <c r="CE34" i="58" s="1"/>
  <c r="BR35" i="58"/>
  <c r="BQ35" i="58"/>
  <c r="BP35" i="58"/>
  <c r="BO35" i="58"/>
  <c r="BN35" i="58"/>
  <c r="BM35" i="58"/>
  <c r="BL35" i="58"/>
  <c r="BK35" i="58"/>
  <c r="BJ35" i="58"/>
  <c r="BI35" i="58"/>
  <c r="BH35" i="58"/>
  <c r="BG35" i="58"/>
  <c r="BC35" i="58"/>
  <c r="BE35" i="58" s="1"/>
  <c r="BB35" i="58"/>
  <c r="BD35" i="58" s="1"/>
  <c r="AK35" i="58"/>
  <c r="AI35" i="58"/>
  <c r="AG35" i="58"/>
  <c r="CC34" i="58"/>
  <c r="BW34" i="58"/>
  <c r="CE111" i="58" s="1"/>
  <c r="BV34" i="58"/>
  <c r="CD85" i="58" s="1"/>
  <c r="BU34" i="58"/>
  <c r="BU64" i="58" s="1"/>
  <c r="BT34" i="58"/>
  <c r="CD33" i="58" s="1"/>
  <c r="BR34" i="58"/>
  <c r="BQ34" i="58"/>
  <c r="BP34" i="58"/>
  <c r="BO34" i="58"/>
  <c r="BN34" i="58"/>
  <c r="BM34" i="58"/>
  <c r="BL34" i="58"/>
  <c r="BK34" i="58"/>
  <c r="BJ34" i="58"/>
  <c r="BI34" i="58"/>
  <c r="BH34" i="58"/>
  <c r="BG34" i="58"/>
  <c r="BC34" i="58"/>
  <c r="BE34" i="58" s="1"/>
  <c r="BB34" i="58"/>
  <c r="BD34" i="58" s="1"/>
  <c r="AI34" i="58"/>
  <c r="CC33" i="58"/>
  <c r="BW33" i="58"/>
  <c r="BW63" i="58" s="1"/>
  <c r="BV33" i="58"/>
  <c r="BV63" i="58" s="1"/>
  <c r="BU33" i="58"/>
  <c r="CE58" i="58" s="1"/>
  <c r="BT33" i="58"/>
  <c r="BT63" i="58" s="1"/>
  <c r="BR33" i="58"/>
  <c r="BQ33" i="58"/>
  <c r="BP33" i="58"/>
  <c r="BO33" i="58"/>
  <c r="BN33" i="58"/>
  <c r="BM33" i="58"/>
  <c r="BL33" i="58"/>
  <c r="BK33" i="58"/>
  <c r="BJ33" i="58"/>
  <c r="BI33" i="58"/>
  <c r="BH33" i="58"/>
  <c r="BG33" i="58"/>
  <c r="BC33" i="58"/>
  <c r="BE33" i="58" s="1"/>
  <c r="BB33" i="58"/>
  <c r="BD33" i="58" s="1"/>
  <c r="CC32" i="58"/>
  <c r="BW32" i="58"/>
  <c r="BW62" i="58" s="1"/>
  <c r="BV32" i="58"/>
  <c r="BV62" i="58" s="1"/>
  <c r="BU32" i="58"/>
  <c r="BU62" i="58" s="1"/>
  <c r="BT32" i="58"/>
  <c r="BT62" i="58" s="1"/>
  <c r="BR32" i="58"/>
  <c r="BQ32" i="58"/>
  <c r="BP32" i="58"/>
  <c r="BO32" i="58"/>
  <c r="BN32" i="58"/>
  <c r="BM32" i="58"/>
  <c r="BL32" i="58"/>
  <c r="BK32" i="58"/>
  <c r="BJ32" i="58"/>
  <c r="BI32" i="58"/>
  <c r="BH32" i="58"/>
  <c r="BG32" i="58"/>
  <c r="BC32" i="58"/>
  <c r="BE32" i="58" s="1"/>
  <c r="BB32" i="58"/>
  <c r="BD32" i="58" s="1"/>
  <c r="CC31" i="58"/>
  <c r="BW31" i="58"/>
  <c r="CE108" i="58" s="1"/>
  <c r="BV31" i="58"/>
  <c r="CE82" i="58" s="1"/>
  <c r="BU31" i="58"/>
  <c r="CE56" i="58" s="1"/>
  <c r="BT31" i="58"/>
  <c r="CE30" i="58" s="1"/>
  <c r="BR31" i="58"/>
  <c r="BQ31" i="58"/>
  <c r="BP31" i="58"/>
  <c r="BO31" i="58"/>
  <c r="BN31" i="58"/>
  <c r="BM31" i="58"/>
  <c r="BL31" i="58"/>
  <c r="BK31" i="58"/>
  <c r="BJ31" i="58"/>
  <c r="BI31" i="58"/>
  <c r="BH31" i="58"/>
  <c r="BG31" i="58"/>
  <c r="BC31" i="58"/>
  <c r="BE31" i="58" s="1"/>
  <c r="BB31" i="58"/>
  <c r="BD31" i="58" s="1"/>
  <c r="CC30" i="58"/>
  <c r="BW30" i="58"/>
  <c r="CE107" i="58" s="1"/>
  <c r="BV30" i="58"/>
  <c r="CE81" i="58" s="1"/>
  <c r="BU30" i="58"/>
  <c r="CE55" i="58" s="1"/>
  <c r="BT30" i="58"/>
  <c r="CD29" i="58" s="1"/>
  <c r="BR30" i="58"/>
  <c r="BQ30" i="58"/>
  <c r="BP30" i="58"/>
  <c r="BO30" i="58"/>
  <c r="BN30" i="58"/>
  <c r="BM30" i="58"/>
  <c r="BL30" i="58"/>
  <c r="BK30" i="58"/>
  <c r="BJ30" i="58"/>
  <c r="BI30" i="58"/>
  <c r="BH30" i="58"/>
  <c r="BG30" i="58"/>
  <c r="BC30" i="58"/>
  <c r="BE30" i="58" s="1"/>
  <c r="BB30" i="58"/>
  <c r="BD30" i="58" s="1"/>
  <c r="AX30" i="58"/>
  <c r="AV30" i="58" s="1"/>
  <c r="AT30" i="58"/>
  <c r="AR30" i="58" s="1"/>
  <c r="AP30" i="58"/>
  <c r="AN30" i="58" s="1"/>
  <c r="AL30" i="58"/>
  <c r="AJ30" i="58" s="1"/>
  <c r="AH30" i="58"/>
  <c r="AF30" i="58" s="1"/>
  <c r="CC29" i="58"/>
  <c r="BW29" i="58"/>
  <c r="CD106" i="58" s="1"/>
  <c r="BV29" i="58"/>
  <c r="BV59" i="58" s="1"/>
  <c r="BU29" i="58"/>
  <c r="BU59" i="58" s="1"/>
  <c r="BT29" i="58"/>
  <c r="BT59" i="58" s="1"/>
  <c r="BR29" i="58"/>
  <c r="BQ29" i="58"/>
  <c r="BP29" i="58"/>
  <c r="BO29" i="58"/>
  <c r="BN29" i="58"/>
  <c r="BM29" i="58"/>
  <c r="BL29" i="58"/>
  <c r="BK29" i="58"/>
  <c r="BJ29" i="58"/>
  <c r="BI29" i="58"/>
  <c r="BH29" i="58"/>
  <c r="BG29" i="58"/>
  <c r="BC29" i="58"/>
  <c r="BE29" i="58" s="1"/>
  <c r="BB29" i="58"/>
  <c r="BD29" i="58" s="1"/>
  <c r="CC28" i="58"/>
  <c r="BW28" i="58"/>
  <c r="CE105" i="58" s="1"/>
  <c r="BV28" i="58"/>
  <c r="CE79" i="58" s="1"/>
  <c r="BU28" i="58"/>
  <c r="CE53" i="58" s="1"/>
  <c r="BT28" i="58"/>
  <c r="CE27" i="58" s="1"/>
  <c r="BR28" i="58"/>
  <c r="BQ28" i="58"/>
  <c r="BP28" i="58"/>
  <c r="BO28" i="58"/>
  <c r="BN28" i="58"/>
  <c r="BM28" i="58"/>
  <c r="BL28" i="58"/>
  <c r="BK28" i="58"/>
  <c r="BJ28" i="58"/>
  <c r="BI28" i="58"/>
  <c r="BH28" i="58"/>
  <c r="BG28" i="58"/>
  <c r="BC28" i="58"/>
  <c r="BE28" i="58"/>
  <c r="BB28" i="58"/>
  <c r="BD28" i="58" s="1"/>
  <c r="CC27" i="58"/>
  <c r="BW27" i="58"/>
  <c r="CD104" i="58" s="1"/>
  <c r="BV27" i="58"/>
  <c r="CD78" i="58" s="1"/>
  <c r="BU27" i="58"/>
  <c r="CD52" i="58" s="1"/>
  <c r="BT27" i="58"/>
  <c r="CE26" i="58" s="1"/>
  <c r="BR27" i="58"/>
  <c r="BQ27" i="58"/>
  <c r="BP27" i="58"/>
  <c r="BO27" i="58"/>
  <c r="BN27" i="58"/>
  <c r="BM27" i="58"/>
  <c r="BL27" i="58"/>
  <c r="BK27" i="58"/>
  <c r="BJ27" i="58"/>
  <c r="BI27" i="58"/>
  <c r="BH27" i="58"/>
  <c r="BG27" i="58"/>
  <c r="BC27" i="58"/>
  <c r="BE27" i="58" s="1"/>
  <c r="BB27" i="58"/>
  <c r="BD27" i="58" s="1"/>
  <c r="CC26" i="58"/>
  <c r="BW26" i="58"/>
  <c r="CD103" i="58" s="1"/>
  <c r="BV26" i="58"/>
  <c r="CE77" i="58" s="1"/>
  <c r="BU26" i="58"/>
  <c r="BU56" i="58" s="1"/>
  <c r="BT26" i="58"/>
  <c r="CE25" i="58" s="1"/>
  <c r="BR26" i="58"/>
  <c r="BQ26" i="58"/>
  <c r="BP26" i="58"/>
  <c r="BO26" i="58"/>
  <c r="BN26" i="58"/>
  <c r="BM26" i="58"/>
  <c r="BL26" i="58"/>
  <c r="BK26" i="58"/>
  <c r="BJ26" i="58"/>
  <c r="BI26" i="58"/>
  <c r="BH26" i="58"/>
  <c r="BG26" i="58"/>
  <c r="BC26" i="58"/>
  <c r="BE26" i="58" s="1"/>
  <c r="BB26" i="58"/>
  <c r="BD26" i="58" s="1"/>
  <c r="CC25" i="58"/>
  <c r="BW25" i="58"/>
  <c r="BW55" i="58" s="1"/>
  <c r="BV25" i="58"/>
  <c r="CE76" i="58" s="1"/>
  <c r="BU25" i="58"/>
  <c r="CE50" i="58" s="1"/>
  <c r="BT25" i="58"/>
  <c r="CE24" i="58" s="1"/>
  <c r="BR25" i="58"/>
  <c r="BQ25" i="58"/>
  <c r="BP25" i="58"/>
  <c r="BO25" i="58"/>
  <c r="BN25" i="58"/>
  <c r="BM25" i="58"/>
  <c r="BL25" i="58"/>
  <c r="BK25" i="58"/>
  <c r="BJ25" i="58"/>
  <c r="BI25" i="58"/>
  <c r="BH25" i="58"/>
  <c r="BG25" i="58"/>
  <c r="BC25" i="58"/>
  <c r="BE25" i="58" s="1"/>
  <c r="BB25" i="58"/>
  <c r="BD25" i="58" s="1"/>
  <c r="CC24" i="58"/>
  <c r="BW24" i="58"/>
  <c r="CD101" i="58" s="1"/>
  <c r="BV24" i="58"/>
  <c r="BV54" i="58" s="1"/>
  <c r="BU24" i="58"/>
  <c r="BU54" i="58" s="1"/>
  <c r="BT24" i="58"/>
  <c r="BT54" i="58" s="1"/>
  <c r="BR24" i="58"/>
  <c r="BQ24" i="58"/>
  <c r="BP24" i="58"/>
  <c r="BO24" i="58"/>
  <c r="BN24" i="58"/>
  <c r="BM24" i="58"/>
  <c r="BL24" i="58"/>
  <c r="BK24" i="58"/>
  <c r="BJ24" i="58"/>
  <c r="BI24" i="58"/>
  <c r="BH24" i="58"/>
  <c r="BG24" i="58"/>
  <c r="BC24" i="58"/>
  <c r="BE24" i="58"/>
  <c r="BB24" i="58"/>
  <c r="BD24" i="58" s="1"/>
  <c r="CC23" i="58"/>
  <c r="BW23" i="58"/>
  <c r="CD100" i="58" s="1"/>
  <c r="BV23" i="58"/>
  <c r="CD74" i="58" s="1"/>
  <c r="BU23" i="58"/>
  <c r="CD48" i="58" s="1"/>
  <c r="BT23" i="58"/>
  <c r="BT53" i="58" s="1"/>
  <c r="BR23" i="58"/>
  <c r="BQ23" i="58"/>
  <c r="BP23" i="58"/>
  <c r="BO23" i="58"/>
  <c r="BN23" i="58"/>
  <c r="BM23" i="58"/>
  <c r="BL23" i="58"/>
  <c r="BK23" i="58"/>
  <c r="BJ23" i="58"/>
  <c r="BI23" i="58"/>
  <c r="BH23" i="58"/>
  <c r="BG23" i="58"/>
  <c r="BC23" i="58"/>
  <c r="BE23" i="58" s="1"/>
  <c r="BB23" i="58"/>
  <c r="BD23" i="58" s="1"/>
  <c r="I23" i="58"/>
  <c r="R38" i="58" s="1"/>
  <c r="M68" i="2" s="1"/>
  <c r="H23" i="58"/>
  <c r="R37" i="58" s="1"/>
  <c r="CC22" i="58"/>
  <c r="BW22" i="58"/>
  <c r="CE99" i="58" s="1"/>
  <c r="BV22" i="58"/>
  <c r="CD73" i="58" s="1"/>
  <c r="BU22" i="58"/>
  <c r="CE47" i="58" s="1"/>
  <c r="BT22" i="58"/>
  <c r="CD21" i="58" s="1"/>
  <c r="BR22" i="58"/>
  <c r="BQ22" i="58"/>
  <c r="BP22" i="58"/>
  <c r="BO22" i="58"/>
  <c r="BN22" i="58"/>
  <c r="BM22" i="58"/>
  <c r="BL22" i="58"/>
  <c r="BK22" i="58"/>
  <c r="BJ22" i="58"/>
  <c r="BI22" i="58"/>
  <c r="BH22" i="58"/>
  <c r="BG22" i="58"/>
  <c r="BC22" i="58"/>
  <c r="BE22" i="58" s="1"/>
  <c r="BB22" i="58"/>
  <c r="BD22" i="58" s="1"/>
  <c r="CC21" i="58"/>
  <c r="BW21" i="58"/>
  <c r="BW51" i="58" s="1"/>
  <c r="BV21" i="58"/>
  <c r="CE72" i="58" s="1"/>
  <c r="BU21" i="58"/>
  <c r="CD46" i="58" s="1"/>
  <c r="BT21" i="58"/>
  <c r="CD20" i="58" s="1"/>
  <c r="BR21" i="58"/>
  <c r="BQ21" i="58"/>
  <c r="BP21" i="58"/>
  <c r="BO21" i="58"/>
  <c r="BN21" i="58"/>
  <c r="BM21" i="58"/>
  <c r="BL21" i="58"/>
  <c r="BK21" i="58"/>
  <c r="BJ21" i="58"/>
  <c r="BI21" i="58"/>
  <c r="BH21" i="58"/>
  <c r="BG21" i="58"/>
  <c r="BC21" i="58"/>
  <c r="BE21" i="58" s="1"/>
  <c r="BB21" i="58"/>
  <c r="BD21" i="58" s="1"/>
  <c r="CC20" i="58"/>
  <c r="BW20" i="58"/>
  <c r="CE97" i="58" s="1"/>
  <c r="BU20" i="58"/>
  <c r="CD45" i="58" s="1"/>
  <c r="BT20" i="58"/>
  <c r="CE19" i="58" s="1"/>
  <c r="BR20" i="58"/>
  <c r="BQ20" i="58"/>
  <c r="BP20" i="58"/>
  <c r="BO20" i="58"/>
  <c r="BN20" i="58"/>
  <c r="BM20" i="58"/>
  <c r="BL20" i="58"/>
  <c r="BK20" i="58"/>
  <c r="BJ20" i="58"/>
  <c r="BI20" i="58"/>
  <c r="BH20" i="58"/>
  <c r="BG20" i="58"/>
  <c r="BC20" i="58"/>
  <c r="BE20" i="58" s="1"/>
  <c r="BB20" i="58"/>
  <c r="BD20" i="58" s="1"/>
  <c r="CC19" i="58"/>
  <c r="BW19" i="58"/>
  <c r="CD96" i="58" s="1"/>
  <c r="BV19" i="58"/>
  <c r="CE70" i="58" s="1"/>
  <c r="BU19" i="58"/>
  <c r="CE44" i="58" s="1"/>
  <c r="BT19" i="58"/>
  <c r="CD18" i="58" s="1"/>
  <c r="BR19" i="58"/>
  <c r="BQ19" i="58"/>
  <c r="BP19" i="58"/>
  <c r="BO19" i="58"/>
  <c r="BN19" i="58"/>
  <c r="BM19" i="58"/>
  <c r="BL19" i="58"/>
  <c r="BK19" i="58"/>
  <c r="BJ19" i="58"/>
  <c r="BI19" i="58"/>
  <c r="BH19" i="58"/>
  <c r="BG19" i="58"/>
  <c r="BC19" i="58"/>
  <c r="BE19" i="58" s="1"/>
  <c r="BB19" i="58"/>
  <c r="BD19" i="58" s="1"/>
  <c r="CC18" i="58"/>
  <c r="BW18" i="58"/>
  <c r="BW48" i="58" s="1"/>
  <c r="BV18" i="58"/>
  <c r="BV48" i="58" s="1"/>
  <c r="BU18" i="58"/>
  <c r="CE43" i="58" s="1"/>
  <c r="BT18" i="58"/>
  <c r="BT48" i="58" s="1"/>
  <c r="BR18" i="58"/>
  <c r="BQ18" i="58"/>
  <c r="BP18" i="58"/>
  <c r="BO18" i="58"/>
  <c r="BN18" i="58"/>
  <c r="BM18" i="58"/>
  <c r="BL18" i="58"/>
  <c r="BK18" i="58"/>
  <c r="BJ18" i="58"/>
  <c r="BI18" i="58"/>
  <c r="BH18" i="58"/>
  <c r="BG18" i="58"/>
  <c r="BC18" i="58"/>
  <c r="BE18" i="58" s="1"/>
  <c r="BB18" i="58"/>
  <c r="BD18" i="58" s="1"/>
  <c r="CC17" i="58"/>
  <c r="CA17" i="58"/>
  <c r="CA38" i="58" s="1"/>
  <c r="BZ17" i="58"/>
  <c r="BY17" i="58"/>
  <c r="BY39" i="58" s="1"/>
  <c r="BX17" i="58"/>
  <c r="BX38" i="58" s="1"/>
  <c r="BR17" i="58"/>
  <c r="BQ17" i="58"/>
  <c r="BP17" i="58"/>
  <c r="BO17" i="58"/>
  <c r="BN17" i="58"/>
  <c r="BM17" i="58"/>
  <c r="BL17" i="58"/>
  <c r="BK17" i="58"/>
  <c r="BJ17" i="58"/>
  <c r="BI17" i="58"/>
  <c r="BH17" i="58"/>
  <c r="BG17" i="58"/>
  <c r="BC17" i="58"/>
  <c r="BE17" i="58" s="1"/>
  <c r="BB17" i="58"/>
  <c r="BD17" i="58" s="1"/>
  <c r="CE16" i="58"/>
  <c r="CD16" i="58"/>
  <c r="CC16" i="58"/>
  <c r="BW16" i="58"/>
  <c r="CE93" i="58" s="1"/>
  <c r="BV16" i="58"/>
  <c r="CE67" i="58" s="1"/>
  <c r="BU16" i="58"/>
  <c r="CD41" i="58" s="1"/>
  <c r="BT16" i="58"/>
  <c r="BT46" i="58" s="1"/>
  <c r="BR16" i="58"/>
  <c r="BQ16" i="58"/>
  <c r="BP16" i="58"/>
  <c r="BO16" i="58"/>
  <c r="BN16" i="58"/>
  <c r="BM16" i="58"/>
  <c r="BL16" i="58"/>
  <c r="BK16" i="58"/>
  <c r="BJ16" i="58"/>
  <c r="BI16" i="58"/>
  <c r="BH16" i="58"/>
  <c r="BG16" i="58"/>
  <c r="BC16" i="58"/>
  <c r="BE16" i="58" s="1"/>
  <c r="BB16" i="58"/>
  <c r="BD16" i="58" s="1"/>
  <c r="CC15" i="58"/>
  <c r="BW15" i="58"/>
  <c r="CE92" i="58" s="1"/>
  <c r="BV15" i="58"/>
  <c r="CE66" i="58" s="1"/>
  <c r="BU15" i="58"/>
  <c r="CE40" i="58" s="1"/>
  <c r="BT15" i="58"/>
  <c r="BT45" i="58" s="1"/>
  <c r="BR15" i="58"/>
  <c r="BQ15" i="58"/>
  <c r="BP15" i="58"/>
  <c r="BO15" i="58"/>
  <c r="BN15" i="58"/>
  <c r="BM15" i="58"/>
  <c r="BL15" i="58"/>
  <c r="BK15" i="58"/>
  <c r="BJ15" i="58"/>
  <c r="BI15" i="58"/>
  <c r="BH15" i="58"/>
  <c r="BG15" i="58"/>
  <c r="BC15" i="58"/>
  <c r="BE15" i="58" s="1"/>
  <c r="BB15" i="58"/>
  <c r="BD15" i="58" s="1"/>
  <c r="CC14" i="58"/>
  <c r="BW14" i="58"/>
  <c r="CD91" i="58" s="1"/>
  <c r="BV14" i="58"/>
  <c r="BV44" i="58" s="1"/>
  <c r="BU14" i="58"/>
  <c r="BU44" i="58" s="1"/>
  <c r="BT14" i="58"/>
  <c r="CE13" i="58" s="1"/>
  <c r="BR14" i="58"/>
  <c r="BQ14" i="58"/>
  <c r="BP14" i="58"/>
  <c r="BO14" i="58"/>
  <c r="BN14" i="58"/>
  <c r="BM14" i="58"/>
  <c r="BL14" i="58"/>
  <c r="BK14" i="58"/>
  <c r="BJ14" i="58"/>
  <c r="BI14" i="58"/>
  <c r="BH14" i="58"/>
  <c r="BG14" i="58"/>
  <c r="BC14" i="58"/>
  <c r="BE14" i="58" s="1"/>
  <c r="BB14" i="58"/>
  <c r="BD14" i="58" s="1"/>
  <c r="CC13" i="58"/>
  <c r="BW13" i="58"/>
  <c r="CE90" i="58" s="1"/>
  <c r="BV13" i="58"/>
  <c r="CE64" i="58" s="1"/>
  <c r="BU13" i="58"/>
  <c r="CD38" i="58" s="1"/>
  <c r="BT13" i="58"/>
  <c r="BT43" i="58" s="1"/>
  <c r="BR13" i="58"/>
  <c r="BQ13" i="58"/>
  <c r="BP13" i="58"/>
  <c r="BO13" i="58"/>
  <c r="BN13" i="58"/>
  <c r="BM13" i="58"/>
  <c r="BL13" i="58"/>
  <c r="BK13" i="58"/>
  <c r="BJ13" i="58"/>
  <c r="BI13" i="58"/>
  <c r="BH13" i="58"/>
  <c r="BG13" i="58"/>
  <c r="BC13" i="58"/>
  <c r="BE13" i="58" s="1"/>
  <c r="BB13" i="58"/>
  <c r="BD13" i="58" s="1"/>
  <c r="CC12" i="58"/>
  <c r="BW12" i="58"/>
  <c r="BV12" i="58"/>
  <c r="CD63" i="58" s="1"/>
  <c r="BU12" i="58"/>
  <c r="CD37" i="58" s="1"/>
  <c r="BT12" i="58"/>
  <c r="CE11" i="58" s="1"/>
  <c r="BR12" i="58"/>
  <c r="BQ12" i="58"/>
  <c r="BP12" i="58"/>
  <c r="BO12" i="58"/>
  <c r="BN12" i="58"/>
  <c r="BM12" i="58"/>
  <c r="BL12" i="58"/>
  <c r="BK12" i="58"/>
  <c r="BJ12" i="58"/>
  <c r="BI12" i="58"/>
  <c r="BH12" i="58"/>
  <c r="CC11" i="58"/>
  <c r="Y6" i="58"/>
  <c r="Y48" i="58" s="1"/>
  <c r="Y91" i="58" s="1"/>
  <c r="Y134" i="58" s="1"/>
  <c r="Y177" i="58" s="1"/>
  <c r="Y220" i="58" s="1"/>
  <c r="W5" i="58"/>
  <c r="W47" i="58" s="1"/>
  <c r="W90" i="58" s="1"/>
  <c r="W133" i="58" s="1"/>
  <c r="W176" i="58" s="1"/>
  <c r="W219" i="58" s="1"/>
  <c r="S5" i="58"/>
  <c r="S133" i="58" s="1"/>
  <c r="P5" i="58"/>
  <c r="P133" i="58" s="1"/>
  <c r="N5" i="58"/>
  <c r="N133" i="58" s="1"/>
  <c r="H5" i="58"/>
  <c r="H133" i="58" s="1"/>
  <c r="F5" i="58"/>
  <c r="F176" i="58" s="1"/>
  <c r="F219" i="58" s="1"/>
  <c r="C5" i="58"/>
  <c r="C176" i="58" s="1"/>
  <c r="C219" i="58" s="1"/>
  <c r="BS4" i="58"/>
  <c r="BR4" i="58"/>
  <c r="BQ4" i="58"/>
  <c r="BP4" i="58"/>
  <c r="C4" i="58"/>
  <c r="C46" i="58" s="1"/>
  <c r="C89" i="58" s="1"/>
  <c r="BS3" i="58"/>
  <c r="BR3" i="58"/>
  <c r="BQ3" i="58"/>
  <c r="BP3" i="58"/>
  <c r="R3" i="58"/>
  <c r="Q3" i="58"/>
  <c r="P3" i="58"/>
  <c r="O3" i="58"/>
  <c r="N3" i="58"/>
  <c r="M3" i="58"/>
  <c r="L3" i="58"/>
  <c r="K3" i="58"/>
  <c r="J3" i="58"/>
  <c r="I3" i="58"/>
  <c r="H3" i="58"/>
  <c r="G3" i="58"/>
  <c r="F3" i="58"/>
  <c r="E3" i="58"/>
  <c r="D3" i="58"/>
  <c r="C3" i="58"/>
  <c r="B3" i="58"/>
  <c r="A3" i="58"/>
  <c r="R2" i="58"/>
  <c r="Q2" i="58"/>
  <c r="P2" i="58"/>
  <c r="O2" i="58"/>
  <c r="N2" i="58"/>
  <c r="M2" i="58"/>
  <c r="L2" i="58"/>
  <c r="K2" i="58"/>
  <c r="J2" i="58"/>
  <c r="I2" i="58"/>
  <c r="H2" i="58"/>
  <c r="G2" i="58"/>
  <c r="F2" i="58"/>
  <c r="E2" i="58"/>
  <c r="D2" i="58"/>
  <c r="C2" i="58"/>
  <c r="B2" i="58"/>
  <c r="A2" i="58"/>
  <c r="BG151" i="65"/>
  <c r="BI151" i="65" s="1"/>
  <c r="BD151" i="65"/>
  <c r="BC151" i="65"/>
  <c r="BB151" i="65"/>
  <c r="BG150" i="65"/>
  <c r="BI150" i="65" s="1"/>
  <c r="BD150" i="65"/>
  <c r="BC150" i="65"/>
  <c r="BB150" i="65"/>
  <c r="BG149" i="65"/>
  <c r="BE149" i="65" s="1"/>
  <c r="BD149" i="65"/>
  <c r="BC149" i="65"/>
  <c r="BB149" i="65"/>
  <c r="BD148" i="65"/>
  <c r="BC148" i="65"/>
  <c r="BB148" i="65"/>
  <c r="BG147" i="65"/>
  <c r="BD147" i="65"/>
  <c r="BC147" i="65"/>
  <c r="BB147" i="65"/>
  <c r="BG146" i="65"/>
  <c r="BI146" i="65" s="1"/>
  <c r="BD146" i="65"/>
  <c r="BC146" i="65"/>
  <c r="BB146" i="65"/>
  <c r="BG145" i="65"/>
  <c r="BE145" i="65" s="1"/>
  <c r="BD145" i="65"/>
  <c r="BC145" i="65"/>
  <c r="BB145" i="65"/>
  <c r="BD144" i="65"/>
  <c r="BC144" i="65"/>
  <c r="BB144" i="65"/>
  <c r="BG143" i="65"/>
  <c r="BF143" i="65" s="1"/>
  <c r="BD143" i="65"/>
  <c r="BC143" i="65"/>
  <c r="BB143" i="65"/>
  <c r="BG142" i="65"/>
  <c r="BF142" i="65" s="1"/>
  <c r="BD142" i="65"/>
  <c r="BC142" i="65"/>
  <c r="BB142" i="65"/>
  <c r="BG141" i="65"/>
  <c r="BF141" i="65" s="1"/>
  <c r="BD141" i="65"/>
  <c r="BC141" i="65"/>
  <c r="BB141" i="65"/>
  <c r="BD140" i="65"/>
  <c r="BC140" i="65"/>
  <c r="BB140" i="65"/>
  <c r="BG139" i="65"/>
  <c r="BI139" i="65" s="1"/>
  <c r="BD139" i="65"/>
  <c r="BC139" i="65"/>
  <c r="BH139" i="65" s="1"/>
  <c r="BB139" i="65"/>
  <c r="BG138" i="65"/>
  <c r="BI138" i="65" s="1"/>
  <c r="BD138" i="65"/>
  <c r="BC138" i="65"/>
  <c r="BB138" i="65"/>
  <c r="BG137" i="65"/>
  <c r="BI137" i="65" s="1"/>
  <c r="BD137" i="65"/>
  <c r="BC137" i="65"/>
  <c r="BB137" i="65"/>
  <c r="BD136" i="65"/>
  <c r="BC136" i="65"/>
  <c r="BB136" i="65"/>
  <c r="BG135" i="65"/>
  <c r="BI135" i="65" s="1"/>
  <c r="BD135" i="65"/>
  <c r="BC135" i="65"/>
  <c r="BB135" i="65"/>
  <c r="BG134" i="65"/>
  <c r="BI134" i="65" s="1"/>
  <c r="BD134" i="65"/>
  <c r="BC134" i="65"/>
  <c r="BB134" i="65"/>
  <c r="BG133" i="65"/>
  <c r="BE133" i="65" s="1"/>
  <c r="BD133" i="65"/>
  <c r="BC133" i="65"/>
  <c r="BB133" i="65"/>
  <c r="BD132" i="65"/>
  <c r="BC132" i="65"/>
  <c r="BB132" i="65"/>
  <c r="BG131" i="65"/>
  <c r="BI131" i="65" s="1"/>
  <c r="BD131" i="65"/>
  <c r="BC131" i="65"/>
  <c r="BB131" i="65"/>
  <c r="BG130" i="65"/>
  <c r="BE130" i="65" s="1"/>
  <c r="BD130" i="65"/>
  <c r="BC130" i="65"/>
  <c r="BB130" i="65"/>
  <c r="BG129" i="65"/>
  <c r="BF129" i="65" s="1"/>
  <c r="BD129" i="65"/>
  <c r="BC129" i="65"/>
  <c r="BB129" i="65"/>
  <c r="BD128" i="65"/>
  <c r="BC128" i="65"/>
  <c r="BB128" i="65"/>
  <c r="BG127" i="65"/>
  <c r="BI127" i="65" s="1"/>
  <c r="BD127" i="65"/>
  <c r="BC127" i="65"/>
  <c r="BB127" i="65"/>
  <c r="BG126" i="65"/>
  <c r="BE126" i="65" s="1"/>
  <c r="BD126" i="65"/>
  <c r="BC126" i="65"/>
  <c r="BB126" i="65"/>
  <c r="BG125" i="65"/>
  <c r="BI125" i="65" s="1"/>
  <c r="BD125" i="65"/>
  <c r="BC125" i="65"/>
  <c r="BB125" i="65"/>
  <c r="BD124" i="65"/>
  <c r="BE124" i="65" s="1"/>
  <c r="BC124" i="65"/>
  <c r="BB124" i="65"/>
  <c r="BG123" i="65"/>
  <c r="BE123" i="65" s="1"/>
  <c r="BD123" i="65"/>
  <c r="BC123" i="65"/>
  <c r="BB123" i="65"/>
  <c r="BG122" i="65"/>
  <c r="BI122" i="65" s="1"/>
  <c r="BD122" i="65"/>
  <c r="BC122" i="65"/>
  <c r="BB122" i="65"/>
  <c r="BG121" i="65"/>
  <c r="BE121" i="65" s="1"/>
  <c r="BD121" i="65"/>
  <c r="BC121" i="65"/>
  <c r="BB121" i="65"/>
  <c r="BF120" i="65"/>
  <c r="BC120" i="65"/>
  <c r="BB120" i="65"/>
  <c r="BG119" i="65"/>
  <c r="BE119" i="65" s="1"/>
  <c r="BD119" i="65"/>
  <c r="BC119" i="65"/>
  <c r="BB119" i="65"/>
  <c r="BG118" i="65"/>
  <c r="BE118" i="65" s="1"/>
  <c r="BD118" i="65"/>
  <c r="BC118" i="65"/>
  <c r="BB118" i="65"/>
  <c r="BG117" i="65"/>
  <c r="BF117" i="65" s="1"/>
  <c r="BD117" i="65"/>
  <c r="BC117" i="65"/>
  <c r="BB117" i="65"/>
  <c r="BD116" i="65"/>
  <c r="BE116" i="65" s="1"/>
  <c r="BC116" i="65"/>
  <c r="BB116" i="65"/>
  <c r="BG115" i="65"/>
  <c r="BI115" i="65" s="1"/>
  <c r="BD115" i="65"/>
  <c r="BC115" i="65"/>
  <c r="BB115" i="65"/>
  <c r="BG114" i="65"/>
  <c r="BD114" i="65"/>
  <c r="BC114" i="65"/>
  <c r="BB114" i="65"/>
  <c r="BG113" i="65"/>
  <c r="BE113" i="65" s="1"/>
  <c r="BD113" i="65"/>
  <c r="BC113" i="65"/>
  <c r="BB113" i="65"/>
  <c r="BD112" i="65"/>
  <c r="BE112" i="65" s="1"/>
  <c r="BC112" i="65"/>
  <c r="BB112" i="65"/>
  <c r="BG111" i="65"/>
  <c r="BD111" i="65"/>
  <c r="BC111" i="65"/>
  <c r="BB111" i="65"/>
  <c r="BG110" i="65"/>
  <c r="BI110" i="65" s="1"/>
  <c r="BD110" i="65"/>
  <c r="BC110" i="65"/>
  <c r="BB110" i="65"/>
  <c r="BG109" i="65"/>
  <c r="BE109" i="65" s="1"/>
  <c r="BD109" i="65"/>
  <c r="BC109" i="65"/>
  <c r="BB109" i="65"/>
  <c r="BD108" i="65"/>
  <c r="BC108" i="65"/>
  <c r="BB108" i="65"/>
  <c r="BG107" i="65"/>
  <c r="BD107" i="65"/>
  <c r="BC107" i="65"/>
  <c r="BB107" i="65"/>
  <c r="BG106" i="65"/>
  <c r="BD106" i="65"/>
  <c r="BC106" i="65"/>
  <c r="BB106" i="65"/>
  <c r="BG105" i="65"/>
  <c r="BI105" i="65" s="1"/>
  <c r="BD105" i="65"/>
  <c r="BC105" i="65"/>
  <c r="BB105" i="65"/>
  <c r="BC104" i="65"/>
  <c r="BB104" i="65"/>
  <c r="BL55" i="65"/>
  <c r="BL56" i="65" s="1"/>
  <c r="BL57" i="65" s="1"/>
  <c r="BL58" i="65" s="1"/>
  <c r="BL59" i="65" s="1"/>
  <c r="BL60" i="65" s="1"/>
  <c r="BL61" i="65" s="1"/>
  <c r="BL62" i="65" s="1"/>
  <c r="BL63" i="65" s="1"/>
  <c r="BL64" i="65" s="1"/>
  <c r="BL65" i="65" s="1"/>
  <c r="BL66" i="65" s="1"/>
  <c r="BL67" i="65" s="1"/>
  <c r="BL68" i="65" s="1"/>
  <c r="BL69" i="65" s="1"/>
  <c r="BL70" i="65" s="1"/>
  <c r="BL71" i="65" s="1"/>
  <c r="BL72" i="65" s="1"/>
  <c r="BL73" i="65" s="1"/>
  <c r="BL74" i="65" s="1"/>
  <c r="BL75" i="65" s="1"/>
  <c r="BL76" i="65" s="1"/>
  <c r="BL77" i="65" s="1"/>
  <c r="BL78" i="65" s="1"/>
  <c r="BL79" i="65" s="1"/>
  <c r="BL80" i="65" s="1"/>
  <c r="BL81" i="65" s="1"/>
  <c r="BL82" i="65" s="1"/>
  <c r="BL83" i="65" s="1"/>
  <c r="BL84" i="65" s="1"/>
  <c r="BB51" i="65"/>
  <c r="BB50" i="65"/>
  <c r="BB39" i="65"/>
  <c r="BC39" i="65" s="1"/>
  <c r="AP39" i="65"/>
  <c r="BG144" i="65"/>
  <c r="BI144" i="65" s="1"/>
  <c r="BB38" i="65"/>
  <c r="BC38" i="65" s="1"/>
  <c r="AP38" i="65"/>
  <c r="BG140" i="65"/>
  <c r="BI140" i="65" s="1"/>
  <c r="BB37" i="65"/>
  <c r="BC37" i="65" s="1"/>
  <c r="AP37" i="65"/>
  <c r="BG136" i="65"/>
  <c r="BI136" i="65" s="1"/>
  <c r="BB36" i="65"/>
  <c r="BC36" i="65" s="1"/>
  <c r="AP36" i="65"/>
  <c r="BG132" i="65"/>
  <c r="BI132" i="65" s="1"/>
  <c r="BB35" i="65"/>
  <c r="BC35" i="65" s="1"/>
  <c r="AP35" i="65"/>
  <c r="BG128" i="65"/>
  <c r="BI128" i="65" s="1"/>
  <c r="BB34" i="65"/>
  <c r="BC34" i="65" s="1"/>
  <c r="BG124" i="65"/>
  <c r="BI124" i="65" s="1"/>
  <c r="BB33" i="65"/>
  <c r="BC33" i="65" s="1"/>
  <c r="BG120" i="65"/>
  <c r="BI120" i="65" s="1"/>
  <c r="BB32" i="65"/>
  <c r="BC32" i="65" s="1"/>
  <c r="BG116" i="65"/>
  <c r="BI116" i="65" s="1"/>
  <c r="BB31" i="65"/>
  <c r="BC31" i="65" s="1"/>
  <c r="AP31" i="65"/>
  <c r="BG112" i="65"/>
  <c r="BI112" i="65" s="1"/>
  <c r="BB30" i="65"/>
  <c r="BC30" i="65" s="1"/>
  <c r="AP30" i="65"/>
  <c r="AA30" i="65"/>
  <c r="BG108" i="65"/>
  <c r="BI108" i="65" s="1"/>
  <c r="BB29" i="65"/>
  <c r="BC29" i="65" s="1"/>
  <c r="AP29" i="65"/>
  <c r="BG104" i="65"/>
  <c r="BI104" i="65" s="1"/>
  <c r="X15" i="65"/>
  <c r="U15" i="65"/>
  <c r="R15" i="65"/>
  <c r="I57" i="65"/>
  <c r="AY8" i="65"/>
  <c r="Y8" i="65"/>
  <c r="AY7" i="65"/>
  <c r="AW7" i="65"/>
  <c r="AS7" i="65"/>
  <c r="AP7" i="65"/>
  <c r="AN7" i="65"/>
  <c r="AK7" i="65"/>
  <c r="AH7" i="65"/>
  <c r="AF7" i="65"/>
  <c r="AD7" i="65"/>
  <c r="W7" i="65"/>
  <c r="S7" i="65"/>
  <c r="H5" i="65"/>
  <c r="K7" i="65"/>
  <c r="AD6" i="65"/>
  <c r="BC821" i="53"/>
  <c r="BC820" i="53"/>
  <c r="BC819" i="53"/>
  <c r="BC818" i="53"/>
  <c r="BC817" i="53"/>
  <c r="BC816" i="53"/>
  <c r="BC815" i="53"/>
  <c r="BC814" i="53"/>
  <c r="BC813" i="53"/>
  <c r="BC812" i="53"/>
  <c r="BC811" i="53"/>
  <c r="BC810" i="53"/>
  <c r="BC809" i="53"/>
  <c r="BC808" i="53"/>
  <c r="BC807" i="53"/>
  <c r="BC806" i="53"/>
  <c r="BC805" i="53"/>
  <c r="BC804" i="53"/>
  <c r="BC803" i="53"/>
  <c r="BC802" i="53"/>
  <c r="BC801" i="53"/>
  <c r="BC800" i="53"/>
  <c r="BC799" i="53"/>
  <c r="BC798" i="53"/>
  <c r="BC797" i="53"/>
  <c r="BC796" i="53"/>
  <c r="BC795" i="53"/>
  <c r="BC794" i="53"/>
  <c r="BC793" i="53"/>
  <c r="BC792" i="53"/>
  <c r="BC791" i="53"/>
  <c r="BC790" i="53"/>
  <c r="BC789" i="53"/>
  <c r="BC788" i="53"/>
  <c r="BC787" i="53"/>
  <c r="BC786" i="53"/>
  <c r="BC785" i="53"/>
  <c r="BC784" i="53"/>
  <c r="BC783" i="53"/>
  <c r="BC782" i="53"/>
  <c r="BC781" i="53"/>
  <c r="BC780" i="53"/>
  <c r="BC779" i="53"/>
  <c r="BC778" i="53"/>
  <c r="BC777" i="53"/>
  <c r="BC776" i="53"/>
  <c r="BC775" i="53"/>
  <c r="BC774" i="53"/>
  <c r="BC773" i="53"/>
  <c r="BC772" i="53"/>
  <c r="BC771" i="53"/>
  <c r="BC770" i="53"/>
  <c r="BC769" i="53"/>
  <c r="BC768" i="53"/>
  <c r="BC767" i="53"/>
  <c r="BC766" i="53"/>
  <c r="BC765" i="53"/>
  <c r="BC764" i="53"/>
  <c r="BC763" i="53"/>
  <c r="BC762" i="53"/>
  <c r="BC761" i="53"/>
  <c r="BC760" i="53"/>
  <c r="BC759" i="53"/>
  <c r="BC758" i="53"/>
  <c r="BC757" i="53"/>
  <c r="BC756" i="53"/>
  <c r="BC755" i="53"/>
  <c r="BC754" i="53"/>
  <c r="BC753" i="53"/>
  <c r="BC752" i="53"/>
  <c r="BC751" i="53"/>
  <c r="BC750" i="53"/>
  <c r="BC749" i="53"/>
  <c r="BC748" i="53"/>
  <c r="BC747" i="53"/>
  <c r="BC746" i="53"/>
  <c r="BC745" i="53"/>
  <c r="BC744" i="53"/>
  <c r="BC743" i="53"/>
  <c r="BC742" i="53"/>
  <c r="BC741" i="53"/>
  <c r="BC740" i="53"/>
  <c r="BC739" i="53"/>
  <c r="BC738" i="53"/>
  <c r="BC737" i="53"/>
  <c r="BC736" i="53"/>
  <c r="BC735" i="53"/>
  <c r="BC734" i="53"/>
  <c r="BC733" i="53"/>
  <c r="BC732" i="53"/>
  <c r="BC731" i="53"/>
  <c r="BC730" i="53"/>
  <c r="BC729" i="53"/>
  <c r="BC728" i="53"/>
  <c r="BC727" i="53"/>
  <c r="BC726" i="53"/>
  <c r="BC725" i="53"/>
  <c r="BC724" i="53"/>
  <c r="BC723" i="53"/>
  <c r="BC722" i="53"/>
  <c r="BC721" i="53"/>
  <c r="BC720" i="53"/>
  <c r="BC719" i="53"/>
  <c r="BC718" i="53"/>
  <c r="BC717" i="53"/>
  <c r="BC716" i="53"/>
  <c r="BC715" i="53"/>
  <c r="BC714" i="53"/>
  <c r="BC713" i="53"/>
  <c r="BC712" i="53"/>
  <c r="BC711" i="53"/>
  <c r="BC710" i="53"/>
  <c r="BC709" i="53"/>
  <c r="BC708" i="53"/>
  <c r="BC707" i="53"/>
  <c r="BC706" i="53"/>
  <c r="BC705" i="53"/>
  <c r="BC704" i="53"/>
  <c r="BC703" i="53"/>
  <c r="BC702" i="53"/>
  <c r="BC701" i="53"/>
  <c r="BC700" i="53"/>
  <c r="BC699" i="53"/>
  <c r="BC698" i="53"/>
  <c r="BC697" i="53"/>
  <c r="BC696" i="53"/>
  <c r="BC695" i="53"/>
  <c r="BC694" i="53"/>
  <c r="BC693" i="53"/>
  <c r="BC692" i="53"/>
  <c r="BC691" i="53"/>
  <c r="BC690" i="53"/>
  <c r="BC689" i="53"/>
  <c r="BC688" i="53"/>
  <c r="BC687" i="53"/>
  <c r="BC686" i="53"/>
  <c r="BC685" i="53"/>
  <c r="BC684" i="53"/>
  <c r="BC683" i="53"/>
  <c r="BC682" i="53"/>
  <c r="BC681" i="53"/>
  <c r="BC680" i="53"/>
  <c r="BC679" i="53"/>
  <c r="BC678" i="53"/>
  <c r="BC677" i="53"/>
  <c r="BC676" i="53"/>
  <c r="BC675" i="53"/>
  <c r="BC674" i="53"/>
  <c r="BC673" i="53"/>
  <c r="BC672" i="53"/>
  <c r="BC671" i="53"/>
  <c r="BC670" i="53"/>
  <c r="BC669" i="53"/>
  <c r="BC668" i="53"/>
  <c r="BC667" i="53"/>
  <c r="BC666" i="53"/>
  <c r="BC665" i="53"/>
  <c r="BC664" i="53"/>
  <c r="BC663" i="53"/>
  <c r="BC662" i="53"/>
  <c r="BC661" i="53"/>
  <c r="BC660" i="53"/>
  <c r="BC659" i="53"/>
  <c r="BC658" i="53"/>
  <c r="BC657" i="53"/>
  <c r="BC656" i="53"/>
  <c r="BC655" i="53"/>
  <c r="BC654" i="53"/>
  <c r="BC653" i="53"/>
  <c r="BC652" i="53"/>
  <c r="BC651" i="53"/>
  <c r="BC650" i="53"/>
  <c r="BC649" i="53"/>
  <c r="BC648" i="53"/>
  <c r="BC647" i="53"/>
  <c r="BC646" i="53"/>
  <c r="BC645" i="53"/>
  <c r="BC644" i="53"/>
  <c r="BC643" i="53"/>
  <c r="BC642" i="53"/>
  <c r="BC641" i="53"/>
  <c r="BC640" i="53"/>
  <c r="BC639" i="53"/>
  <c r="BC638" i="53"/>
  <c r="BC637" i="53"/>
  <c r="BC636" i="53"/>
  <c r="BC635" i="53"/>
  <c r="BC634" i="53"/>
  <c r="BC633" i="53"/>
  <c r="BC632" i="53"/>
  <c r="BC631" i="53"/>
  <c r="BC630" i="53"/>
  <c r="BC629" i="53"/>
  <c r="BC628" i="53"/>
  <c r="BC627" i="53"/>
  <c r="BC626" i="53"/>
  <c r="BC625" i="53"/>
  <c r="BC624" i="53"/>
  <c r="BC623" i="53"/>
  <c r="BC622" i="53"/>
  <c r="BC621" i="53"/>
  <c r="BC620" i="53"/>
  <c r="BC619" i="53"/>
  <c r="BC618" i="53"/>
  <c r="BC617" i="53"/>
  <c r="BC616" i="53"/>
  <c r="BC615" i="53"/>
  <c r="BC614" i="53"/>
  <c r="BC613" i="53"/>
  <c r="BC612" i="53"/>
  <c r="BC611" i="53"/>
  <c r="BC610" i="53"/>
  <c r="BC609" i="53"/>
  <c r="BC608" i="53"/>
  <c r="BC607" i="53"/>
  <c r="BC606" i="53"/>
  <c r="BC605" i="53"/>
  <c r="BC604" i="53"/>
  <c r="BC603" i="53"/>
  <c r="BC602" i="53"/>
  <c r="BC601" i="53"/>
  <c r="BC600" i="53"/>
  <c r="BC599" i="53"/>
  <c r="BC598" i="53"/>
  <c r="BC597" i="53"/>
  <c r="BC596" i="53"/>
  <c r="BC595" i="53"/>
  <c r="BC594" i="53"/>
  <c r="BC593" i="53"/>
  <c r="BC592" i="53"/>
  <c r="BC591" i="53"/>
  <c r="BC590" i="53"/>
  <c r="BC589" i="53"/>
  <c r="BC588" i="53"/>
  <c r="BC587" i="53"/>
  <c r="BC586" i="53"/>
  <c r="BC585" i="53"/>
  <c r="BC584" i="53"/>
  <c r="BC583" i="53"/>
  <c r="BC582" i="53"/>
  <c r="BC581" i="53"/>
  <c r="BC580" i="53"/>
  <c r="BC579" i="53"/>
  <c r="BC578" i="53"/>
  <c r="BC577" i="53"/>
  <c r="BC576" i="53"/>
  <c r="BC575" i="53"/>
  <c r="BC574" i="53"/>
  <c r="BC573" i="53"/>
  <c r="BC572" i="53"/>
  <c r="BC571" i="53"/>
  <c r="BC570" i="53"/>
  <c r="BC569" i="53"/>
  <c r="BC568" i="53"/>
  <c r="BC567" i="53"/>
  <c r="BC566" i="53"/>
  <c r="BC565" i="53"/>
  <c r="BC564" i="53"/>
  <c r="BC563" i="53"/>
  <c r="BC562" i="53"/>
  <c r="BC561" i="53"/>
  <c r="BC560" i="53"/>
  <c r="BC559" i="53"/>
  <c r="BC558" i="53"/>
  <c r="BC557" i="53"/>
  <c r="BC556" i="53"/>
  <c r="BC555" i="53"/>
  <c r="BC554" i="53"/>
  <c r="BC553" i="53"/>
  <c r="BC552" i="53"/>
  <c r="BC551" i="53"/>
  <c r="BC550" i="53"/>
  <c r="BC549" i="53"/>
  <c r="BC548" i="53"/>
  <c r="BC547" i="53"/>
  <c r="BC546" i="53"/>
  <c r="BC545" i="53"/>
  <c r="BC544" i="53"/>
  <c r="BC543" i="53"/>
  <c r="BC542" i="53"/>
  <c r="BC541" i="53"/>
  <c r="BC540" i="53"/>
  <c r="BC539" i="53"/>
  <c r="BC538" i="53"/>
  <c r="BC537" i="53"/>
  <c r="BC536" i="53"/>
  <c r="BC535" i="53"/>
  <c r="BC534" i="53"/>
  <c r="BC533" i="53"/>
  <c r="BC532" i="53"/>
  <c r="BC531" i="53"/>
  <c r="BC530" i="53"/>
  <c r="BC529" i="53"/>
  <c r="BC528" i="53"/>
  <c r="BC527" i="53"/>
  <c r="BC526" i="53"/>
  <c r="BC525" i="53"/>
  <c r="BC524" i="53"/>
  <c r="BC523" i="53"/>
  <c r="BC522" i="53"/>
  <c r="BC521" i="53"/>
  <c r="BC520" i="53"/>
  <c r="BC519" i="53"/>
  <c r="BC518" i="53"/>
  <c r="BC517" i="53"/>
  <c r="BC516" i="53"/>
  <c r="BC515" i="53"/>
  <c r="BC514" i="53"/>
  <c r="BC513" i="53"/>
  <c r="BC512" i="53"/>
  <c r="BC511" i="53"/>
  <c r="BC510" i="53"/>
  <c r="BC509" i="53"/>
  <c r="BC508" i="53"/>
  <c r="BC507" i="53"/>
  <c r="BC506" i="53"/>
  <c r="BC505" i="53"/>
  <c r="BC504" i="53"/>
  <c r="BC503" i="53"/>
  <c r="BC502" i="53"/>
  <c r="BC501" i="53"/>
  <c r="BC500" i="53"/>
  <c r="BC499" i="53"/>
  <c r="BC498" i="53"/>
  <c r="BC497" i="53"/>
  <c r="BC496" i="53"/>
  <c r="BC495" i="53"/>
  <c r="BC494" i="53"/>
  <c r="BC493" i="53"/>
  <c r="BC492" i="53"/>
  <c r="BC491" i="53"/>
  <c r="BC490" i="53"/>
  <c r="BC489" i="53"/>
  <c r="BC488" i="53"/>
  <c r="BC487" i="53"/>
  <c r="BC486" i="53"/>
  <c r="BC485" i="53"/>
  <c r="BC484" i="53"/>
  <c r="BC483" i="53"/>
  <c r="BC482" i="53"/>
  <c r="BC481" i="53"/>
  <c r="BC480" i="53"/>
  <c r="BC479" i="53"/>
  <c r="BC478" i="53"/>
  <c r="BC477" i="53"/>
  <c r="BC476" i="53"/>
  <c r="BC475" i="53"/>
  <c r="BC474" i="53"/>
  <c r="BC473" i="53"/>
  <c r="BC472" i="53"/>
  <c r="BC471" i="53"/>
  <c r="BC470" i="53"/>
  <c r="BC469" i="53"/>
  <c r="BC468" i="53"/>
  <c r="BC467" i="53"/>
  <c r="BC466" i="53"/>
  <c r="BC465" i="53"/>
  <c r="BC464" i="53"/>
  <c r="BC463" i="53"/>
  <c r="BC462" i="53"/>
  <c r="BC461" i="53"/>
  <c r="BC460" i="53"/>
  <c r="BC459" i="53"/>
  <c r="BC458" i="53"/>
  <c r="BC457" i="53"/>
  <c r="BC456" i="53"/>
  <c r="BC455" i="53"/>
  <c r="BC454" i="53"/>
  <c r="BC453" i="53"/>
  <c r="BC452" i="53"/>
  <c r="BC451" i="53"/>
  <c r="BC450" i="53"/>
  <c r="BC449" i="53"/>
  <c r="BC448" i="53"/>
  <c r="BC447" i="53"/>
  <c r="BC446" i="53"/>
  <c r="BC445" i="53"/>
  <c r="BC444" i="53"/>
  <c r="BC443" i="53"/>
  <c r="BC442" i="53"/>
  <c r="BC441" i="53"/>
  <c r="BC440" i="53"/>
  <c r="BC439" i="53"/>
  <c r="BC438" i="53"/>
  <c r="BC437" i="53"/>
  <c r="BC436" i="53"/>
  <c r="BC435" i="53"/>
  <c r="BC434" i="53"/>
  <c r="BC433" i="53"/>
  <c r="BC432" i="53"/>
  <c r="BC431" i="53"/>
  <c r="BC430" i="53"/>
  <c r="BC429" i="53"/>
  <c r="BC428" i="53"/>
  <c r="BC427" i="53"/>
  <c r="BC426" i="53"/>
  <c r="BC425" i="53"/>
  <c r="BC424" i="53"/>
  <c r="BC423" i="53"/>
  <c r="BC422" i="53"/>
  <c r="BC421" i="53"/>
  <c r="BC420" i="53"/>
  <c r="BC419" i="53"/>
  <c r="BC418" i="53"/>
  <c r="BC417" i="53"/>
  <c r="BC416" i="53"/>
  <c r="BC415" i="53"/>
  <c r="BC414" i="53"/>
  <c r="BC413" i="53"/>
  <c r="BC412" i="53"/>
  <c r="BC411" i="53"/>
  <c r="BC410" i="53"/>
  <c r="BC409" i="53"/>
  <c r="BC408" i="53"/>
  <c r="BC407" i="53"/>
  <c r="BC406" i="53"/>
  <c r="BC405" i="53"/>
  <c r="BC404" i="53"/>
  <c r="BC403" i="53"/>
  <c r="BC402" i="53"/>
  <c r="BC401" i="53"/>
  <c r="BC400" i="53"/>
  <c r="BC399" i="53"/>
  <c r="BC398" i="53"/>
  <c r="BC397" i="53"/>
  <c r="BC396" i="53"/>
  <c r="BC395" i="53"/>
  <c r="BC394" i="53"/>
  <c r="BC393" i="53"/>
  <c r="BC392" i="53"/>
  <c r="BC391" i="53"/>
  <c r="BC390" i="53"/>
  <c r="BC389" i="53"/>
  <c r="BC388" i="53"/>
  <c r="BC387" i="53"/>
  <c r="BC386" i="53"/>
  <c r="BC385" i="53"/>
  <c r="BC384" i="53"/>
  <c r="BC383" i="53"/>
  <c r="BC382" i="53"/>
  <c r="BC381" i="53"/>
  <c r="BC380" i="53"/>
  <c r="BC379" i="53"/>
  <c r="BC378" i="53"/>
  <c r="BC377" i="53"/>
  <c r="BC376" i="53"/>
  <c r="BC375" i="53"/>
  <c r="BC374" i="53"/>
  <c r="BC373" i="53"/>
  <c r="BC372" i="53"/>
  <c r="BC371" i="53"/>
  <c r="BC370" i="53"/>
  <c r="BC369" i="53"/>
  <c r="BC368" i="53"/>
  <c r="BC367" i="53"/>
  <c r="BC366" i="53"/>
  <c r="BC365" i="53"/>
  <c r="BC364" i="53"/>
  <c r="BC363" i="53"/>
  <c r="BC362" i="53"/>
  <c r="BC361" i="53"/>
  <c r="BC360" i="53"/>
  <c r="BC359" i="53"/>
  <c r="BC358" i="53"/>
  <c r="BC357" i="53"/>
  <c r="BC356" i="53"/>
  <c r="BC355" i="53"/>
  <c r="BC354" i="53"/>
  <c r="BC353" i="53"/>
  <c r="BC352" i="53"/>
  <c r="BC351" i="53"/>
  <c r="BC350" i="53"/>
  <c r="BC349" i="53"/>
  <c r="BC348" i="53"/>
  <c r="BC347" i="53"/>
  <c r="BC346" i="53"/>
  <c r="BC345" i="53"/>
  <c r="BC344" i="53"/>
  <c r="BC343" i="53"/>
  <c r="BC342" i="53"/>
  <c r="BC341" i="53"/>
  <c r="BC340" i="53"/>
  <c r="BC339" i="53"/>
  <c r="BC338" i="53"/>
  <c r="BC337" i="53"/>
  <c r="BC336" i="53"/>
  <c r="BC335" i="53"/>
  <c r="BC334" i="53"/>
  <c r="BC333" i="53"/>
  <c r="BC332" i="53"/>
  <c r="BC331" i="53"/>
  <c r="BC330" i="53"/>
  <c r="BC329" i="53"/>
  <c r="BC328" i="53"/>
  <c r="BC327" i="53"/>
  <c r="BC326" i="53"/>
  <c r="BC325" i="53"/>
  <c r="BC324" i="53"/>
  <c r="BC323" i="53"/>
  <c r="BC322" i="53"/>
  <c r="BC321" i="53"/>
  <c r="BC320" i="53"/>
  <c r="BC319" i="53"/>
  <c r="BC318" i="53"/>
  <c r="BC317" i="53"/>
  <c r="BC316" i="53"/>
  <c r="BC315" i="53"/>
  <c r="BC314" i="53"/>
  <c r="BC313" i="53"/>
  <c r="BC312" i="53"/>
  <c r="BC311" i="53"/>
  <c r="BC310" i="53"/>
  <c r="BC309" i="53"/>
  <c r="BC308" i="53"/>
  <c r="BC307" i="53"/>
  <c r="BC306" i="53"/>
  <c r="BC305" i="53"/>
  <c r="BC304" i="53"/>
  <c r="BC303" i="53"/>
  <c r="BC302" i="53"/>
  <c r="BC301" i="53"/>
  <c r="BC300" i="53"/>
  <c r="BC299" i="53"/>
  <c r="BC298" i="53"/>
  <c r="BC297" i="53"/>
  <c r="BC296" i="53"/>
  <c r="BC295" i="53"/>
  <c r="BC294" i="53"/>
  <c r="BC293" i="53"/>
  <c r="BC292" i="53"/>
  <c r="BC291" i="53"/>
  <c r="BC290" i="53"/>
  <c r="BC289" i="53"/>
  <c r="BC288" i="53"/>
  <c r="BC287" i="53"/>
  <c r="BC286" i="53"/>
  <c r="BC285" i="53"/>
  <c r="BC284" i="53"/>
  <c r="BC283" i="53"/>
  <c r="BC282" i="53"/>
  <c r="BC281" i="53"/>
  <c r="BC280" i="53"/>
  <c r="BC279" i="53"/>
  <c r="BC278" i="53"/>
  <c r="BC277" i="53"/>
  <c r="BC276" i="53"/>
  <c r="BC275" i="53"/>
  <c r="BC274" i="53"/>
  <c r="BC273" i="53"/>
  <c r="BC272" i="53"/>
  <c r="BC271" i="53"/>
  <c r="BC270" i="53"/>
  <c r="BC269" i="53"/>
  <c r="BC268" i="53"/>
  <c r="BC267" i="53"/>
  <c r="BC266" i="53"/>
  <c r="BC265" i="53"/>
  <c r="BC264" i="53"/>
  <c r="BC263" i="53"/>
  <c r="BC262" i="53"/>
  <c r="BC261" i="53"/>
  <c r="BC260" i="53"/>
  <c r="BC259" i="53"/>
  <c r="BC258" i="53"/>
  <c r="BC257" i="53"/>
  <c r="BC256" i="53"/>
  <c r="BC255" i="53"/>
  <c r="BC254" i="53"/>
  <c r="BC253" i="53"/>
  <c r="BC252" i="53"/>
  <c r="BC251" i="53"/>
  <c r="BC250" i="53"/>
  <c r="BC249" i="53"/>
  <c r="BC248" i="53"/>
  <c r="BC247" i="53"/>
  <c r="BC246" i="53"/>
  <c r="BC245" i="53"/>
  <c r="BC244" i="53"/>
  <c r="BC243" i="53"/>
  <c r="BC242" i="53"/>
  <c r="BC241" i="53"/>
  <c r="BC240" i="53"/>
  <c r="BC239" i="53"/>
  <c r="BC238" i="53"/>
  <c r="BC237" i="53"/>
  <c r="BC236" i="53"/>
  <c r="BC235" i="53"/>
  <c r="BC234" i="53"/>
  <c r="BC233" i="53"/>
  <c r="BC232" i="53"/>
  <c r="BC231" i="53"/>
  <c r="BC230" i="53"/>
  <c r="BC229" i="53"/>
  <c r="BC228" i="53"/>
  <c r="BC227" i="53"/>
  <c r="BC226" i="53"/>
  <c r="BC225" i="53"/>
  <c r="BC224" i="53"/>
  <c r="BC223" i="53"/>
  <c r="BC222" i="53"/>
  <c r="BC221" i="53"/>
  <c r="BC220" i="53"/>
  <c r="BC219" i="53"/>
  <c r="BC218" i="53"/>
  <c r="BC217" i="53"/>
  <c r="BC216" i="53"/>
  <c r="BC215" i="53"/>
  <c r="BC214" i="53"/>
  <c r="BC213" i="53"/>
  <c r="BC212" i="53"/>
  <c r="BC211" i="53"/>
  <c r="BC210" i="53"/>
  <c r="BC209" i="53"/>
  <c r="BC208" i="53"/>
  <c r="BC207" i="53"/>
  <c r="BC206" i="53"/>
  <c r="BC205" i="53"/>
  <c r="BC204" i="53"/>
  <c r="BC203" i="53"/>
  <c r="BC202" i="53"/>
  <c r="BC201" i="53"/>
  <c r="BC200" i="53"/>
  <c r="BC199" i="53"/>
  <c r="BC198" i="53"/>
  <c r="BC197" i="53"/>
  <c r="BC196" i="53"/>
  <c r="BC195" i="53"/>
  <c r="BC194" i="53"/>
  <c r="BC193" i="53"/>
  <c r="BC192" i="53"/>
  <c r="BC191" i="53"/>
  <c r="BC190" i="53"/>
  <c r="BC189" i="53"/>
  <c r="BC188" i="53"/>
  <c r="BC187" i="53"/>
  <c r="BC186" i="53"/>
  <c r="BC185" i="53"/>
  <c r="BC184" i="53"/>
  <c r="BC183" i="53"/>
  <c r="BC182" i="53"/>
  <c r="BC181" i="53"/>
  <c r="BC180" i="53"/>
  <c r="BC179" i="53"/>
  <c r="BC178" i="53"/>
  <c r="BC177" i="53"/>
  <c r="BC176" i="53"/>
  <c r="BC175" i="53"/>
  <c r="BC174" i="53"/>
  <c r="BC173" i="53"/>
  <c r="BC172" i="53"/>
  <c r="BC171" i="53"/>
  <c r="BC170" i="53"/>
  <c r="BC169" i="53"/>
  <c r="BC168" i="53"/>
  <c r="BC167" i="53"/>
  <c r="BC166" i="53"/>
  <c r="BC165" i="53"/>
  <c r="BC164" i="53"/>
  <c r="BC163" i="53"/>
  <c r="BC162" i="53"/>
  <c r="BC161" i="53"/>
  <c r="BC160" i="53"/>
  <c r="BC159" i="53"/>
  <c r="BC158" i="53"/>
  <c r="BC157" i="53"/>
  <c r="BC156" i="53"/>
  <c r="BC155" i="53"/>
  <c r="BC154" i="53"/>
  <c r="BC153" i="53"/>
  <c r="BC152" i="53"/>
  <c r="BC151" i="53"/>
  <c r="BC150" i="53"/>
  <c r="BC149" i="53"/>
  <c r="BC148" i="53"/>
  <c r="BC147" i="53"/>
  <c r="BC146" i="53"/>
  <c r="BC145" i="53"/>
  <c r="BC144" i="53"/>
  <c r="BC143" i="53"/>
  <c r="BC142" i="53"/>
  <c r="BC141" i="53"/>
  <c r="BC140" i="53"/>
  <c r="BC139" i="53"/>
  <c r="BC138" i="53"/>
  <c r="BC137" i="53"/>
  <c r="BC136" i="53"/>
  <c r="BC135" i="53"/>
  <c r="BC134" i="53"/>
  <c r="BC133" i="53"/>
  <c r="BC132" i="53"/>
  <c r="BC131" i="53"/>
  <c r="BC130" i="53"/>
  <c r="BC129" i="53"/>
  <c r="BC128" i="53"/>
  <c r="BC127" i="53"/>
  <c r="BC126" i="53"/>
  <c r="BC125" i="53"/>
  <c r="BC124" i="53"/>
  <c r="BC123" i="53"/>
  <c r="BC122" i="53"/>
  <c r="BC121" i="53"/>
  <c r="BC120" i="53"/>
  <c r="BC119" i="53"/>
  <c r="BC118" i="53"/>
  <c r="BC117" i="53"/>
  <c r="BC116" i="53"/>
  <c r="BC115" i="53"/>
  <c r="BC114" i="53"/>
  <c r="BC113" i="53"/>
  <c r="BC112" i="53"/>
  <c r="BC111" i="53"/>
  <c r="BC110" i="53"/>
  <c r="BC109" i="53"/>
  <c r="BC108" i="53"/>
  <c r="BC107" i="53"/>
  <c r="BC106" i="53"/>
  <c r="BC105" i="53"/>
  <c r="BC104" i="53"/>
  <c r="BC103" i="53"/>
  <c r="BC102" i="53"/>
  <c r="BC101" i="53"/>
  <c r="BC100" i="53"/>
  <c r="BC99" i="53"/>
  <c r="BC98" i="53"/>
  <c r="BC97" i="53"/>
  <c r="BC96" i="53"/>
  <c r="BC95" i="53"/>
  <c r="BC94" i="53"/>
  <c r="BC93" i="53"/>
  <c r="BC92" i="53"/>
  <c r="BC91" i="53"/>
  <c r="BC90" i="53"/>
  <c r="BC89" i="53"/>
  <c r="BC88" i="53"/>
  <c r="BC87" i="53"/>
  <c r="BC86" i="53"/>
  <c r="BC85" i="53"/>
  <c r="BC84" i="53"/>
  <c r="BC83" i="53"/>
  <c r="BC82" i="53"/>
  <c r="BC81" i="53"/>
  <c r="BC80" i="53"/>
  <c r="BC79" i="53"/>
  <c r="BC78" i="53"/>
  <c r="BC77" i="53"/>
  <c r="BC76" i="53"/>
  <c r="BC75" i="53"/>
  <c r="BC74" i="53"/>
  <c r="BC73" i="53"/>
  <c r="BC72" i="53"/>
  <c r="BC71" i="53"/>
  <c r="BC70" i="53"/>
  <c r="BC69" i="53"/>
  <c r="BC68" i="53"/>
  <c r="BC67" i="53"/>
  <c r="BC66" i="53"/>
  <c r="BC65" i="53"/>
  <c r="BC64" i="53"/>
  <c r="BC63" i="53"/>
  <c r="BC62" i="53"/>
  <c r="BC61" i="53"/>
  <c r="BC60" i="53"/>
  <c r="BC59" i="53"/>
  <c r="BC58" i="53"/>
  <c r="BC57" i="53"/>
  <c r="BC56" i="53"/>
  <c r="BC55" i="53"/>
  <c r="BC54" i="53"/>
  <c r="BC53" i="53"/>
  <c r="BC52" i="53"/>
  <c r="BC51" i="53"/>
  <c r="BC50" i="53"/>
  <c r="BC49" i="53"/>
  <c r="BC48" i="53"/>
  <c r="BC47" i="53"/>
  <c r="BC46" i="53"/>
  <c r="BC45" i="53"/>
  <c r="BC44" i="53"/>
  <c r="BC43" i="53"/>
  <c r="BC42" i="53"/>
  <c r="BC41" i="53"/>
  <c r="BC40" i="53"/>
  <c r="BC39" i="53"/>
  <c r="BC38" i="53"/>
  <c r="BC37" i="53"/>
  <c r="BC36" i="53"/>
  <c r="BC35" i="53"/>
  <c r="BC34" i="53"/>
  <c r="BC33" i="53"/>
  <c r="BC32" i="53"/>
  <c r="BC31" i="53"/>
  <c r="BC30" i="53"/>
  <c r="BC29" i="53"/>
  <c r="BC28" i="53"/>
  <c r="BC27" i="53"/>
  <c r="BC26" i="53"/>
  <c r="BC25" i="53"/>
  <c r="BC24" i="53"/>
  <c r="BC23" i="53"/>
  <c r="BC22" i="53"/>
  <c r="BC21" i="53"/>
  <c r="BC20" i="53"/>
  <c r="BC19" i="53"/>
  <c r="BC18" i="53"/>
  <c r="BC17" i="53"/>
  <c r="BC16" i="53"/>
  <c r="BC15" i="53"/>
  <c r="BC14" i="53"/>
  <c r="BC13" i="53"/>
  <c r="BC12" i="53"/>
  <c r="BC11" i="53"/>
  <c r="BC10" i="53"/>
  <c r="BC9" i="53"/>
  <c r="BC8" i="53"/>
  <c r="BC7" i="53"/>
  <c r="BC6" i="53"/>
  <c r="BC5" i="53"/>
  <c r="BC4" i="53"/>
  <c r="BC3" i="53"/>
  <c r="BC2" i="53"/>
  <c r="AR47" i="66"/>
  <c r="T4" i="2"/>
  <c r="BL46" i="2"/>
  <c r="AR45" i="66"/>
  <c r="BV33" i="2"/>
  <c r="AR49" i="66"/>
  <c r="Y5" i="58"/>
  <c r="Y47" i="58" s="1"/>
  <c r="Y90" i="58" s="1"/>
  <c r="Y133" i="58" s="1"/>
  <c r="Y176" i="58" s="1"/>
  <c r="Y219" i="58" s="1"/>
  <c r="P14" i="62"/>
  <c r="N14" i="66"/>
  <c r="P16" i="61"/>
  <c r="Y7" i="65"/>
  <c r="S174" i="58"/>
  <c r="BF144" i="65" l="1"/>
  <c r="BE144" i="65"/>
  <c r="BF140" i="65"/>
  <c r="BE140" i="65"/>
  <c r="BF132" i="65"/>
  <c r="BE132" i="65"/>
  <c r="BF148" i="65"/>
  <c r="BE148" i="65"/>
  <c r="BF136" i="65"/>
  <c r="BE136" i="65"/>
  <c r="BF128" i="65"/>
  <c r="BE128" i="65"/>
  <c r="AL23" i="65"/>
  <c r="AU23" i="65"/>
  <c r="BO46" i="2"/>
  <c r="G5" i="65"/>
  <c r="K47" i="58"/>
  <c r="K90" i="58" s="1"/>
  <c r="BF108" i="65"/>
  <c r="BE108" i="65"/>
  <c r="BI106" i="65"/>
  <c r="CD84" i="58"/>
  <c r="BE141" i="65"/>
  <c r="BF122" i="65"/>
  <c r="BW65" i="58"/>
  <c r="CE84" i="58"/>
  <c r="CD35" i="58"/>
  <c r="O46" i="2"/>
  <c r="CD87" i="58"/>
  <c r="BF145" i="65"/>
  <c r="S217" i="58"/>
  <c r="BH129" i="65"/>
  <c r="S130" i="58"/>
  <c r="CD113" i="58"/>
  <c r="BV66" i="58"/>
  <c r="S173" i="58"/>
  <c r="BI145" i="65"/>
  <c r="BH137" i="65"/>
  <c r="K133" i="58"/>
  <c r="BF126" i="65"/>
  <c r="L46" i="2"/>
  <c r="CE60" i="58"/>
  <c r="CD60" i="58"/>
  <c r="AR36" i="66"/>
  <c r="BH135" i="65"/>
  <c r="BH151" i="65"/>
  <c r="BS34" i="58"/>
  <c r="S176" i="58"/>
  <c r="S219" i="58" s="1"/>
  <c r="P176" i="58"/>
  <c r="P219" i="58" s="1"/>
  <c r="BI129" i="65"/>
  <c r="S131" i="58"/>
  <c r="BQ46" i="2"/>
  <c r="BS24" i="58"/>
  <c r="BS27" i="58"/>
  <c r="BS37" i="58"/>
  <c r="CD51" i="58"/>
  <c r="CE109" i="58"/>
  <c r="BH146" i="65"/>
  <c r="BS36" i="58"/>
  <c r="BS30" i="58"/>
  <c r="BI141" i="65"/>
  <c r="S88" i="58"/>
  <c r="S87" i="58"/>
  <c r="CD86" i="58"/>
  <c r="BV65" i="58"/>
  <c r="BU58" i="58"/>
  <c r="CD53" i="58"/>
  <c r="CD109" i="58"/>
  <c r="CD55" i="58"/>
  <c r="BU66" i="58"/>
  <c r="BL86" i="58"/>
  <c r="K35" i="58" s="1"/>
  <c r="S45" i="58"/>
  <c r="CE103" i="58"/>
  <c r="BW56" i="58"/>
  <c r="BW59" i="58"/>
  <c r="CE106" i="58"/>
  <c r="CE101" i="58"/>
  <c r="BJ86" i="58"/>
  <c r="I35" i="58" s="1"/>
  <c r="BS33" i="58"/>
  <c r="BI70" i="58"/>
  <c r="CE36" i="58"/>
  <c r="CD36" i="58"/>
  <c r="BG86" i="58"/>
  <c r="G34" i="58" s="1"/>
  <c r="BS35" i="58"/>
  <c r="CD32" i="58"/>
  <c r="BM86" i="58"/>
  <c r="M34" i="58" s="1"/>
  <c r="BH150" i="65"/>
  <c r="BE143" i="65"/>
  <c r="CD110" i="58"/>
  <c r="BI143" i="65"/>
  <c r="S47" i="58"/>
  <c r="S90" i="58" s="1"/>
  <c r="BT66" i="58"/>
  <c r="BH119" i="65"/>
  <c r="CQ35" i="2"/>
  <c r="BS12" i="58"/>
  <c r="BS31" i="58"/>
  <c r="CN35" i="2"/>
  <c r="CD114" i="58"/>
  <c r="BG70" i="58"/>
  <c r="BW58" i="58"/>
  <c r="BW42" i="58"/>
  <c r="CE89" i="58"/>
  <c r="CE114" i="58"/>
  <c r="BF124" i="65"/>
  <c r="BK51" i="2"/>
  <c r="BK52" i="2"/>
  <c r="BE139" i="65"/>
  <c r="CY17" i="2"/>
  <c r="N46" i="2"/>
  <c r="BP46" i="2"/>
  <c r="CY19" i="2"/>
  <c r="BH122" i="65"/>
  <c r="BE138" i="65"/>
  <c r="BH133" i="65"/>
  <c r="BH117" i="65"/>
  <c r="BF139" i="65"/>
  <c r="BF137" i="65"/>
  <c r="BE137" i="65"/>
  <c r="AL35" i="2"/>
  <c r="BF130" i="65"/>
  <c r="BI130" i="65"/>
  <c r="BH131" i="65"/>
  <c r="BI126" i="65"/>
  <c r="BH121" i="65"/>
  <c r="BF116" i="65"/>
  <c r="BF134" i="65"/>
  <c r="BF151" i="65"/>
  <c r="BE134" i="65"/>
  <c r="BH125" i="65"/>
  <c r="BH127" i="65"/>
  <c r="BH142" i="65"/>
  <c r="BI149" i="65"/>
  <c r="BF149" i="65"/>
  <c r="CY15" i="2"/>
  <c r="BH114" i="65"/>
  <c r="BF114" i="65" s="1"/>
  <c r="BF113" i="65"/>
  <c r="CY18" i="2"/>
  <c r="CY20" i="2"/>
  <c r="CG22" i="2"/>
  <c r="BK45" i="2"/>
  <c r="BK46" i="2" s="1"/>
  <c r="P46" i="2"/>
  <c r="BT46" i="2"/>
  <c r="BA24" i="2"/>
  <c r="R46" i="2"/>
  <c r="CY14" i="2"/>
  <c r="CY16" i="2"/>
  <c r="BV29" i="2"/>
  <c r="BV37" i="2"/>
  <c r="BR46" i="2"/>
  <c r="CH21" i="2"/>
  <c r="CH36" i="2" s="1"/>
  <c r="CH37" i="2" s="1"/>
  <c r="CK21" i="2"/>
  <c r="CK36" i="2" s="1"/>
  <c r="CK37" i="2" s="1"/>
  <c r="BV39" i="2"/>
  <c r="BV45" i="2" s="1"/>
  <c r="BH149" i="65"/>
  <c r="BH138" i="65"/>
  <c r="BE129" i="65"/>
  <c r="BH123" i="65"/>
  <c r="BH113" i="65"/>
  <c r="BH115" i="65"/>
  <c r="BE115" i="65" s="1"/>
  <c r="BH110" i="65"/>
  <c r="BF110" i="65" s="1"/>
  <c r="BH109" i="65"/>
  <c r="CK35" i="2"/>
  <c r="CT35" i="2"/>
  <c r="CX35" i="2"/>
  <c r="AF35" i="2"/>
  <c r="M46" i="2"/>
  <c r="C132" i="58"/>
  <c r="C175" i="58"/>
  <c r="C218" i="58" s="1"/>
  <c r="BI111" i="65"/>
  <c r="BI109" i="65"/>
  <c r="BF109" i="65"/>
  <c r="P47" i="58"/>
  <c r="P90" i="58" s="1"/>
  <c r="BS32" i="58"/>
  <c r="BS25" i="58"/>
  <c r="BS21" i="58"/>
  <c r="CD80" i="58"/>
  <c r="BW54" i="58"/>
  <c r="BU61" i="58"/>
  <c r="CE80" i="58"/>
  <c r="BS14" i="58"/>
  <c r="BS16" i="58"/>
  <c r="BS26" i="58"/>
  <c r="BS28" i="58"/>
  <c r="CD71" i="58"/>
  <c r="CE51" i="58"/>
  <c r="BT56" i="58"/>
  <c r="CD88" i="58"/>
  <c r="CE49" i="58"/>
  <c r="CE71" i="58"/>
  <c r="CD25" i="58"/>
  <c r="BV61" i="58"/>
  <c r="BU63" i="58"/>
  <c r="CE88" i="58"/>
  <c r="BH86" i="58"/>
  <c r="G35" i="58" s="1"/>
  <c r="BH111" i="65"/>
  <c r="BE111" i="65" s="1"/>
  <c r="BI113" i="65"/>
  <c r="BF112" i="65"/>
  <c r="BH106" i="65"/>
  <c r="BE106" i="65" s="1"/>
  <c r="BH107" i="65"/>
  <c r="BF107" i="65" s="1"/>
  <c r="BI114" i="65"/>
  <c r="BF131" i="65"/>
  <c r="BE131" i="65"/>
  <c r="BE142" i="65"/>
  <c r="BI142" i="65"/>
  <c r="BI121" i="65"/>
  <c r="BI119" i="65"/>
  <c r="BI117" i="65"/>
  <c r="BH130" i="65"/>
  <c r="BE117" i="65"/>
  <c r="BH118" i="65"/>
  <c r="BF118" i="65" s="1"/>
  <c r="BH141" i="65"/>
  <c r="BH143" i="65"/>
  <c r="BF121" i="65"/>
  <c r="BH134" i="65"/>
  <c r="F47" i="58"/>
  <c r="F90" i="58" s="1"/>
  <c r="F133" i="58"/>
  <c r="H47" i="58"/>
  <c r="H90" i="58" s="1"/>
  <c r="H176" i="58"/>
  <c r="H219" i="58" s="1"/>
  <c r="C47" i="58"/>
  <c r="C90" i="58" s="1"/>
  <c r="C133" i="58"/>
  <c r="CD61" i="58"/>
  <c r="BK70" i="58"/>
  <c r="CE110" i="58"/>
  <c r="BV58" i="58"/>
  <c r="CD79" i="58"/>
  <c r="CD59" i="58"/>
  <c r="CD54" i="58"/>
  <c r="CE59" i="58"/>
  <c r="CE52" i="58"/>
  <c r="BH126" i="65"/>
  <c r="AI35" i="2"/>
  <c r="BE151" i="65"/>
  <c r="BH145" i="65"/>
  <c r="BH147" i="65"/>
  <c r="BF147" i="65" s="1"/>
  <c r="AX35" i="2"/>
  <c r="AU35" i="2"/>
  <c r="AR35" i="2"/>
  <c r="AO35" i="2"/>
  <c r="BA23" i="2"/>
  <c r="J46" i="2"/>
  <c r="BS19" i="58"/>
  <c r="S44" i="58"/>
  <c r="CE57" i="58"/>
  <c r="CD81" i="58"/>
  <c r="BW66" i="58"/>
  <c r="BT64" i="58"/>
  <c r="CD57" i="58"/>
  <c r="BS20" i="58"/>
  <c r="BS17" i="58"/>
  <c r="BS22" i="58"/>
  <c r="BS23" i="58"/>
  <c r="CD99" i="58"/>
  <c r="BS18" i="58"/>
  <c r="BS29" i="58"/>
  <c r="BS13" i="58"/>
  <c r="BS15" i="58"/>
  <c r="BV60" i="58"/>
  <c r="BW53" i="58"/>
  <c r="CE28" i="58"/>
  <c r="CD26" i="58"/>
  <c r="CE31" i="58"/>
  <c r="CD31" i="58"/>
  <c r="BF138" i="65"/>
  <c r="BF146" i="65"/>
  <c r="BE150" i="65"/>
  <c r="BE146" i="65"/>
  <c r="BI147" i="65"/>
  <c r="BF133" i="65"/>
  <c r="BI133" i="65"/>
  <c r="BE135" i="65"/>
  <c r="BF135" i="65"/>
  <c r="BE125" i="65"/>
  <c r="BF125" i="65"/>
  <c r="BF127" i="65"/>
  <c r="BE127" i="65"/>
  <c r="BU50" i="58"/>
  <c r="CD67" i="58"/>
  <c r="BK86" i="58"/>
  <c r="K34" i="58" s="1"/>
  <c r="BU52" i="58"/>
  <c r="CE45" i="58"/>
  <c r="BW61" i="58"/>
  <c r="CE54" i="58"/>
  <c r="BU51" i="58"/>
  <c r="CD7" i="58"/>
  <c r="CE7" i="58" s="1"/>
  <c r="CE33" i="58"/>
  <c r="CD30" i="58"/>
  <c r="CD72" i="58"/>
  <c r="BU57" i="58"/>
  <c r="CE118" i="58"/>
  <c r="CD98" i="58"/>
  <c r="BN86" i="58"/>
  <c r="M35" i="58" s="1"/>
  <c r="CD58" i="58"/>
  <c r="CA39" i="58"/>
  <c r="CD95" i="58"/>
  <c r="BI86" i="58"/>
  <c r="I34" i="58" s="1"/>
  <c r="BV55" i="58"/>
  <c r="CD23" i="58"/>
  <c r="CD14" i="58"/>
  <c r="BV51" i="58"/>
  <c r="BT50" i="58"/>
  <c r="CD93" i="58"/>
  <c r="CE46" i="58"/>
  <c r="CD56" i="58"/>
  <c r="BW46" i="58"/>
  <c r="BX39" i="58"/>
  <c r="CE17" i="58"/>
  <c r="BE122" i="65"/>
  <c r="BF123" i="65"/>
  <c r="BI123" i="65"/>
  <c r="BI118" i="65"/>
  <c r="BE110" i="65"/>
  <c r="BF105" i="65"/>
  <c r="BH105" i="65"/>
  <c r="N176" i="58"/>
  <c r="N219" i="58" s="1"/>
  <c r="N47" i="58"/>
  <c r="N90" i="58" s="1"/>
  <c r="N13" i="66"/>
  <c r="P13" i="62"/>
  <c r="P15" i="61"/>
  <c r="BE105" i="65"/>
  <c r="BI107" i="65"/>
  <c r="BK30" i="65"/>
  <c r="BK37" i="65"/>
  <c r="BK38" i="65"/>
  <c r="BK35" i="65"/>
  <c r="BK34" i="65"/>
  <c r="BK29" i="65"/>
  <c r="BK33" i="65"/>
  <c r="BK32" i="65"/>
  <c r="BK39" i="65"/>
  <c r="BI39" i="65" s="1"/>
  <c r="BK40" i="65"/>
  <c r="BK31" i="65"/>
  <c r="BK36" i="65"/>
  <c r="BF150" i="65"/>
  <c r="CE23" i="58"/>
  <c r="BT58" i="58"/>
  <c r="CD27" i="58"/>
  <c r="BV53" i="58"/>
  <c r="CE74" i="58"/>
  <c r="BR5" i="58"/>
  <c r="BT55" i="58"/>
  <c r="CE21" i="58"/>
  <c r="BV43" i="58"/>
  <c r="CD115" i="58"/>
  <c r="J54" i="2" s="1"/>
  <c r="BT52" i="58"/>
  <c r="CD82" i="58"/>
  <c r="CD28" i="58"/>
  <c r="BV49" i="58"/>
  <c r="BV46" i="58"/>
  <c r="CE32" i="58"/>
  <c r="BS5" i="58"/>
  <c r="BT44" i="58"/>
  <c r="CD64" i="58"/>
  <c r="BV57" i="58"/>
  <c r="CE115" i="58"/>
  <c r="CD108" i="58"/>
  <c r="CE37" i="58"/>
  <c r="BR7" i="58"/>
  <c r="I39" i="2" s="1"/>
  <c r="T39" i="2" s="1"/>
  <c r="CE104" i="58"/>
  <c r="CD92" i="58"/>
  <c r="BW45" i="58"/>
  <c r="BU42" i="58"/>
  <c r="BW57" i="58"/>
  <c r="BU60" i="58"/>
  <c r="BU53" i="58"/>
  <c r="CE48" i="58"/>
  <c r="CE102" i="58"/>
  <c r="CD90" i="58"/>
  <c r="S3" i="58"/>
  <c r="CE100" i="58"/>
  <c r="BT4" i="58"/>
  <c r="CD111" i="58"/>
  <c r="CD102" i="58"/>
  <c r="CE96" i="58"/>
  <c r="CD107" i="58"/>
  <c r="CD47" i="58"/>
  <c r="CE112" i="58"/>
  <c r="BW50" i="58"/>
  <c r="CD89" i="58"/>
  <c r="BU49" i="58"/>
  <c r="BW64" i="58"/>
  <c r="CD62" i="58"/>
  <c r="CD44" i="58"/>
  <c r="BW43" i="58"/>
  <c r="CE116" i="58"/>
  <c r="BW60" i="58"/>
  <c r="CD118" i="58"/>
  <c r="J61" i="2" s="1"/>
  <c r="BW49" i="58"/>
  <c r="CD97" i="58"/>
  <c r="CE41" i="58"/>
  <c r="CE98" i="58"/>
  <c r="CD105" i="58"/>
  <c r="CE95" i="58"/>
  <c r="CD49" i="58"/>
  <c r="CD39" i="58"/>
  <c r="CD43" i="58"/>
  <c r="CE38" i="58"/>
  <c r="BU46" i="58"/>
  <c r="BS9" i="58"/>
  <c r="I41" i="2" s="1"/>
  <c r="T41" i="2" s="1"/>
  <c r="CE91" i="58"/>
  <c r="BU55" i="58"/>
  <c r="CE39" i="58"/>
  <c r="BU48" i="58"/>
  <c r="BU43" i="58"/>
  <c r="CD40" i="58"/>
  <c r="BU38" i="58"/>
  <c r="CD50" i="58"/>
  <c r="BU45" i="58"/>
  <c r="BW52" i="58"/>
  <c r="BQ5" i="58"/>
  <c r="X38" i="58"/>
  <c r="CD116" i="58"/>
  <c r="J62" i="2" s="1"/>
  <c r="BW38" i="58"/>
  <c r="BW44" i="58"/>
  <c r="BY38" i="58"/>
  <c r="CD8" i="58" s="1"/>
  <c r="CE8" i="58" s="1"/>
  <c r="CE62" i="58"/>
  <c r="CD19" i="58"/>
  <c r="I31" i="2"/>
  <c r="T31" i="2" s="1"/>
  <c r="BT61" i="58"/>
  <c r="CD69" i="58"/>
  <c r="CD70" i="58"/>
  <c r="CD66" i="58"/>
  <c r="CE14" i="58"/>
  <c r="S2" i="58"/>
  <c r="X37" i="58"/>
  <c r="AX39" i="58" s="1"/>
  <c r="CE69" i="58"/>
  <c r="CD76" i="58"/>
  <c r="BT49" i="58"/>
  <c r="CD65" i="58"/>
  <c r="CD13" i="58"/>
  <c r="CE78" i="58"/>
  <c r="CD34" i="58"/>
  <c r="CE83" i="58"/>
  <c r="CD83" i="58"/>
  <c r="BT65" i="58"/>
  <c r="BV64" i="58"/>
  <c r="CE18" i="58"/>
  <c r="BV42" i="58"/>
  <c r="CE85" i="58"/>
  <c r="M69" i="2"/>
  <c r="J67" i="2" s="1"/>
  <c r="R39" i="58"/>
  <c r="CD75" i="58"/>
  <c r="CE75" i="58"/>
  <c r="BV52" i="58"/>
  <c r="BP5" i="58"/>
  <c r="CE20" i="58"/>
  <c r="CD117" i="58"/>
  <c r="J53" i="2" s="1"/>
  <c r="BV45" i="58"/>
  <c r="CE63" i="58"/>
  <c r="CE73" i="58"/>
  <c r="CD11" i="58"/>
  <c r="CE22" i="58"/>
  <c r="BV56" i="58"/>
  <c r="CE29" i="58"/>
  <c r="BZ39" i="58"/>
  <c r="BT51" i="58"/>
  <c r="CD22" i="58"/>
  <c r="CD77" i="58"/>
  <c r="BT60" i="58"/>
  <c r="BF8" i="58"/>
  <c r="BT38" i="58"/>
  <c r="CD3" i="58" s="1"/>
  <c r="CE3" i="58" s="1"/>
  <c r="BS10" i="58"/>
  <c r="BT3" i="58"/>
  <c r="CE65" i="58"/>
  <c r="CE15" i="58"/>
  <c r="CE12" i="58"/>
  <c r="CD17" i="58"/>
  <c r="CD12" i="58"/>
  <c r="CD24" i="58"/>
  <c r="BZ38" i="58"/>
  <c r="CD9" i="58" s="1"/>
  <c r="CE9" i="58" s="1"/>
  <c r="CE117" i="58"/>
  <c r="BT57" i="58"/>
  <c r="BV38" i="58"/>
  <c r="BV39" i="58" s="1"/>
  <c r="CD15" i="58"/>
  <c r="DA22" i="2" l="1"/>
  <c r="DA21" i="2"/>
  <c r="BF119" i="65"/>
  <c r="CE119" i="58"/>
  <c r="I25" i="2"/>
  <c r="BK57" i="2"/>
  <c r="BF111" i="65"/>
  <c r="BS6" i="58"/>
  <c r="BR6" i="58"/>
  <c r="BG3" i="58"/>
  <c r="J51" i="2"/>
  <c r="BF115" i="65"/>
  <c r="BE114" i="65"/>
  <c r="CY21" i="2"/>
  <c r="CK38" i="2"/>
  <c r="CK39" i="2" s="1"/>
  <c r="BV46" i="2"/>
  <c r="CH35" i="2"/>
  <c r="CH38" i="2" s="1"/>
  <c r="CH39" i="2" s="1"/>
  <c r="CY22" i="2"/>
  <c r="CY35" i="2" s="1"/>
  <c r="BE107" i="65"/>
  <c r="BF106" i="65"/>
  <c r="BR107" i="65"/>
  <c r="BN107" i="65" s="1"/>
  <c r="BW107" i="65" s="1"/>
  <c r="AA8" i="2" s="1"/>
  <c r="AD8" i="2" s="1"/>
  <c r="T25" i="2"/>
  <c r="CD119" i="58"/>
  <c r="CD10" i="58"/>
  <c r="CE10" i="58" s="1"/>
  <c r="BE147" i="65"/>
  <c r="BS38" i="58"/>
  <c r="BT5" i="58"/>
  <c r="BR108" i="65"/>
  <c r="BR117" i="65"/>
  <c r="BG39" i="65"/>
  <c r="BR118" i="65"/>
  <c r="BO118" i="65" s="1"/>
  <c r="BR106" i="65"/>
  <c r="BN106" i="65" s="1"/>
  <c r="BR116" i="65"/>
  <c r="BL116" i="65" s="1"/>
  <c r="BR104" i="65"/>
  <c r="BR120" i="65"/>
  <c r="BW120" i="65" s="1"/>
  <c r="BR105" i="65"/>
  <c r="BR110" i="65"/>
  <c r="BN110" i="65" s="1"/>
  <c r="CA121" i="65"/>
  <c r="BR114" i="65"/>
  <c r="BR109" i="65"/>
  <c r="BO109" i="65" s="1"/>
  <c r="BR111" i="65"/>
  <c r="BR113" i="65"/>
  <c r="BR119" i="65"/>
  <c r="BL119" i="65" s="1"/>
  <c r="BR121" i="65"/>
  <c r="BO121" i="65" s="1"/>
  <c r="BR115" i="65"/>
  <c r="BN115" i="65" s="1"/>
  <c r="BR112" i="65"/>
  <c r="BO112" i="65" s="1"/>
  <c r="BJ32" i="65"/>
  <c r="BC50" i="65" s="1"/>
  <c r="BG32" i="65"/>
  <c r="BE32" i="65"/>
  <c r="BI32" i="65"/>
  <c r="BH32" i="65"/>
  <c r="BF32" i="65"/>
  <c r="BJ39" i="65"/>
  <c r="BG33" i="65"/>
  <c r="BJ33" i="65"/>
  <c r="BC51" i="65" s="1"/>
  <c r="BH33" i="65"/>
  <c r="BI33" i="65"/>
  <c r="BF33" i="65"/>
  <c r="BE33" i="65"/>
  <c r="BJ29" i="65"/>
  <c r="BH29" i="65"/>
  <c r="BE29" i="65"/>
  <c r="BF29" i="65"/>
  <c r="BI29" i="65"/>
  <c r="BG29" i="65"/>
  <c r="BI34" i="65"/>
  <c r="BF34" i="65"/>
  <c r="BG34" i="65"/>
  <c r="BJ34" i="65"/>
  <c r="BH34" i="65"/>
  <c r="BE34" i="65"/>
  <c r="BF36" i="65"/>
  <c r="BE36" i="65"/>
  <c r="BJ36" i="65"/>
  <c r="BG36" i="65"/>
  <c r="BI36" i="65"/>
  <c r="BH36" i="65"/>
  <c r="BF35" i="65"/>
  <c r="BG35" i="65"/>
  <c r="BH35" i="65"/>
  <c r="BJ35" i="65"/>
  <c r="BI35" i="65"/>
  <c r="BE35" i="65"/>
  <c r="BH31" i="65"/>
  <c r="BJ31" i="65"/>
  <c r="BG31" i="65"/>
  <c r="BE31" i="65"/>
  <c r="BI31" i="65"/>
  <c r="BF31" i="65"/>
  <c r="BJ38" i="65"/>
  <c r="BI38" i="65"/>
  <c r="BG38" i="65"/>
  <c r="BE38" i="65"/>
  <c r="BF38" i="65"/>
  <c r="BH38" i="65"/>
  <c r="BI40" i="65"/>
  <c r="BJ40" i="65"/>
  <c r="BF40" i="65"/>
  <c r="BE40" i="65"/>
  <c r="BG40" i="65"/>
  <c r="BH40" i="65"/>
  <c r="BG37" i="65"/>
  <c r="BI37" i="65"/>
  <c r="BH37" i="65"/>
  <c r="BF37" i="65"/>
  <c r="BE37" i="65"/>
  <c r="BJ37" i="65"/>
  <c r="BE39" i="65"/>
  <c r="BH39" i="65"/>
  <c r="BF39" i="65"/>
  <c r="BE30" i="65"/>
  <c r="BJ30" i="65"/>
  <c r="BG30" i="65"/>
  <c r="BF30" i="65"/>
  <c r="BI30" i="65"/>
  <c r="BH30" i="65"/>
  <c r="J59" i="2"/>
  <c r="I38" i="2"/>
  <c r="BU39" i="58"/>
  <c r="CD4" i="58"/>
  <c r="CE4" i="58" s="1"/>
  <c r="I40" i="2"/>
  <c r="T40" i="2" s="1"/>
  <c r="CD6" i="58"/>
  <c r="CE6" i="58" s="1"/>
  <c r="BW39" i="58"/>
  <c r="BQ6" i="58" s="1"/>
  <c r="X39" i="58"/>
  <c r="CP4" i="58"/>
  <c r="CN4" i="58" s="1"/>
  <c r="CP3" i="58"/>
  <c r="CQ3" i="58" s="1"/>
  <c r="CP5" i="58"/>
  <c r="CQ5" i="58" s="1"/>
  <c r="CP8" i="58"/>
  <c r="CD5" i="58"/>
  <c r="CE5" i="58" s="1"/>
  <c r="J68" i="2"/>
  <c r="CP7" i="58"/>
  <c r="I30" i="2"/>
  <c r="CP9" i="58"/>
  <c r="CP6" i="58"/>
  <c r="I33" i="2"/>
  <c r="T33" i="2" s="1"/>
  <c r="BS7" i="58"/>
  <c r="I32" i="2"/>
  <c r="T32" i="2" s="1"/>
  <c r="BT39" i="58"/>
  <c r="BN104" i="65" l="1"/>
  <c r="BW104" i="65" s="1"/>
  <c r="AA5" i="2" s="1"/>
  <c r="BO104" i="65"/>
  <c r="BX104" i="65" s="1"/>
  <c r="BO107" i="65"/>
  <c r="BX107" i="65" s="1"/>
  <c r="BP111" i="65"/>
  <c r="BY111" i="65" s="1"/>
  <c r="AE12" i="2" s="1"/>
  <c r="BN111" i="65"/>
  <c r="BW111" i="65" s="1"/>
  <c r="I24" i="2"/>
  <c r="T24" i="2" s="1"/>
  <c r="I26" i="2"/>
  <c r="T26" i="2" s="1"/>
  <c r="BW106" i="65"/>
  <c r="AA7" i="2" s="1"/>
  <c r="AD7" i="2" s="1"/>
  <c r="BL106" i="65"/>
  <c r="BT106" i="65" s="1"/>
  <c r="Y7" i="2" s="1"/>
  <c r="BM107" i="65"/>
  <c r="BU107" i="65" s="1"/>
  <c r="BV107" i="65" s="1"/>
  <c r="Z8" i="2" s="1"/>
  <c r="BN118" i="65"/>
  <c r="BL107" i="65"/>
  <c r="BT107" i="65" s="1"/>
  <c r="Y8" i="2" s="1"/>
  <c r="BM118" i="65"/>
  <c r="BP107" i="65"/>
  <c r="BY107" i="65" s="1"/>
  <c r="AE8" i="2" s="1"/>
  <c r="BX118" i="65"/>
  <c r="BN117" i="65"/>
  <c r="BW117" i="65" s="1"/>
  <c r="AA18" i="2" s="1"/>
  <c r="AD18" i="2" s="1"/>
  <c r="BP117" i="65"/>
  <c r="BY117" i="65" s="1"/>
  <c r="AE18" i="2" s="1"/>
  <c r="BL104" i="65"/>
  <c r="BT104" i="65" s="1"/>
  <c r="Y5" i="2" s="1"/>
  <c r="BM109" i="65"/>
  <c r="BU109" i="65" s="1"/>
  <c r="BV109" i="65" s="1"/>
  <c r="Z10" i="2" s="1"/>
  <c r="BP104" i="65"/>
  <c r="BY104" i="65" s="1"/>
  <c r="AE5" i="2" s="1"/>
  <c r="BM106" i="65"/>
  <c r="BU106" i="65" s="1"/>
  <c r="BV106" i="65" s="1"/>
  <c r="Z7" i="2" s="1"/>
  <c r="BL109" i="65"/>
  <c r="BT109" i="65" s="1"/>
  <c r="Y10" i="2" s="1"/>
  <c r="BL113" i="65"/>
  <c r="BT113" i="65" s="1"/>
  <c r="Y14" i="2" s="1"/>
  <c r="BL112" i="65"/>
  <c r="BT112" i="65" s="1"/>
  <c r="Y13" i="2" s="1"/>
  <c r="BN112" i="65"/>
  <c r="BW112" i="65" s="1"/>
  <c r="AA13" i="2" s="1"/>
  <c r="AD13" i="2" s="1"/>
  <c r="BP113" i="65"/>
  <c r="BY113" i="65" s="1"/>
  <c r="AE14" i="2" s="1"/>
  <c r="BN113" i="65"/>
  <c r="BW113" i="65" s="1"/>
  <c r="AA14" i="2" s="1"/>
  <c r="AD14" i="2" s="1"/>
  <c r="BM116" i="65"/>
  <c r="BU116" i="65" s="1"/>
  <c r="BV116" i="65" s="1"/>
  <c r="Z17" i="2" s="1"/>
  <c r="BO117" i="65"/>
  <c r="BX117" i="65" s="1"/>
  <c r="BM104" i="65"/>
  <c r="BU104" i="65" s="1"/>
  <c r="BV104" i="65" s="1"/>
  <c r="Z5" i="2" s="1"/>
  <c r="BM117" i="65"/>
  <c r="BU117" i="65" s="1"/>
  <c r="BV117" i="65" s="1"/>
  <c r="Z18" i="2" s="1"/>
  <c r="BO113" i="65"/>
  <c r="BX113" i="65" s="1"/>
  <c r="BM113" i="65"/>
  <c r="BU113" i="65" s="1"/>
  <c r="BV113" i="65" s="1"/>
  <c r="Z14" i="2" s="1"/>
  <c r="BL117" i="65"/>
  <c r="BT117" i="65" s="1"/>
  <c r="Y18" i="2" s="1"/>
  <c r="BO108" i="65"/>
  <c r="BX108" i="65" s="1"/>
  <c r="BL105" i="65"/>
  <c r="BT105" i="65" s="1"/>
  <c r="Y6" i="2" s="1"/>
  <c r="BX109" i="65"/>
  <c r="BN109" i="65"/>
  <c r="BW109" i="65" s="1"/>
  <c r="BN108" i="65"/>
  <c r="BW108" i="65" s="1"/>
  <c r="AA9" i="2" s="1"/>
  <c r="BL111" i="65"/>
  <c r="BT111" i="65" s="1"/>
  <c r="Y12" i="2" s="1"/>
  <c r="BX120" i="65"/>
  <c r="BP106" i="65"/>
  <c r="BY106" i="65" s="1"/>
  <c r="AE7" i="2" s="1"/>
  <c r="BP108" i="65"/>
  <c r="BY108" i="65" s="1"/>
  <c r="AE9" i="2" s="1"/>
  <c r="BP109" i="65"/>
  <c r="BQ109" i="65" s="1"/>
  <c r="BZ109" i="65" s="1"/>
  <c r="BL108" i="65"/>
  <c r="BT108" i="65" s="1"/>
  <c r="Y9" i="2" s="1"/>
  <c r="BM108" i="65"/>
  <c r="BU108" i="65" s="1"/>
  <c r="BV108" i="65" s="1"/>
  <c r="Z9" i="2" s="1"/>
  <c r="BX121" i="65"/>
  <c r="BO106" i="65"/>
  <c r="BX106" i="65" s="1"/>
  <c r="BP118" i="65"/>
  <c r="BQ118" i="65" s="1"/>
  <c r="BZ118" i="65" s="1"/>
  <c r="BX119" i="65"/>
  <c r="BY120" i="65"/>
  <c r="BN119" i="65"/>
  <c r="BY119" i="65"/>
  <c r="AE20" i="2" s="1"/>
  <c r="BU118" i="65"/>
  <c r="BV118" i="65" s="1"/>
  <c r="Z19" i="2" s="1"/>
  <c r="BW115" i="65"/>
  <c r="AA16" i="2" s="1"/>
  <c r="AD16" i="2" s="1"/>
  <c r="BY118" i="65"/>
  <c r="AE19" i="2" s="1"/>
  <c r="BL120" i="65"/>
  <c r="BU119" i="65"/>
  <c r="BV119" i="65" s="1"/>
  <c r="Z20" i="2" s="1"/>
  <c r="BO111" i="65"/>
  <c r="BM120" i="65"/>
  <c r="BM121" i="65"/>
  <c r="BT119" i="65"/>
  <c r="Y20" i="2" s="1"/>
  <c r="BO120" i="65"/>
  <c r="BO119" i="65"/>
  <c r="BZ119" i="65"/>
  <c r="BM111" i="65"/>
  <c r="BU111" i="65" s="1"/>
  <c r="BV111" i="65" s="1"/>
  <c r="Z12" i="2" s="1"/>
  <c r="BO116" i="65"/>
  <c r="BX116" i="65" s="1"/>
  <c r="BN116" i="65"/>
  <c r="BW116" i="65" s="1"/>
  <c r="AA17" i="2" s="1"/>
  <c r="AD17" i="2" s="1"/>
  <c r="BP120" i="65"/>
  <c r="BM119" i="65"/>
  <c r="BP116" i="65"/>
  <c r="BY116" i="65" s="1"/>
  <c r="AE17" i="2" s="1"/>
  <c r="BT116" i="65"/>
  <c r="Y17" i="2" s="1"/>
  <c r="BU120" i="65"/>
  <c r="BV120" i="65" s="1"/>
  <c r="BW119" i="65"/>
  <c r="AA20" i="2" s="1"/>
  <c r="BT120" i="65"/>
  <c r="BL110" i="65"/>
  <c r="BT110" i="65" s="1"/>
  <c r="Y11" i="2" s="1"/>
  <c r="BP115" i="65"/>
  <c r="BY115" i="65" s="1"/>
  <c r="AE16" i="2" s="1"/>
  <c r="BU121" i="65"/>
  <c r="BV121" i="65" s="1"/>
  <c r="BW110" i="65"/>
  <c r="AA11" i="2" s="1"/>
  <c r="AD11" i="2" s="1"/>
  <c r="BP105" i="65"/>
  <c r="BY105" i="65" s="1"/>
  <c r="AE6" i="2" s="1"/>
  <c r="BM110" i="65"/>
  <c r="BU110" i="65" s="1"/>
  <c r="BV110" i="65" s="1"/>
  <c r="Z11" i="2" s="1"/>
  <c r="BL115" i="65"/>
  <c r="BT115" i="65" s="1"/>
  <c r="Y16" i="2" s="1"/>
  <c r="BO115" i="65"/>
  <c r="BX115" i="65" s="1"/>
  <c r="BP110" i="65"/>
  <c r="BY110" i="65" s="1"/>
  <c r="AE11" i="2" s="1"/>
  <c r="BM115" i="65"/>
  <c r="BU115" i="65" s="1"/>
  <c r="BV115" i="65" s="1"/>
  <c r="Z16" i="2" s="1"/>
  <c r="BW118" i="65"/>
  <c r="AA19" i="2" s="1"/>
  <c r="BZ120" i="65"/>
  <c r="BP114" i="65"/>
  <c r="BY114" i="65" s="1"/>
  <c r="AE15" i="2" s="1"/>
  <c r="BO114" i="65"/>
  <c r="BX114" i="65" s="1"/>
  <c r="BO110" i="65"/>
  <c r="BX110" i="65" s="1"/>
  <c r="BL114" i="65"/>
  <c r="BT114" i="65" s="1"/>
  <c r="Y15" i="2" s="1"/>
  <c r="BL118" i="65"/>
  <c r="BT118" i="65" s="1"/>
  <c r="Y19" i="2" s="1"/>
  <c r="BP119" i="65"/>
  <c r="BN120" i="65"/>
  <c r="BB8" i="2"/>
  <c r="BL121" i="65"/>
  <c r="BN105" i="65"/>
  <c r="BW105" i="65" s="1"/>
  <c r="AA6" i="2" s="1"/>
  <c r="AD6" i="2" s="1"/>
  <c r="BM112" i="65"/>
  <c r="BU112" i="65" s="1"/>
  <c r="BV112" i="65" s="1"/>
  <c r="Z13" i="2" s="1"/>
  <c r="BN121" i="65"/>
  <c r="BX112" i="65"/>
  <c r="BZ121" i="65"/>
  <c r="BO105" i="65"/>
  <c r="BX105" i="65" s="1"/>
  <c r="BM105" i="65"/>
  <c r="BU105" i="65" s="1"/>
  <c r="BV105" i="65" s="1"/>
  <c r="Z6" i="2" s="1"/>
  <c r="BW121" i="65"/>
  <c r="BT121" i="65"/>
  <c r="BP121" i="65"/>
  <c r="BQ121" i="65" s="1"/>
  <c r="BP112" i="65"/>
  <c r="BQ112" i="65" s="1"/>
  <c r="BZ112" i="65" s="1"/>
  <c r="BY121" i="65"/>
  <c r="BN114" i="65"/>
  <c r="BW114" i="65" s="1"/>
  <c r="AA15" i="2" s="1"/>
  <c r="AD15" i="2" s="1"/>
  <c r="BM114" i="65"/>
  <c r="BU114" i="65" s="1"/>
  <c r="BV114" i="65" s="1"/>
  <c r="Z15" i="2" s="1"/>
  <c r="CO4" i="58"/>
  <c r="W41" i="66" s="1"/>
  <c r="L41" i="66" s="1"/>
  <c r="BP6" i="58"/>
  <c r="CQ4" i="58"/>
  <c r="CK14" i="58"/>
  <c r="CI14" i="58" s="1"/>
  <c r="CK12" i="58"/>
  <c r="CJ12" i="58" s="1"/>
  <c r="P30" i="58" s="1"/>
  <c r="CO3" i="58"/>
  <c r="W39" i="66" s="1"/>
  <c r="CK10" i="58"/>
  <c r="CI10" i="58" s="1"/>
  <c r="CK3" i="58"/>
  <c r="CJ3" i="58" s="1"/>
  <c r="D28" i="58" s="1"/>
  <c r="I45" i="2"/>
  <c r="T38" i="2"/>
  <c r="T45" i="2" s="1"/>
  <c r="CK15" i="58"/>
  <c r="CI15" i="58" s="1"/>
  <c r="CK6" i="58"/>
  <c r="CI6" i="58" s="1"/>
  <c r="CO5" i="58"/>
  <c r="W43" i="66" s="1"/>
  <c r="R43" i="66" s="1"/>
  <c r="CK5" i="58"/>
  <c r="CI5" i="58" s="1"/>
  <c r="CN5" i="58"/>
  <c r="CK16" i="58"/>
  <c r="CJ16" i="58" s="1"/>
  <c r="CK13" i="58"/>
  <c r="CJ13" i="58" s="1"/>
  <c r="T30" i="58" s="1"/>
  <c r="CN3" i="58"/>
  <c r="CK8" i="58"/>
  <c r="CJ8" i="58" s="1"/>
  <c r="X28" i="58" s="1"/>
  <c r="CK17" i="58"/>
  <c r="CI17" i="58" s="1"/>
  <c r="CK4" i="58"/>
  <c r="CJ4" i="58" s="1"/>
  <c r="H28" i="58" s="1"/>
  <c r="CK9" i="58"/>
  <c r="CJ9" i="58" s="1"/>
  <c r="D30" i="58" s="1"/>
  <c r="CN6" i="58"/>
  <c r="CQ6" i="58"/>
  <c r="CO6" i="58"/>
  <c r="W45" i="66" s="1"/>
  <c r="CK11" i="58"/>
  <c r="CO8" i="58"/>
  <c r="W49" i="66" s="1"/>
  <c r="CQ8" i="58"/>
  <c r="CN8" i="58"/>
  <c r="CQ9" i="58"/>
  <c r="CO9" i="58"/>
  <c r="W51" i="66" s="1"/>
  <c r="CN9" i="58"/>
  <c r="I37" i="2"/>
  <c r="T30" i="2"/>
  <c r="T37" i="2" s="1"/>
  <c r="CK7" i="58"/>
  <c r="CQ7" i="58"/>
  <c r="CN7" i="58"/>
  <c r="CO7" i="58"/>
  <c r="W47" i="66" s="1"/>
  <c r="BB9" i="2" l="1"/>
  <c r="AD9" i="2"/>
  <c r="BA9" i="2" s="1"/>
  <c r="BB19" i="2"/>
  <c r="AD19" i="2"/>
  <c r="BA19" i="2" s="1"/>
  <c r="BB20" i="2"/>
  <c r="AD20" i="2"/>
  <c r="BA20" i="2" s="1"/>
  <c r="BB5" i="2"/>
  <c r="AD5" i="2"/>
  <c r="BA5" i="2" s="1"/>
  <c r="BQ111" i="65"/>
  <c r="BZ111" i="65" s="1"/>
  <c r="AA12" i="2"/>
  <c r="AD12" i="2" s="1"/>
  <c r="BB7" i="2"/>
  <c r="BA7" i="2"/>
  <c r="I23" i="2"/>
  <c r="I29" i="2" s="1"/>
  <c r="BA8" i="2"/>
  <c r="O21" i="66"/>
  <c r="BQ107" i="65"/>
  <c r="BZ107" i="65" s="1"/>
  <c r="AA10" i="2"/>
  <c r="AD10" i="2" s="1"/>
  <c r="BB14" i="2"/>
  <c r="BA14" i="2"/>
  <c r="BX111" i="65"/>
  <c r="BQ119" i="65"/>
  <c r="BY112" i="65"/>
  <c r="AE13" i="2" s="1"/>
  <c r="BQ104" i="65"/>
  <c r="BZ104" i="65" s="1"/>
  <c r="BQ117" i="65"/>
  <c r="BZ117" i="65" s="1"/>
  <c r="BY109" i="65"/>
  <c r="AE10" i="2" s="1"/>
  <c r="BQ113" i="65"/>
  <c r="BZ113" i="65" s="1"/>
  <c r="BQ115" i="65"/>
  <c r="BZ115" i="65" s="1"/>
  <c r="BB6" i="2"/>
  <c r="BA6" i="2"/>
  <c r="BQ108" i="65"/>
  <c r="BZ108" i="65" s="1"/>
  <c r="BQ106" i="65"/>
  <c r="BZ106" i="65" s="1"/>
  <c r="BQ110" i="65"/>
  <c r="BZ110" i="65" s="1"/>
  <c r="BQ116" i="65"/>
  <c r="BZ116" i="65" s="1"/>
  <c r="BB18" i="2"/>
  <c r="BQ120" i="65"/>
  <c r="BB17" i="2"/>
  <c r="BB11" i="2"/>
  <c r="BB13" i="2"/>
  <c r="BB16" i="2"/>
  <c r="BQ105" i="65"/>
  <c r="BZ105" i="65" s="1"/>
  <c r="BQ114" i="65"/>
  <c r="BZ114" i="65" s="1"/>
  <c r="BB15" i="2"/>
  <c r="BA15" i="2"/>
  <c r="BA18" i="2"/>
  <c r="BA17" i="2"/>
  <c r="BA16" i="2"/>
  <c r="BA11" i="2"/>
  <c r="R41" i="66"/>
  <c r="CJ6" i="58"/>
  <c r="P28" i="58" s="1"/>
  <c r="N28" i="58" s="1"/>
  <c r="CJ14" i="58"/>
  <c r="X30" i="58" s="1"/>
  <c r="V30" i="58" s="1"/>
  <c r="CJ10" i="58"/>
  <c r="H30" i="58" s="1"/>
  <c r="F30" i="58" s="1"/>
  <c r="CI3" i="58"/>
  <c r="B28" i="58" s="1"/>
  <c r="CI12" i="58"/>
  <c r="N30" i="58" s="1"/>
  <c r="CI8" i="58"/>
  <c r="V28" i="58" s="1"/>
  <c r="CJ15" i="58"/>
  <c r="CJ17" i="58"/>
  <c r="CI13" i="58"/>
  <c r="R30" i="58" s="1"/>
  <c r="L43" i="66"/>
  <c r="CI9" i="58"/>
  <c r="B30" i="58" s="1"/>
  <c r="CI4" i="58"/>
  <c r="F28" i="58" s="1"/>
  <c r="CJ5" i="58"/>
  <c r="L28" i="58" s="1"/>
  <c r="J28" i="58" s="1"/>
  <c r="CI16" i="58"/>
  <c r="CJ11" i="58"/>
  <c r="L30" i="58" s="1"/>
  <c r="CI11" i="58"/>
  <c r="T46" i="2"/>
  <c r="H20" i="66"/>
  <c r="R51" i="66"/>
  <c r="L51" i="66"/>
  <c r="R49" i="66"/>
  <c r="L49" i="66"/>
  <c r="AE22" i="2"/>
  <c r="BA22" i="2" s="1"/>
  <c r="BA35" i="2" s="1"/>
  <c r="I46" i="2"/>
  <c r="R45" i="66"/>
  <c r="L45" i="66"/>
  <c r="L47" i="66"/>
  <c r="R47" i="66"/>
  <c r="R39" i="66"/>
  <c r="L39" i="66"/>
  <c r="CN10" i="58"/>
  <c r="CI7" i="58"/>
  <c r="CJ7" i="58"/>
  <c r="T28" i="58" s="1"/>
  <c r="BB12" i="2" l="1"/>
  <c r="BA12" i="2"/>
  <c r="T23" i="2"/>
  <c r="T29" i="2" s="1"/>
  <c r="BA13" i="2"/>
  <c r="BB10" i="2"/>
  <c r="J30" i="58"/>
  <c r="BA10" i="2"/>
  <c r="R28" i="58"/>
  <c r="R36" i="66"/>
  <c r="BF5" i="66"/>
  <c r="H24" i="66" s="1"/>
  <c r="D39" i="66" s="1"/>
  <c r="BF8" i="66"/>
  <c r="H27" i="66" s="1"/>
  <c r="D42" i="66" s="1"/>
  <c r="BF4" i="66"/>
  <c r="H23" i="66" s="1"/>
  <c r="D38" i="66" s="1"/>
  <c r="BF3" i="66"/>
  <c r="H22" i="66" s="1"/>
  <c r="D37" i="66" s="1"/>
  <c r="BF6" i="66"/>
  <c r="H25" i="66" s="1"/>
  <c r="D40" i="66" s="1"/>
  <c r="BF7" i="66"/>
  <c r="H26" i="66" s="1"/>
  <c r="D41" i="66" s="1"/>
  <c r="AX21" i="2" l="1"/>
  <c r="AX38" i="2" s="1"/>
  <c r="AX39" i="2" s="1"/>
  <c r="CQ21" i="2"/>
  <c r="CQ36" i="2" s="1"/>
  <c r="CQ37" i="2" s="1"/>
  <c r="CN21" i="2"/>
  <c r="CN36" i="2" s="1"/>
  <c r="CN37" i="2" s="1"/>
  <c r="CW21" i="2"/>
  <c r="CW36" i="2" s="1"/>
  <c r="CW37" i="2" s="1"/>
  <c r="AI21" i="2"/>
  <c r="AI38" i="2" s="1"/>
  <c r="AI39" i="2" s="1"/>
  <c r="AF21" i="2"/>
  <c r="AF36" i="2" s="1"/>
  <c r="AF37" i="2" s="1"/>
  <c r="CT21" i="2"/>
  <c r="CT38" i="2" s="1"/>
  <c r="CT39" i="2" s="1"/>
  <c r="CX21" i="2"/>
  <c r="CX38" i="2" s="1"/>
  <c r="CX39" i="2" s="1"/>
  <c r="AL21" i="2"/>
  <c r="AL38" i="2" s="1"/>
  <c r="AL39" i="2" s="1"/>
  <c r="AU21" i="2"/>
  <c r="AU36" i="2" s="1"/>
  <c r="AU37" i="2" s="1"/>
  <c r="AR21" i="2"/>
  <c r="AR38" i="2" s="1"/>
  <c r="AR39" i="2" s="1"/>
  <c r="AO21" i="2"/>
  <c r="AO38" i="2" s="1"/>
  <c r="AO39" i="2" s="1"/>
  <c r="BA21" i="2"/>
  <c r="H38" i="66"/>
  <c r="V32" i="66" s="1"/>
  <c r="H39" i="66"/>
  <c r="V34" i="66" s="1"/>
  <c r="H42" i="66"/>
  <c r="V30" i="66" s="1"/>
  <c r="H41" i="66"/>
  <c r="V31" i="66" s="1"/>
  <c r="H37" i="66"/>
  <c r="V33" i="66" s="1"/>
  <c r="H40" i="66"/>
  <c r="V35" i="66" s="1"/>
  <c r="CW38" i="2" l="1"/>
  <c r="CW39" i="2" s="1"/>
  <c r="AX36" i="2"/>
  <c r="AX37" i="2" s="1"/>
  <c r="CN38" i="2"/>
  <c r="CN39" i="2" s="1"/>
  <c r="AF38" i="2"/>
  <c r="AF39" i="2" s="1"/>
  <c r="AI36" i="2"/>
  <c r="AI37" i="2" s="1"/>
  <c r="CQ38" i="2"/>
  <c r="CQ39" i="2" s="1"/>
  <c r="CT36" i="2"/>
  <c r="CT37" i="2" s="1"/>
  <c r="AR36" i="2"/>
  <c r="AR37" i="2" s="1"/>
  <c r="AO36" i="2"/>
  <c r="AO37" i="2" s="1"/>
  <c r="AL36" i="2"/>
  <c r="AL37" i="2" s="1"/>
  <c r="AU38" i="2"/>
  <c r="AU39" i="2" s="1"/>
  <c r="CX36" i="2"/>
  <c r="CX37" i="2" s="1"/>
  <c r="CY39" i="2" l="1"/>
  <c r="BA38" i="2"/>
  <c r="CY38" i="2"/>
  <c r="BA39" i="2"/>
  <c r="BA37" i="2"/>
  <c r="CY37" i="2"/>
  <c r="CY36" i="2"/>
  <c r="BA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5" authorId="0" shapeId="0" xr:uid="{8EB5CEE7-47BD-41B3-9B39-15A38A19024F}">
      <text>
        <r>
          <rPr>
            <b/>
            <sz val="9"/>
            <color indexed="81"/>
            <rFont val="MS P ゴシック"/>
            <family val="3"/>
            <charset val="128"/>
          </rPr>
          <t>免除の対象に、添乗員やカメラマンなどは該当しません。ひとり一泊あたり300円かかります。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4" authorId="0" shapeId="0" xr:uid="{D9F7FD3C-45D9-42D5-8CDB-CFE64F6D6110}">
      <text>
        <r>
          <rPr>
            <b/>
            <sz val="10"/>
            <color indexed="81"/>
            <rFont val="MS P ゴシック"/>
            <family val="3"/>
            <charset val="128"/>
          </rPr>
          <t>申請書はエクセルソフトで編集推奨しています。</t>
        </r>
        <r>
          <rPr>
            <b/>
            <sz val="9"/>
            <color indexed="81"/>
            <rFont val="MS P ゴシック"/>
            <family val="3"/>
            <charset val="128"/>
          </rPr>
          <t xml:space="preserve">
リンクや数式がそれぞれのシートに入っています。スプレッドシートや他の形式では、エラーが発生し、文字化け、金額のずれなどが生じます。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4" authorId="0" shapeId="0" xr:uid="{0505C7D1-9D38-40E9-9BA2-4BBD5B0806A5}">
      <text>
        <r>
          <rPr>
            <sz val="14"/>
            <color indexed="81"/>
            <rFont val="MS P ゴシック"/>
            <family val="3"/>
            <charset val="128"/>
          </rPr>
          <t>野外炊事をされる場合、ご入力ください。
食事の数量を変更する場合は、こちらも合計人数が合うようにご変更ください。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user10</author>
  </authors>
  <commentList>
    <comment ref="H13" authorId="0" shapeId="0" xr:uid="{B639D319-1B71-411D-82C2-3D27E8C68B6B}">
      <text>
        <r>
          <rPr>
            <b/>
            <sz val="10"/>
            <color indexed="81"/>
            <rFont val="BIZ UDPゴシック"/>
            <family val="3"/>
            <charset val="128"/>
          </rPr>
          <t>ドラッグでコピー＆ペーストができます。</t>
        </r>
      </text>
    </comment>
    <comment ref="J13" authorId="0" shapeId="0" xr:uid="{66B5D913-7F6F-4447-A266-761DFC419D50}">
      <text>
        <r>
          <rPr>
            <b/>
            <sz val="10"/>
            <color indexed="81"/>
            <rFont val="BIZ UDPゴシック"/>
            <family val="3"/>
            <charset val="128"/>
          </rPr>
          <t>ドラッグでコピー＆ペーストができます。</t>
        </r>
      </text>
    </comment>
    <comment ref="W13" authorId="0" shapeId="0" xr:uid="{9B0E0189-EF2B-4D4B-90E9-4ABEE581B7B7}">
      <text>
        <r>
          <rPr>
            <b/>
            <sz val="10"/>
            <color indexed="81"/>
            <rFont val="BIZ UDPゴシック"/>
            <family val="3"/>
            <charset val="128"/>
          </rPr>
          <t>ドラッグでコピー＆ペーストができます。</t>
        </r>
      </text>
    </comment>
    <comment ref="J55" authorId="0" shapeId="0" xr:uid="{54A0C2F0-6DFC-48A4-9B46-4A03F78F5524}">
      <text>
        <r>
          <rPr>
            <b/>
            <sz val="10"/>
            <color indexed="81"/>
            <rFont val="BIZ UDPゴシック"/>
            <family val="3"/>
            <charset val="128"/>
          </rPr>
          <t>ドラッグでコピー＆ペーストができます。</t>
        </r>
      </text>
    </comment>
    <comment ref="W55" authorId="0" shapeId="0" xr:uid="{02E4280A-0541-42CE-9AE7-26EA3B404250}">
      <text>
        <r>
          <rPr>
            <b/>
            <sz val="10"/>
            <color indexed="81"/>
            <rFont val="BIZ UDPゴシック"/>
            <family val="3"/>
            <charset val="128"/>
          </rPr>
          <t>ドラッグでコピー＆ペーストができます。</t>
        </r>
      </text>
    </comment>
    <comment ref="J98" authorId="0" shapeId="0" xr:uid="{ED10739C-2599-44D4-96D2-F8B22C0F6ED6}">
      <text>
        <r>
          <rPr>
            <b/>
            <sz val="10"/>
            <color indexed="81"/>
            <rFont val="BIZ UDPゴシック"/>
            <family val="3"/>
            <charset val="128"/>
          </rPr>
          <t>ドラッグでコピー＆ペーストができます。</t>
        </r>
      </text>
    </comment>
    <comment ref="W98" authorId="0" shapeId="0" xr:uid="{05A1B380-EC74-4CF8-823F-CAEE16B8D86D}">
      <text>
        <r>
          <rPr>
            <b/>
            <sz val="10"/>
            <color indexed="81"/>
            <rFont val="BIZ UDPゴシック"/>
            <family val="3"/>
            <charset val="128"/>
          </rPr>
          <t>ドラッグでコピー＆ペーストができます。</t>
        </r>
      </text>
    </comment>
    <comment ref="J141" authorId="0" shapeId="0" xr:uid="{7E7EE080-2AC8-422B-BB68-C1CE1FF20635}">
      <text>
        <r>
          <rPr>
            <b/>
            <sz val="10"/>
            <color indexed="81"/>
            <rFont val="BIZ UDPゴシック"/>
            <family val="3"/>
            <charset val="128"/>
          </rPr>
          <t>ドラッグでコピー＆ペーストができます。</t>
        </r>
      </text>
    </comment>
    <comment ref="W141" authorId="0" shapeId="0" xr:uid="{4D7F3C6E-2DA3-47E1-8DBE-9F63FD1376D4}">
      <text>
        <r>
          <rPr>
            <b/>
            <sz val="10"/>
            <color indexed="81"/>
            <rFont val="BIZ UDPゴシック"/>
            <family val="3"/>
            <charset val="128"/>
          </rPr>
          <t>ドラッグでコピー＆ペーストができます。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user10</author>
    <author>user03</author>
    <author>野津あゆか</author>
  </authors>
  <commentList>
    <comment ref="BI14" authorId="0" shapeId="0" xr:uid="{8F35F563-BB3B-4821-B985-639223F378E7}">
      <text>
        <r>
          <rPr>
            <b/>
            <sz val="14"/>
            <color indexed="81"/>
            <rFont val="MS P ゴシック"/>
            <family val="3"/>
            <charset val="128"/>
          </rPr>
          <t>カメラマンや添乗員などが宿泊される場合は、別途1人/300円かかります。</t>
        </r>
      </text>
    </comment>
    <comment ref="G15" authorId="0" shapeId="0" xr:uid="{737EBADF-7AB6-4B03-880C-1F6A9395083E}">
      <text>
        <r>
          <rPr>
            <b/>
            <sz val="12"/>
            <color indexed="81"/>
            <rFont val="MS P ゴシック"/>
            <family val="3"/>
            <charset val="128"/>
          </rPr>
          <t>資金前渡があり、入園料のみ別の領収書が必要な場合こちらの枠をお使いください。
例　学校資金前渡職員●●小学校長　〇〇</t>
        </r>
      </text>
    </comment>
    <comment ref="AE22" authorId="1" shapeId="0" xr:uid="{66AE75AB-9399-4B38-BDAE-1B1BC3F77D52}">
      <text>
        <r>
          <rPr>
            <b/>
            <sz val="11"/>
            <color indexed="81"/>
            <rFont val="BIZ UDPゴシック"/>
            <family val="3"/>
            <charset val="128"/>
          </rPr>
          <t>【05利用者名簿】から積算してます。</t>
        </r>
      </text>
    </comment>
    <comment ref="CG22" authorId="1" shapeId="0" xr:uid="{7F5ABFC6-4723-482A-998A-26CD056CC436}">
      <text>
        <r>
          <rPr>
            <b/>
            <sz val="11"/>
            <color indexed="81"/>
            <rFont val="BIZ UDPゴシック"/>
            <family val="3"/>
            <charset val="128"/>
          </rPr>
          <t>【05利用者名簿】から積算してます。</t>
        </r>
      </text>
    </comment>
    <comment ref="I26" authorId="1" shapeId="0" xr:uid="{2AE32634-1FC1-4C29-8153-0172996D7992}">
      <text>
        <r>
          <rPr>
            <b/>
            <sz val="14"/>
            <color indexed="81"/>
            <rFont val="BIZ UDPゴシック"/>
            <family val="3"/>
            <charset val="128"/>
          </rPr>
          <t>【05利用者名簿】から積算してます。</t>
        </r>
      </text>
    </comment>
    <comment ref="I33" authorId="1" shapeId="0" xr:uid="{4D71D0A1-8550-4001-82BD-96BE98F0E8A1}">
      <text>
        <r>
          <rPr>
            <b/>
            <sz val="14"/>
            <color indexed="81"/>
            <rFont val="BIZ UDPゴシック"/>
            <family val="3"/>
            <charset val="128"/>
          </rPr>
          <t>【05利用者名簿】から
積算してます。</t>
        </r>
      </text>
    </comment>
    <comment ref="AF37" authorId="0" shapeId="0" xr:uid="{A79621D1-28FA-4908-AD44-B161518E0AC1}">
      <text>
        <r>
          <rPr>
            <b/>
            <sz val="20"/>
            <color indexed="81"/>
            <rFont val="MS P ゴシック"/>
            <family val="3"/>
            <charset val="128"/>
          </rPr>
          <t>職員が項目や数量を確認します。入力が誤っていた場合、金額も変更になります。</t>
        </r>
      </text>
    </comment>
    <comment ref="I41" authorId="1" shapeId="0" xr:uid="{BCA167CE-2074-40F5-9804-1F1820216DC9}">
      <text>
        <r>
          <rPr>
            <b/>
            <sz val="14"/>
            <color indexed="81"/>
            <rFont val="BIZ UDPゴシック"/>
            <family val="3"/>
            <charset val="128"/>
          </rPr>
          <t>【05利用者名簿】から
積算してます。</t>
        </r>
      </text>
    </comment>
    <comment ref="W41" authorId="2" shapeId="0" xr:uid="{B2144EA6-B5A3-4EC0-9B76-6DAB96F4ABF1}">
      <text>
        <r>
          <rPr>
            <b/>
            <sz val="14"/>
            <color indexed="81"/>
            <rFont val="BIZ UDPゴシック"/>
            <family val="3"/>
            <charset val="128"/>
          </rPr>
          <t>03　食事申込書から積算しています。</t>
        </r>
      </text>
    </comment>
    <comment ref="J58" authorId="3" shapeId="0" xr:uid="{72FF3FD0-73CF-44E5-B7D2-7D36F2C02A65}">
      <text>
        <r>
          <rPr>
            <b/>
            <sz val="18"/>
            <color indexed="81"/>
            <rFont val="MS P ゴシック"/>
            <family val="3"/>
            <charset val="128"/>
          </rPr>
          <t>減免対象者の人数について：</t>
        </r>
        <r>
          <rPr>
            <sz val="18"/>
            <color indexed="81"/>
            <rFont val="MS P ゴシック"/>
            <family val="3"/>
            <charset val="128"/>
          </rPr>
          <t xml:space="preserve">
【4歳～6歳】【高校生】【引率割引高校生】が適用される場合は、J列に適用人数を手打ちすること。</t>
        </r>
      </text>
    </comment>
    <comment ref="J65" authorId="3" shapeId="0" xr:uid="{C7F4887F-E84A-496D-A75E-C535AD577895}">
      <text>
        <r>
          <rPr>
            <b/>
            <sz val="18"/>
            <color indexed="81"/>
            <rFont val="MS P ゴシック"/>
            <family val="3"/>
            <charset val="128"/>
          </rPr>
          <t xml:space="preserve">補助的指導者の人数について：
</t>
        </r>
        <r>
          <rPr>
            <sz val="18"/>
            <color indexed="81"/>
            <rFont val="MS P ゴシック"/>
            <family val="3"/>
            <charset val="128"/>
          </rPr>
          <t>【補助的指導者使用申込書】G23より数字を引っ張ってきている。</t>
        </r>
      </text>
    </comment>
    <comment ref="J67" authorId="3" shapeId="0" xr:uid="{84F65E01-B334-498F-9353-9565AD42EF15}">
      <text>
        <r>
          <rPr>
            <b/>
            <sz val="18"/>
            <color indexed="81"/>
            <rFont val="MS P ゴシック"/>
            <family val="3"/>
            <charset val="128"/>
          </rPr>
          <t>実利用者数・延べ利用者数について:</t>
        </r>
        <r>
          <rPr>
            <sz val="18"/>
            <color indexed="81"/>
            <rFont val="MS P ゴシック"/>
            <family val="3"/>
            <charset val="128"/>
          </rPr>
          <t xml:space="preserve">
実利用者数
　＝利用者名簿の入力数値をカウントしている
延べ利用者数
　＝日帰り人数　および　利用者名簿CT列1番～CY列5番の数値をカウントし、日帰り人数+泊数に特定数値を乗ずることで計算している（1泊であれば数値×2）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user03</author>
  </authors>
  <commentList>
    <comment ref="G32" authorId="0" shapeId="0" xr:uid="{DD834B24-5707-4841-B801-71C13805F313}">
      <text>
        <r>
          <rPr>
            <b/>
            <sz val="12"/>
            <color indexed="81"/>
            <rFont val="MS P ゴシック"/>
            <family val="3"/>
            <charset val="128"/>
          </rPr>
          <t>補助的指導者は、１プログラムの補助です。複数のプログラムを補助する場合は日帰りや宿泊料金、駐車料金がかかります。</t>
        </r>
      </text>
    </comment>
    <comment ref="S32" authorId="1" shapeId="0" xr:uid="{0EDE6BB7-A50D-42FB-8DF8-0F0EBC2C1279}">
      <text>
        <r>
          <rPr>
            <sz val="9"/>
            <color indexed="81"/>
            <rFont val="MS P ゴシック"/>
            <family val="3"/>
            <charset val="128"/>
          </rPr>
          <t>最大４台まで</t>
        </r>
      </text>
    </comment>
    <comment ref="BL32" authorId="1" shapeId="0" xr:uid="{3F412328-B04E-4ABC-8A55-90E6A7A30911}">
      <text>
        <r>
          <rPr>
            <sz val="9"/>
            <color indexed="81"/>
            <rFont val="MS P ゴシック"/>
            <family val="3"/>
            <charset val="128"/>
          </rPr>
          <t>最大４台まで</t>
        </r>
      </text>
    </comment>
    <comment ref="S34" authorId="1" shapeId="0" xr:uid="{75B4B995-31B5-4A04-BBE6-A42450577178}">
      <text>
        <r>
          <rPr>
            <sz val="9"/>
            <color indexed="81"/>
            <rFont val="MS P ゴシック"/>
            <family val="3"/>
            <charset val="128"/>
          </rPr>
          <t>4台を超過する分は、1台当たり500円の支払い必要</t>
        </r>
      </text>
    </comment>
    <comment ref="BL34" authorId="1" shapeId="0" xr:uid="{A01E1A84-74D9-42EF-92FB-7B6A8720F9E5}">
      <text>
        <r>
          <rPr>
            <sz val="9"/>
            <color indexed="81"/>
            <rFont val="MS P ゴシック"/>
            <family val="3"/>
            <charset val="128"/>
          </rPr>
          <t>4台を超過する分は、1台当たり500円の支払い必要</t>
        </r>
      </text>
    </comment>
    <comment ref="S76" authorId="1" shapeId="0" xr:uid="{6F4255A8-724E-4F71-B01F-B98CFC2F3E51}">
      <text>
        <r>
          <rPr>
            <sz val="9"/>
            <color indexed="81"/>
            <rFont val="MS P ゴシック"/>
            <family val="3"/>
            <charset val="128"/>
          </rPr>
          <t>最大４台まで</t>
        </r>
      </text>
    </comment>
    <comment ref="S78" authorId="1" shapeId="0" xr:uid="{4EB09CF6-6C10-44DE-9464-086603402776}">
      <text>
        <r>
          <rPr>
            <sz val="9"/>
            <color indexed="81"/>
            <rFont val="MS P ゴシック"/>
            <family val="3"/>
            <charset val="128"/>
          </rPr>
          <t>4台を超過する分は、1台当たり500円の支払い必要</t>
        </r>
      </text>
    </comment>
  </commentList>
</comments>
</file>

<file path=xl/sharedStrings.xml><?xml version="1.0" encoding="utf-8"?>
<sst xmlns="http://schemas.openxmlformats.org/spreadsheetml/2006/main" count="5606" uniqueCount="3228">
  <si>
    <t>E-MAIL</t>
    <phoneticPr fontId="4"/>
  </si>
  <si>
    <t>提出時期</t>
    <rPh sb="0" eb="2">
      <t>テイシュツ</t>
    </rPh>
    <rPh sb="2" eb="4">
      <t>ジキ</t>
    </rPh>
    <phoneticPr fontId="4"/>
  </si>
  <si>
    <t>申請書類の記入・提出</t>
    <phoneticPr fontId="4"/>
  </si>
  <si>
    <t>（１）　記入方法</t>
    <rPh sb="4" eb="6">
      <t>キニュウ</t>
    </rPh>
    <rPh sb="6" eb="8">
      <t>ホウホウ</t>
    </rPh>
    <phoneticPr fontId="4"/>
  </si>
  <si>
    <t>（２）　提出時期</t>
    <rPh sb="4" eb="6">
      <t>テイシュツ</t>
    </rPh>
    <rPh sb="6" eb="8">
      <t>ジキ</t>
    </rPh>
    <phoneticPr fontId="4"/>
  </si>
  <si>
    <t>１　記入及び提出時期・方法</t>
    <rPh sb="2" eb="4">
      <t>キニュウ</t>
    </rPh>
    <rPh sb="4" eb="5">
      <t>オヨ</t>
    </rPh>
    <rPh sb="6" eb="8">
      <t>テイシュツ</t>
    </rPh>
    <rPh sb="8" eb="10">
      <t>ジキ</t>
    </rPh>
    <rPh sb="11" eb="13">
      <t>ホウホウ</t>
    </rPh>
    <phoneticPr fontId="4"/>
  </si>
  <si>
    <t>（３）　提出方法</t>
    <rPh sb="4" eb="6">
      <t>テイシュツ</t>
    </rPh>
    <rPh sb="6" eb="8">
      <t>ホウホウ</t>
    </rPh>
    <phoneticPr fontId="4"/>
  </si>
  <si>
    <t>係</t>
    <rPh sb="0" eb="1">
      <t>カカリ</t>
    </rPh>
    <phoneticPr fontId="2"/>
  </si>
  <si>
    <t>指定管理者：公益財団法人さっぽろ青少年女性活動協会理事長</t>
    <phoneticPr fontId="2"/>
  </si>
  <si>
    <t>札幌市青少年山の家</t>
    <phoneticPr fontId="2"/>
  </si>
  <si>
    <t>【宛先】</t>
    <rPh sb="1" eb="3">
      <t>アテサキ</t>
    </rPh>
    <phoneticPr fontId="2"/>
  </si>
  <si>
    <t>札幌市青少年山の家</t>
    <phoneticPr fontId="2"/>
  </si>
  <si>
    <t>日</t>
    <rPh sb="0" eb="1">
      <t>ニチ</t>
    </rPh>
    <phoneticPr fontId="2"/>
  </si>
  <si>
    <t>月</t>
    <rPh sb="0" eb="1">
      <t>ガツ</t>
    </rPh>
    <phoneticPr fontId="2"/>
  </si>
  <si>
    <t>年</t>
    <rPh sb="0" eb="1">
      <t>ネン</t>
    </rPh>
    <phoneticPr fontId="2"/>
  </si>
  <si>
    <t xml:space="preserve"> 車両動向報告書</t>
    <rPh sb="1" eb="3">
      <t>シャリョウ</t>
    </rPh>
    <rPh sb="3" eb="5">
      <t>ドウコウ</t>
    </rPh>
    <rPh sb="5" eb="8">
      <t>ホウコクショ</t>
    </rPh>
    <phoneticPr fontId="2"/>
  </si>
  <si>
    <t xml:space="preserve"> 使用料減免申請書</t>
    <rPh sb="1" eb="4">
      <t>シヨウリョウ</t>
    </rPh>
    <rPh sb="4" eb="6">
      <t>ゲンメン</t>
    </rPh>
    <rPh sb="6" eb="8">
      <t>シンセイ</t>
    </rPh>
    <rPh sb="8" eb="9">
      <t>ショ</t>
    </rPh>
    <phoneticPr fontId="2"/>
  </si>
  <si>
    <t xml:space="preserve"> 人数報告用紙</t>
    <rPh sb="1" eb="3">
      <t>ニンズウ</t>
    </rPh>
    <rPh sb="3" eb="5">
      <t>ホウコク</t>
    </rPh>
    <rPh sb="5" eb="7">
      <t>ヨウシ</t>
    </rPh>
    <phoneticPr fontId="2"/>
  </si>
  <si>
    <t xml:space="preserve"> 食事申込書</t>
    <rPh sb="1" eb="3">
      <t>ショクジ</t>
    </rPh>
    <rPh sb="3" eb="6">
      <t>モウシコミショ</t>
    </rPh>
    <phoneticPr fontId="2"/>
  </si>
  <si>
    <t xml:space="preserve"> 利用計画書</t>
    <rPh sb="1" eb="3">
      <t>リヨウ</t>
    </rPh>
    <rPh sb="3" eb="6">
      <t>ケイカクショ</t>
    </rPh>
    <phoneticPr fontId="2"/>
  </si>
  <si>
    <t>添付書類</t>
    <rPh sb="0" eb="2">
      <t>テンプ</t>
    </rPh>
    <rPh sb="2" eb="4">
      <t>ショルイ</t>
    </rPh>
    <phoneticPr fontId="2"/>
  </si>
  <si>
    <t>希望しない</t>
    <rPh sb="0" eb="2">
      <t>キボウ</t>
    </rPh>
    <phoneticPr fontId="2"/>
  </si>
  <si>
    <t>希望する</t>
    <rPh sb="0" eb="2">
      <t>キボウ</t>
    </rPh>
    <phoneticPr fontId="2"/>
  </si>
  <si>
    <t>バリアフリー宿泊室</t>
    <rPh sb="6" eb="9">
      <t>シュクハクシツ</t>
    </rPh>
    <phoneticPr fontId="2"/>
  </si>
  <si>
    <t>人</t>
    <rPh sb="0" eb="1">
      <t>ニン</t>
    </rPh>
    <phoneticPr fontId="2"/>
  </si>
  <si>
    <t>人数</t>
    <rPh sb="0" eb="2">
      <t>ニンズウ</t>
    </rPh>
    <phoneticPr fontId="2"/>
  </si>
  <si>
    <t>時</t>
    <rPh sb="0" eb="1">
      <t>ジ</t>
    </rPh>
    <phoneticPr fontId="2"/>
  </si>
  <si>
    <t>～</t>
    <phoneticPr fontId="2"/>
  </si>
  <si>
    <t>基準を超える使用を希望</t>
    <rPh sb="0" eb="2">
      <t>キジュン</t>
    </rPh>
    <rPh sb="3" eb="4">
      <t>コ</t>
    </rPh>
    <rPh sb="6" eb="8">
      <t>シヨウ</t>
    </rPh>
    <rPh sb="9" eb="11">
      <t>キボウ</t>
    </rPh>
    <phoneticPr fontId="2"/>
  </si>
  <si>
    <t>）</t>
    <phoneticPr fontId="2"/>
  </si>
  <si>
    <t>（</t>
    <phoneticPr fontId="2"/>
  </si>
  <si>
    <t>10</t>
    <phoneticPr fontId="2"/>
  </si>
  <si>
    <t>退館</t>
    <rPh sb="0" eb="2">
      <t>タイカン</t>
    </rPh>
    <phoneticPr fontId="2"/>
  </si>
  <si>
    <t>）</t>
    <phoneticPr fontId="2"/>
  </si>
  <si>
    <t>（</t>
    <phoneticPr fontId="2"/>
  </si>
  <si>
    <t>）</t>
    <phoneticPr fontId="2"/>
  </si>
  <si>
    <t>（</t>
    <phoneticPr fontId="2"/>
  </si>
  <si>
    <t>入館</t>
    <rPh sb="0" eb="2">
      <t>ニュウカン</t>
    </rPh>
    <phoneticPr fontId="2"/>
  </si>
  <si>
    <t>泊</t>
    <rPh sb="0" eb="1">
      <t>ハク</t>
    </rPh>
    <phoneticPr fontId="2"/>
  </si>
  <si>
    <t>日帰り</t>
    <rPh sb="0" eb="2">
      <t>ヒガエ</t>
    </rPh>
    <phoneticPr fontId="2"/>
  </si>
  <si>
    <t>宿泊</t>
    <rPh sb="0" eb="2">
      <t>シュクハク</t>
    </rPh>
    <phoneticPr fontId="2"/>
  </si>
  <si>
    <t>期間・形態</t>
    <rPh sb="0" eb="2">
      <t>キカン</t>
    </rPh>
    <rPh sb="3" eb="5">
      <t>ケイタイ</t>
    </rPh>
    <phoneticPr fontId="2"/>
  </si>
  <si>
    <t>yamanoie＠sapporo.jp</t>
    <phoneticPr fontId="2"/>
  </si>
  <si>
    <t>E-MAIL</t>
    <phoneticPr fontId="2"/>
  </si>
  <si>
    <t>E-MAIL</t>
    <phoneticPr fontId="2"/>
  </si>
  <si>
    <t>ＦＡＸ</t>
    <phoneticPr fontId="2"/>
  </si>
  <si>
    <t>）</t>
    <phoneticPr fontId="2"/>
  </si>
  <si>
    <t>TEL</t>
    <phoneticPr fontId="2"/>
  </si>
  <si>
    <t>）</t>
    <phoneticPr fontId="2"/>
  </si>
  <si>
    <t>TEL</t>
    <phoneticPr fontId="2"/>
  </si>
  <si>
    <t>札幌市南区滝野247番地</t>
    <rPh sb="0" eb="3">
      <t>サッポロシ</t>
    </rPh>
    <rPh sb="3" eb="5">
      <t>ミナミク</t>
    </rPh>
    <rPh sb="5" eb="7">
      <t>タキノ</t>
    </rPh>
    <rPh sb="10" eb="12">
      <t>バンチ</t>
    </rPh>
    <phoneticPr fontId="2"/>
  </si>
  <si>
    <t>〒</t>
    <phoneticPr fontId="2"/>
  </si>
  <si>
    <t>住所</t>
    <rPh sb="0" eb="2">
      <t>ジュウショ</t>
    </rPh>
    <phoneticPr fontId="2"/>
  </si>
  <si>
    <t>山の家　太郎</t>
  </si>
  <si>
    <t>氏名</t>
    <rPh sb="0" eb="2">
      <t>シメイ</t>
    </rPh>
    <phoneticPr fontId="2"/>
  </si>
  <si>
    <t>山の家　花子</t>
    <rPh sb="4" eb="6">
      <t>ハナコ</t>
    </rPh>
    <phoneticPr fontId="2"/>
  </si>
  <si>
    <t>やまのいえ　たろう</t>
    <phoneticPr fontId="2"/>
  </si>
  <si>
    <t>ふりがな</t>
    <phoneticPr fontId="2"/>
  </si>
  <si>
    <t>引率責任者
団体代表者</t>
    <rPh sb="0" eb="2">
      <t>インソツ</t>
    </rPh>
    <rPh sb="2" eb="5">
      <t>セキニンシャ</t>
    </rPh>
    <rPh sb="6" eb="8">
      <t>ダンタイ</t>
    </rPh>
    <rPh sb="8" eb="11">
      <t>ダイヒョウシャ</t>
    </rPh>
    <phoneticPr fontId="2"/>
  </si>
  <si>
    <t>やまのいえ　はなこ</t>
    <phoneticPr fontId="2"/>
  </si>
  <si>
    <t>企画担当者</t>
    <rPh sb="0" eb="2">
      <t>キカク</t>
    </rPh>
    <rPh sb="2" eb="5">
      <t>タントウシャ</t>
    </rPh>
    <phoneticPr fontId="2"/>
  </si>
  <si>
    <t>ふりがな</t>
    <phoneticPr fontId="2"/>
  </si>
  <si>
    <t>札幌市立青少年山の家小学校</t>
    <rPh sb="0" eb="3">
      <t>サッポロシ</t>
    </rPh>
    <rPh sb="3" eb="4">
      <t>リツ</t>
    </rPh>
    <rPh sb="4" eb="7">
      <t>セイショウネン</t>
    </rPh>
    <rPh sb="7" eb="8">
      <t>ヤマ</t>
    </rPh>
    <rPh sb="9" eb="10">
      <t>イエ</t>
    </rPh>
    <rPh sb="10" eb="13">
      <t>ショウガッコウ</t>
    </rPh>
    <phoneticPr fontId="2"/>
  </si>
  <si>
    <t>団体名</t>
    <rPh sb="0" eb="3">
      <t>ダンタイメイ</t>
    </rPh>
    <phoneticPr fontId="2"/>
  </si>
  <si>
    <t>さっぽろしりつせいしょうねんやまのいえしょうがっこう</t>
    <phoneticPr fontId="2"/>
  </si>
  <si>
    <t>団体</t>
    <rPh sb="0" eb="1">
      <t>ダン</t>
    </rPh>
    <rPh sb="1" eb="2">
      <t>カラダ</t>
    </rPh>
    <phoneticPr fontId="2"/>
  </si>
  <si>
    <t>札幌市青少年山の家　【 使用承認申請書 】</t>
    <rPh sb="12" eb="19">
      <t>シヨウショウニンシンセイショ</t>
    </rPh>
    <phoneticPr fontId="2"/>
  </si>
  <si>
    <t>荒天</t>
    <rPh sb="0" eb="2">
      <t>コウテン</t>
    </rPh>
    <phoneticPr fontId="2"/>
  </si>
  <si>
    <t>晴天</t>
    <rPh sb="0" eb="2">
      <t>セイテン</t>
    </rPh>
    <phoneticPr fontId="2"/>
  </si>
  <si>
    <t>利用日：</t>
    <rPh sb="0" eb="3">
      <t>リヨウビ</t>
    </rPh>
    <phoneticPr fontId="2"/>
  </si>
  <si>
    <t>札幌市立青少年山の家小学校</t>
    <phoneticPr fontId="2"/>
  </si>
  <si>
    <t>団体名：</t>
    <rPh sb="0" eb="3">
      <t>ダンタイメイ</t>
    </rPh>
    <phoneticPr fontId="2"/>
  </si>
  <si>
    <t>№</t>
    <phoneticPr fontId="2"/>
  </si>
  <si>
    <t>（</t>
    <phoneticPr fontId="2"/>
  </si>
  <si>
    <t>札幌市青少年山の家　【 食事申込書 】</t>
    <rPh sb="0" eb="3">
      <t>サッポロシ</t>
    </rPh>
    <rPh sb="3" eb="6">
      <t>セイショウネン</t>
    </rPh>
    <rPh sb="6" eb="7">
      <t>ヤマ</t>
    </rPh>
    <rPh sb="8" eb="9">
      <t>イエ</t>
    </rPh>
    <rPh sb="12" eb="14">
      <t>ショクジ</t>
    </rPh>
    <rPh sb="14" eb="17">
      <t>モウシコミショ</t>
    </rPh>
    <phoneticPr fontId="2"/>
  </si>
  <si>
    <t>※新規または変更の該当する側をチェックするとともに、提出日時を記入してください。</t>
    <rPh sb="1" eb="3">
      <t>シンキ</t>
    </rPh>
    <rPh sb="6" eb="8">
      <t>ヘンコウ</t>
    </rPh>
    <rPh sb="9" eb="11">
      <t>ガイトウ</t>
    </rPh>
    <rPh sb="13" eb="14">
      <t>ガワ</t>
    </rPh>
    <rPh sb="26" eb="29">
      <t>テイシュツビ</t>
    </rPh>
    <rPh sb="29" eb="30">
      <t>ジ</t>
    </rPh>
    <rPh sb="31" eb="33">
      <t>キニュウ</t>
    </rPh>
    <phoneticPr fontId="2"/>
  </si>
  <si>
    <t>分</t>
    <rPh sb="0" eb="1">
      <t>フン</t>
    </rPh>
    <phoneticPr fontId="2"/>
  </si>
  <si>
    <t>相談</t>
    <rPh sb="0" eb="2">
      <t>ソウダン</t>
    </rPh>
    <phoneticPr fontId="2"/>
  </si>
  <si>
    <t>日</t>
    <rPh sb="0" eb="1">
      <t>ニチ</t>
    </rPh>
    <phoneticPr fontId="2"/>
  </si>
  <si>
    <t>▼携帯食▼</t>
    <rPh sb="1" eb="4">
      <t>ケイタイショク</t>
    </rPh>
    <phoneticPr fontId="2"/>
  </si>
  <si>
    <t>▼炊事食▼</t>
    <rPh sb="1" eb="3">
      <t>スイジ</t>
    </rPh>
    <rPh sb="3" eb="4">
      <t>ショク</t>
    </rPh>
    <phoneticPr fontId="2"/>
  </si>
  <si>
    <t>　ゴマ塩おにぎり</t>
    <rPh sb="3" eb="4">
      <t>シオ</t>
    </rPh>
    <phoneticPr fontId="2"/>
  </si>
  <si>
    <t>　牛丼</t>
    <rPh sb="1" eb="3">
      <t>ギュウドン</t>
    </rPh>
    <phoneticPr fontId="2"/>
  </si>
  <si>
    <t>　豚汁</t>
    <rPh sb="1" eb="2">
      <t>ブタ</t>
    </rPh>
    <rPh sb="2" eb="3">
      <t>ジル</t>
    </rPh>
    <phoneticPr fontId="2"/>
  </si>
  <si>
    <t>　焼きそば</t>
    <rPh sb="1" eb="2">
      <t>ヤ</t>
    </rPh>
    <phoneticPr fontId="2"/>
  </si>
  <si>
    <t>　炊き出し</t>
    <rPh sb="1" eb="2">
      <t>タ</t>
    </rPh>
    <rPh sb="3" eb="4">
      <t>ダ</t>
    </rPh>
    <phoneticPr fontId="2"/>
  </si>
  <si>
    <t>期　日</t>
    <rPh sb="0" eb="1">
      <t>キ</t>
    </rPh>
    <rPh sb="2" eb="3">
      <t>ニチ</t>
    </rPh>
    <phoneticPr fontId="2"/>
  </si>
  <si>
    <t>時　機</t>
    <rPh sb="0" eb="1">
      <t>トキ</t>
    </rPh>
    <rPh sb="2" eb="3">
      <t>キ</t>
    </rPh>
    <phoneticPr fontId="2"/>
  </si>
  <si>
    <t>数　量</t>
    <rPh sb="0" eb="1">
      <t>スウ</t>
    </rPh>
    <rPh sb="2" eb="3">
      <t>リョウ</t>
    </rPh>
    <phoneticPr fontId="2"/>
  </si>
  <si>
    <t>変更</t>
    <rPh sb="0" eb="1">
      <t>ヘン</t>
    </rPh>
    <rPh sb="1" eb="2">
      <t>サラ</t>
    </rPh>
    <phoneticPr fontId="2"/>
  </si>
  <si>
    <t>備考</t>
    <rPh sb="0" eb="2">
      <t>ビコウ</t>
    </rPh>
    <phoneticPr fontId="2"/>
  </si>
  <si>
    <t>昼</t>
    <rPh sb="0" eb="1">
      <t>ヒル</t>
    </rPh>
    <phoneticPr fontId="2"/>
  </si>
  <si>
    <t>夕</t>
    <rPh sb="0" eb="1">
      <t>ユウ</t>
    </rPh>
    <phoneticPr fontId="2"/>
  </si>
  <si>
    <t>朝</t>
    <rPh sb="0" eb="1">
      <t>アサ</t>
    </rPh>
    <phoneticPr fontId="2"/>
  </si>
  <si>
    <t>小学生</t>
    <rPh sb="0" eb="3">
      <t>ショウガクセイ</t>
    </rPh>
    <phoneticPr fontId="2"/>
  </si>
  <si>
    <t>中学生
以上</t>
    <rPh sb="0" eb="3">
      <t>チュウガクセイ</t>
    </rPh>
    <rPh sb="4" eb="6">
      <t>イジョウ</t>
    </rPh>
    <phoneticPr fontId="2"/>
  </si>
  <si>
    <t>計</t>
    <rPh sb="0" eb="1">
      <t>ケイ</t>
    </rPh>
    <phoneticPr fontId="2"/>
  </si>
  <si>
    <t>▼飲料▼</t>
    <rPh sb="1" eb="3">
      <t>インリョウ</t>
    </rPh>
    <phoneticPr fontId="2"/>
  </si>
  <si>
    <t>合計</t>
    <rPh sb="0" eb="2">
      <t>ゴウケイ</t>
    </rPh>
    <phoneticPr fontId="2"/>
  </si>
  <si>
    <t>×</t>
    <phoneticPr fontId="2"/>
  </si>
  <si>
    <t>／</t>
    <phoneticPr fontId="2"/>
  </si>
  <si>
    <t>～</t>
    <phoneticPr fontId="2"/>
  </si>
  <si>
    <t>ジンギスカン</t>
    <phoneticPr fontId="2"/>
  </si>
  <si>
    <t>記</t>
    <rPh sb="0" eb="1">
      <t>キ</t>
    </rPh>
    <phoneticPr fontId="2"/>
  </si>
  <si>
    <t>日</t>
    <rPh sb="0" eb="1">
      <t>ヒ</t>
    </rPh>
    <phoneticPr fontId="2"/>
  </si>
  <si>
    <t>団　体　名</t>
    <rPh sb="0" eb="1">
      <t>ダン</t>
    </rPh>
    <rPh sb="2" eb="3">
      <t>カラダ</t>
    </rPh>
    <rPh sb="4" eb="5">
      <t>メイ</t>
    </rPh>
    <phoneticPr fontId="2"/>
  </si>
  <si>
    <t>山の家　太郎</t>
    <rPh sb="0" eb="1">
      <t>ヤマ</t>
    </rPh>
    <rPh sb="2" eb="3">
      <t>イエ</t>
    </rPh>
    <rPh sb="4" eb="6">
      <t>タロウ</t>
    </rPh>
    <phoneticPr fontId="2"/>
  </si>
  <si>
    <t>札幌市青少年山の家　【 利用者名簿】</t>
    <phoneticPr fontId="2"/>
  </si>
  <si>
    <t>氏　名</t>
    <rPh sb="0" eb="1">
      <t>シ</t>
    </rPh>
    <rPh sb="2" eb="3">
      <t>メイ</t>
    </rPh>
    <phoneticPr fontId="2"/>
  </si>
  <si>
    <t>利用延
べ日数</t>
    <rPh sb="0" eb="2">
      <t>リヨウ</t>
    </rPh>
    <rPh sb="2" eb="3">
      <t>ノ</t>
    </rPh>
    <rPh sb="5" eb="7">
      <t>ニッスウ</t>
    </rPh>
    <phoneticPr fontId="2"/>
  </si>
  <si>
    <t>区分</t>
    <rPh sb="0" eb="2">
      <t>クブン</t>
    </rPh>
    <phoneticPr fontId="2"/>
  </si>
  <si>
    <t>＜　区分欄凡例　＞</t>
    <rPh sb="2" eb="5">
      <t>クブンラン</t>
    </rPh>
    <rPh sb="5" eb="7">
      <t>ハンレイ</t>
    </rPh>
    <phoneticPr fontId="2"/>
  </si>
  <si>
    <t>中学生</t>
    <rPh sb="0" eb="3">
      <t>チュウガクセイ</t>
    </rPh>
    <phoneticPr fontId="2"/>
  </si>
  <si>
    <t>印刷範囲の指定</t>
    <rPh sb="0" eb="2">
      <t>インサツ</t>
    </rPh>
    <rPh sb="2" eb="4">
      <t>ハンイ</t>
    </rPh>
    <rPh sb="5" eb="7">
      <t>シテイ</t>
    </rPh>
    <phoneticPr fontId="2"/>
  </si>
  <si>
    <t>※　下図のように、印刷ページを「1～3」と指定しても、そのページが印刷できない範囲設定になって
　いる場合は印刷されません。
　　印刷の範囲は、次のように設定してください。
　　　１　画面右下にある3つ横並びのアイコンから「改ページプレビュー」を選んでください。
　　　２　１の操作後、画面が白色（印刷）部と灰色（非印刷）部が、青線で仕切られていることを
　　　　確認します。
　　　３　２の青線にカーソルを当ててドラッグすると、自在に白色部と灰色部を変更できます。
　　　４　印刷したいページが白色になっていれば、ページ指定のとおりに印刷することができます。　</t>
    <rPh sb="2" eb="4">
      <t>カズ</t>
    </rPh>
    <rPh sb="9" eb="11">
      <t>インサツ</t>
    </rPh>
    <rPh sb="21" eb="23">
      <t>シテイ</t>
    </rPh>
    <rPh sb="33" eb="35">
      <t>インサツ</t>
    </rPh>
    <rPh sb="39" eb="41">
      <t>ハンイ</t>
    </rPh>
    <rPh sb="41" eb="43">
      <t>セッテイ</t>
    </rPh>
    <rPh sb="52" eb="54">
      <t>バアイ</t>
    </rPh>
    <rPh sb="55" eb="57">
      <t>インサツ</t>
    </rPh>
    <rPh sb="67" eb="69">
      <t>インサツ</t>
    </rPh>
    <rPh sb="70" eb="72">
      <t>ハンイ</t>
    </rPh>
    <rPh sb="74" eb="75">
      <t>ツギ</t>
    </rPh>
    <rPh sb="79" eb="81">
      <t>セッテイ</t>
    </rPh>
    <rPh sb="95" eb="97">
      <t>ガメン</t>
    </rPh>
    <rPh sb="97" eb="99">
      <t>ミギシタ</t>
    </rPh>
    <rPh sb="104" eb="106">
      <t>ヨコナラ</t>
    </rPh>
    <rPh sb="115" eb="116">
      <t>カイ</t>
    </rPh>
    <rPh sb="126" eb="127">
      <t>エラ</t>
    </rPh>
    <rPh sb="143" eb="146">
      <t>ソウサゴ</t>
    </rPh>
    <rPh sb="147" eb="149">
      <t>ガメン</t>
    </rPh>
    <rPh sb="150" eb="151">
      <t>シロ</t>
    </rPh>
    <rPh sb="151" eb="152">
      <t>ショク</t>
    </rPh>
    <rPh sb="153" eb="155">
      <t>インサツ</t>
    </rPh>
    <rPh sb="158" eb="159">
      <t>ハイ</t>
    </rPh>
    <rPh sb="159" eb="160">
      <t>ショク</t>
    </rPh>
    <rPh sb="161" eb="162">
      <t>ヒ</t>
    </rPh>
    <rPh sb="162" eb="164">
      <t>インサツ</t>
    </rPh>
    <rPh sb="165" eb="166">
      <t>ブ</t>
    </rPh>
    <rPh sb="168" eb="170">
      <t>アオセン</t>
    </rPh>
    <rPh sb="171" eb="173">
      <t>シキ</t>
    </rPh>
    <rPh sb="187" eb="189">
      <t>カクニン</t>
    </rPh>
    <rPh sb="202" eb="204">
      <t>アオセン</t>
    </rPh>
    <rPh sb="210" eb="211">
      <t>ア</t>
    </rPh>
    <rPh sb="221" eb="223">
      <t>ジザイ</t>
    </rPh>
    <rPh sb="224" eb="226">
      <t>シロイロ</t>
    </rPh>
    <rPh sb="226" eb="227">
      <t>ブ</t>
    </rPh>
    <rPh sb="228" eb="230">
      <t>ハイイロ</t>
    </rPh>
    <rPh sb="230" eb="231">
      <t>ブ</t>
    </rPh>
    <rPh sb="232" eb="234">
      <t>ヘンコウ</t>
    </rPh>
    <rPh sb="246" eb="248">
      <t>インサツ</t>
    </rPh>
    <rPh sb="255" eb="257">
      <t>ハクショク</t>
    </rPh>
    <rPh sb="268" eb="270">
      <t>シテイ</t>
    </rPh>
    <rPh sb="275" eb="277">
      <t>インサツ</t>
    </rPh>
    <phoneticPr fontId="2"/>
  </si>
  <si>
    <t>■　食数変更は、原則として入館前日正午までに、食事申込書（変更）により連絡をいただいた場合のみ可能です。</t>
    <rPh sb="2" eb="3">
      <t>ショク</t>
    </rPh>
    <rPh sb="3" eb="4">
      <t>スウ</t>
    </rPh>
    <rPh sb="4" eb="6">
      <t>ヘンコウ</t>
    </rPh>
    <rPh sb="8" eb="10">
      <t>ゲンソク</t>
    </rPh>
    <rPh sb="13" eb="15">
      <t>ニュウカン</t>
    </rPh>
    <rPh sb="15" eb="17">
      <t>ゼンジツ</t>
    </rPh>
    <rPh sb="17" eb="19">
      <t>ショウゴ</t>
    </rPh>
    <rPh sb="23" eb="25">
      <t>ショクジ</t>
    </rPh>
    <rPh sb="25" eb="28">
      <t>モウシコミショ</t>
    </rPh>
    <rPh sb="29" eb="31">
      <t>ヘンコウ</t>
    </rPh>
    <rPh sb="35" eb="37">
      <t>レンラク</t>
    </rPh>
    <rPh sb="43" eb="45">
      <t>バアイ</t>
    </rPh>
    <rPh sb="47" eb="49">
      <t>カノウ</t>
    </rPh>
    <phoneticPr fontId="2"/>
  </si>
  <si>
    <t>プルダウンリスト</t>
    <phoneticPr fontId="2"/>
  </si>
  <si>
    <t>入園料</t>
    <rPh sb="0" eb="3">
      <t>ニュウエンリョウ</t>
    </rPh>
    <phoneticPr fontId="2"/>
  </si>
  <si>
    <t>食事代</t>
    <rPh sb="0" eb="3">
      <t>ショクジダイ</t>
    </rPh>
    <phoneticPr fontId="2"/>
  </si>
  <si>
    <t>クラフト</t>
    <phoneticPr fontId="2"/>
  </si>
  <si>
    <t>団体名</t>
    <rPh sb="0" eb="2">
      <t>ダンタイ</t>
    </rPh>
    <rPh sb="2" eb="3">
      <t>ガッコウメイ</t>
    </rPh>
    <phoneticPr fontId="20"/>
  </si>
  <si>
    <t>項目</t>
    <rPh sb="0" eb="2">
      <t>コウモク</t>
    </rPh>
    <phoneticPr fontId="2"/>
  </si>
  <si>
    <t>単価</t>
    <rPh sb="0" eb="2">
      <t>タンカ</t>
    </rPh>
    <phoneticPr fontId="20"/>
  </si>
  <si>
    <t>人・薪
・炭等
総数</t>
    <rPh sb="0" eb="1">
      <t>ヒト</t>
    </rPh>
    <rPh sb="2" eb="3">
      <t>マキ</t>
    </rPh>
    <rPh sb="5" eb="6">
      <t>スミ</t>
    </rPh>
    <rPh sb="6" eb="7">
      <t>トウ</t>
    </rPh>
    <rPh sb="8" eb="10">
      <t>ソウスウ</t>
    </rPh>
    <phoneticPr fontId="20"/>
  </si>
  <si>
    <t xml:space="preserve">小計 </t>
    <rPh sb="0" eb="2">
      <t>ショウケイ</t>
    </rPh>
    <phoneticPr fontId="20"/>
  </si>
  <si>
    <t>小人</t>
    <rPh sb="0" eb="2">
      <t>コビト</t>
    </rPh>
    <phoneticPr fontId="2"/>
  </si>
  <si>
    <t>利用日</t>
    <rPh sb="0" eb="2">
      <t>リヨウ</t>
    </rPh>
    <rPh sb="2" eb="3">
      <t>ビ</t>
    </rPh>
    <phoneticPr fontId="2"/>
  </si>
  <si>
    <t>～</t>
    <phoneticPr fontId="2"/>
  </si>
  <si>
    <t>食事代内訳</t>
    <rPh sb="0" eb="3">
      <t>ショクジダイ</t>
    </rPh>
    <rPh sb="3" eb="5">
      <t>ウチワケ</t>
    </rPh>
    <phoneticPr fontId="2"/>
  </si>
  <si>
    <t>期日</t>
    <rPh sb="0" eb="2">
      <t>キジツ</t>
    </rPh>
    <phoneticPr fontId="2"/>
  </si>
  <si>
    <t>時機</t>
    <rPh sb="0" eb="2">
      <t>ジキ</t>
    </rPh>
    <phoneticPr fontId="2"/>
  </si>
  <si>
    <t>メニュー</t>
    <phoneticPr fontId="2"/>
  </si>
  <si>
    <t>（円）</t>
    <rPh sb="1" eb="2">
      <t>エン</t>
    </rPh>
    <phoneticPr fontId="20"/>
  </si>
  <si>
    <t>人　　数</t>
    <phoneticPr fontId="20"/>
  </si>
  <si>
    <t>人　　数</t>
    <phoneticPr fontId="20"/>
  </si>
  <si>
    <t xml:space="preserve">（円） </t>
    <rPh sb="1" eb="2">
      <t>エン</t>
    </rPh>
    <phoneticPr fontId="20"/>
  </si>
  <si>
    <t>団体割</t>
    <rPh sb="0" eb="2">
      <t>ダンタイ</t>
    </rPh>
    <rPh sb="2" eb="3">
      <t>ワ</t>
    </rPh>
    <phoneticPr fontId="2"/>
  </si>
  <si>
    <t>▼食堂通常食▼</t>
    <rPh sb="1" eb="3">
      <t>ショクドウ</t>
    </rPh>
    <rPh sb="3" eb="5">
      <t>ツウジョウ</t>
    </rPh>
    <rPh sb="5" eb="6">
      <t>ショク</t>
    </rPh>
    <phoneticPr fontId="2"/>
  </si>
  <si>
    <t>風車</t>
    <rPh sb="0" eb="2">
      <t>カザグルマ</t>
    </rPh>
    <phoneticPr fontId="2"/>
  </si>
  <si>
    <t>一般</t>
    <rPh sb="0" eb="2">
      <t>イッパン</t>
    </rPh>
    <phoneticPr fontId="2"/>
  </si>
  <si>
    <t>　昼】通常食(幼児)</t>
    <rPh sb="1" eb="2">
      <t>ヒル</t>
    </rPh>
    <rPh sb="3" eb="5">
      <t>ツウジョウ</t>
    </rPh>
    <rPh sb="5" eb="6">
      <t>ショク</t>
    </rPh>
    <rPh sb="7" eb="9">
      <t>ヨウジ</t>
    </rPh>
    <phoneticPr fontId="2"/>
  </si>
  <si>
    <t>大人</t>
    <rPh sb="0" eb="2">
      <t>オトナ</t>
    </rPh>
    <phoneticPr fontId="2"/>
  </si>
  <si>
    <t>　昼】通常食(小学生)</t>
    <rPh sb="3" eb="5">
      <t>ツウジョウ</t>
    </rPh>
    <rPh sb="5" eb="6">
      <t>ショク</t>
    </rPh>
    <rPh sb="7" eb="10">
      <t>ショウガクセイ</t>
    </rPh>
    <phoneticPr fontId="2"/>
  </si>
  <si>
    <t>　昼】通常食(中学生以上)</t>
    <rPh sb="3" eb="5">
      <t>ツウジョウ</t>
    </rPh>
    <rPh sb="5" eb="6">
      <t>ショク</t>
    </rPh>
    <rPh sb="7" eb="10">
      <t>チュウガクセイ</t>
    </rPh>
    <rPh sb="10" eb="12">
      <t>イジョウ</t>
    </rPh>
    <phoneticPr fontId="2"/>
  </si>
  <si>
    <t>　夕】通常食(幼児)</t>
    <rPh sb="1" eb="2">
      <t>ユウ</t>
    </rPh>
    <rPh sb="3" eb="5">
      <t>ツウジョウ</t>
    </rPh>
    <rPh sb="5" eb="6">
      <t>ショク</t>
    </rPh>
    <rPh sb="7" eb="9">
      <t>ヨウジ</t>
    </rPh>
    <phoneticPr fontId="2"/>
  </si>
  <si>
    <t>　夕】通常食(小学生)</t>
    <rPh sb="3" eb="5">
      <t>ツウジョウ</t>
    </rPh>
    <rPh sb="5" eb="6">
      <t>ショク</t>
    </rPh>
    <rPh sb="7" eb="10">
      <t>ショウガクセイ</t>
    </rPh>
    <phoneticPr fontId="2"/>
  </si>
  <si>
    <t>ボランティア謝礼</t>
    <rPh sb="6" eb="8">
      <t>シャレイ</t>
    </rPh>
    <phoneticPr fontId="2"/>
  </si>
  <si>
    <t>　夕】通常食(中学生以上)</t>
    <rPh sb="3" eb="5">
      <t>ツウジョウ</t>
    </rPh>
    <rPh sb="5" eb="6">
      <t>ショク</t>
    </rPh>
    <rPh sb="7" eb="10">
      <t>チュウガクセイ</t>
    </rPh>
    <rPh sb="10" eb="12">
      <t>イジョウ</t>
    </rPh>
    <phoneticPr fontId="2"/>
  </si>
  <si>
    <t>木のマグネット</t>
    <rPh sb="0" eb="1">
      <t>キ</t>
    </rPh>
    <phoneticPr fontId="2"/>
  </si>
  <si>
    <t>施設使用料等</t>
    <rPh sb="0" eb="2">
      <t>シセツ</t>
    </rPh>
    <rPh sb="2" eb="4">
      <t>シヨウ</t>
    </rPh>
    <rPh sb="4" eb="5">
      <t>リョウ</t>
    </rPh>
    <rPh sb="5" eb="6">
      <t>ナド</t>
    </rPh>
    <phoneticPr fontId="2"/>
  </si>
  <si>
    <t>　朝】通常食(幼児)</t>
    <rPh sb="1" eb="2">
      <t>アサ</t>
    </rPh>
    <rPh sb="3" eb="5">
      <t>ツウジョウ</t>
    </rPh>
    <rPh sb="5" eb="6">
      <t>ショク</t>
    </rPh>
    <rPh sb="7" eb="9">
      <t>ヨウジ</t>
    </rPh>
    <phoneticPr fontId="2"/>
  </si>
  <si>
    <t>宛名・支払方法</t>
    <rPh sb="3" eb="5">
      <t>シハラ</t>
    </rPh>
    <rPh sb="5" eb="7">
      <t>ホウホウ</t>
    </rPh>
    <phoneticPr fontId="20"/>
  </si>
  <si>
    <t>現金</t>
    <rPh sb="0" eb="2">
      <t>ゲンキン</t>
    </rPh>
    <phoneticPr fontId="2"/>
  </si>
  <si>
    <t>　朝】通常食(小学生)</t>
    <rPh sb="3" eb="5">
      <t>ツウジョウ</t>
    </rPh>
    <rPh sb="5" eb="6">
      <t>ショク</t>
    </rPh>
    <rPh sb="7" eb="10">
      <t>ショウガクセイ</t>
    </rPh>
    <phoneticPr fontId="2"/>
  </si>
  <si>
    <t>マイ箸</t>
    <rPh sb="2" eb="3">
      <t>ハシ</t>
    </rPh>
    <phoneticPr fontId="2"/>
  </si>
  <si>
    <t>　朝】通常食(中学生以上)</t>
    <rPh sb="3" eb="5">
      <t>ツウジョウ</t>
    </rPh>
    <rPh sb="5" eb="6">
      <t>ショク</t>
    </rPh>
    <rPh sb="7" eb="10">
      <t>チュウガクセイ</t>
    </rPh>
    <rPh sb="10" eb="12">
      <t>イジョウ</t>
    </rPh>
    <phoneticPr fontId="2"/>
  </si>
  <si>
    <t>時期</t>
    <rPh sb="0" eb="2">
      <t>ジキ</t>
    </rPh>
    <phoneticPr fontId="2"/>
  </si>
  <si>
    <t>項　　　目</t>
    <rPh sb="0" eb="5">
      <t>コウモク</t>
    </rPh>
    <phoneticPr fontId="20"/>
  </si>
  <si>
    <t>領   収
請求書４</t>
    <rPh sb="0" eb="1">
      <t>リョウ</t>
    </rPh>
    <rPh sb="4" eb="5">
      <t>オサム</t>
    </rPh>
    <rPh sb="6" eb="9">
      <t>セイキュウショ</t>
    </rPh>
    <phoneticPr fontId="20"/>
  </si>
  <si>
    <t>人　　数</t>
    <phoneticPr fontId="20"/>
  </si>
  <si>
    <t>人　　数</t>
    <phoneticPr fontId="20"/>
  </si>
  <si>
    <t>入園料</t>
    <rPh sb="0" eb="3">
      <t>ニュウエンリョウ</t>
    </rPh>
    <phoneticPr fontId="20"/>
  </si>
  <si>
    <t>その他内訳</t>
    <rPh sb="2" eb="3">
      <t>タ</t>
    </rPh>
    <rPh sb="3" eb="5">
      <t>ウチワケ</t>
    </rPh>
    <phoneticPr fontId="2"/>
  </si>
  <si>
    <t>シーツ・枕カバー洗濯</t>
    <rPh sb="4" eb="5">
      <t>マクラ</t>
    </rPh>
    <rPh sb="8" eb="10">
      <t>センタク</t>
    </rPh>
    <phoneticPr fontId="20"/>
  </si>
  <si>
    <t>施設使用料内訳</t>
    <rPh sb="0" eb="2">
      <t>シセツ</t>
    </rPh>
    <rPh sb="2" eb="5">
      <t>シヨウリョウ</t>
    </rPh>
    <rPh sb="5" eb="7">
      <t>ウチワケ</t>
    </rPh>
    <phoneticPr fontId="20"/>
  </si>
  <si>
    <t>宿泊</t>
    <phoneticPr fontId="20"/>
  </si>
  <si>
    <t>小・中学生</t>
    <rPh sb="0" eb="1">
      <t>ショウ</t>
    </rPh>
    <rPh sb="2" eb="5">
      <t>チュウガクセイ</t>
    </rPh>
    <phoneticPr fontId="20"/>
  </si>
  <si>
    <t>減免対象者（すべて）</t>
    <rPh sb="0" eb="2">
      <t>ゲンメンニンズウ</t>
    </rPh>
    <rPh sb="2" eb="5">
      <t>タイショウシャ</t>
    </rPh>
    <phoneticPr fontId="20"/>
  </si>
  <si>
    <t>その他（一般）の方</t>
    <rPh sb="2" eb="3">
      <t>タ</t>
    </rPh>
    <rPh sb="4" eb="6">
      <t>イッパン</t>
    </rPh>
    <rPh sb="8" eb="9">
      <t>カタ</t>
    </rPh>
    <phoneticPr fontId="20"/>
  </si>
  <si>
    <t>日帰り</t>
    <phoneticPr fontId="20"/>
  </si>
  <si>
    <t>札幌市青少年山の家小学校</t>
    <rPh sb="0" eb="3">
      <t>サッポロシ</t>
    </rPh>
    <rPh sb="3" eb="6">
      <t>セイショウネン</t>
    </rPh>
    <rPh sb="6" eb="7">
      <t>ヤマ</t>
    </rPh>
    <rPh sb="8" eb="9">
      <t>イエ</t>
    </rPh>
    <rPh sb="9" eb="12">
      <t>ショウガッコウ</t>
    </rPh>
    <phoneticPr fontId="2"/>
  </si>
  <si>
    <t>　カレーライス</t>
    <phoneticPr fontId="2"/>
  </si>
  <si>
    <t>　ジンギスカン</t>
    <phoneticPr fontId="2"/>
  </si>
  <si>
    <t>　ホットドッグ</t>
    <phoneticPr fontId="2"/>
  </si>
  <si>
    <t>　プリン</t>
    <phoneticPr fontId="2"/>
  </si>
  <si>
    <t>　ミニエクレア</t>
    <phoneticPr fontId="2"/>
  </si>
  <si>
    <t>　アイスクリーム（バニラ味）</t>
    <rPh sb="12" eb="13">
      <t>アジ</t>
    </rPh>
    <phoneticPr fontId="2"/>
  </si>
  <si>
    <t>～</t>
    <phoneticPr fontId="2"/>
  </si>
  <si>
    <t>使用料減免申請書</t>
    <rPh sb="0" eb="3">
      <t>シヨウリョウ</t>
    </rPh>
    <rPh sb="3" eb="5">
      <t>ゲンメン</t>
    </rPh>
    <rPh sb="5" eb="8">
      <t>シンセイショ</t>
    </rPh>
    <phoneticPr fontId="2"/>
  </si>
  <si>
    <t>　札幌市青少年山の家</t>
    <rPh sb="1" eb="8">
      <t>サッポロシセイショウネンヤマ</t>
    </rPh>
    <rPh sb="9" eb="10">
      <t>イエ</t>
    </rPh>
    <phoneticPr fontId="2"/>
  </si>
  <si>
    <t>　　指定管理者</t>
    <rPh sb="2" eb="4">
      <t>シテイ</t>
    </rPh>
    <rPh sb="4" eb="7">
      <t>カンリシャ</t>
    </rPh>
    <phoneticPr fontId="2"/>
  </si>
  <si>
    <t>　　（公財）さっぽろ青少年女性活動協会</t>
    <rPh sb="3" eb="4">
      <t>コウ</t>
    </rPh>
    <rPh sb="4" eb="5">
      <t>ザイ</t>
    </rPh>
    <rPh sb="10" eb="13">
      <t>セイショウネン</t>
    </rPh>
    <rPh sb="13" eb="15">
      <t>ジョセイ</t>
    </rPh>
    <rPh sb="15" eb="17">
      <t>カツドウ</t>
    </rPh>
    <rPh sb="17" eb="19">
      <t>キョウカイ</t>
    </rPh>
    <phoneticPr fontId="2"/>
  </si>
  <si>
    <t>　　理事長様</t>
    <rPh sb="2" eb="3">
      <t>リ</t>
    </rPh>
    <rPh sb="3" eb="4">
      <t>コト</t>
    </rPh>
    <rPh sb="4" eb="5">
      <t>チョウ</t>
    </rPh>
    <rPh sb="5" eb="6">
      <t>サマ</t>
    </rPh>
    <phoneticPr fontId="2"/>
  </si>
  <si>
    <t>札幌市立青少年山の家小学校</t>
    <phoneticPr fontId="2"/>
  </si>
  <si>
    <t>代表者氏名</t>
    <rPh sb="0" eb="3">
      <t>ダイヒョウシャ</t>
    </rPh>
    <rPh sb="3" eb="5">
      <t>シメイ</t>
    </rPh>
    <phoneticPr fontId="2"/>
  </si>
  <si>
    <t>住　　　所</t>
    <rPh sb="0" eb="1">
      <t>ジュウ</t>
    </rPh>
    <rPh sb="4" eb="5">
      <t>ショ</t>
    </rPh>
    <phoneticPr fontId="2"/>
  </si>
  <si>
    <t>電　　　話</t>
    <rPh sb="0" eb="1">
      <t>デン</t>
    </rPh>
    <rPh sb="4" eb="5">
      <t>ハナシ</t>
    </rPh>
    <phoneticPr fontId="2"/>
  </si>
  <si>
    <t>　　札幌市青少年山の家を使用するにあたり、次の理由により使用料を減免（免除）願いたい</t>
    <rPh sb="2" eb="5">
      <t>サッポロシ</t>
    </rPh>
    <rPh sb="5" eb="8">
      <t>セイショウネン</t>
    </rPh>
    <rPh sb="8" eb="9">
      <t>ヤマ</t>
    </rPh>
    <rPh sb="10" eb="11">
      <t>イエ</t>
    </rPh>
    <rPh sb="12" eb="14">
      <t>シヨウ</t>
    </rPh>
    <rPh sb="21" eb="22">
      <t>ツギ</t>
    </rPh>
    <rPh sb="23" eb="25">
      <t>リユウ</t>
    </rPh>
    <rPh sb="28" eb="31">
      <t>シヨウリョウ</t>
    </rPh>
    <rPh sb="32" eb="34">
      <t>ゲンメン</t>
    </rPh>
    <rPh sb="35" eb="37">
      <t>メンジョ</t>
    </rPh>
    <rPh sb="38" eb="39">
      <t>ネガ</t>
    </rPh>
    <phoneticPr fontId="2"/>
  </si>
  <si>
    <t>　ので申請します。</t>
    <rPh sb="3" eb="5">
      <t>シンセイ</t>
    </rPh>
    <phoneticPr fontId="2"/>
  </si>
  <si>
    <t>宿泊学習</t>
    <rPh sb="0" eb="2">
      <t>シュクハク</t>
    </rPh>
    <rPh sb="2" eb="4">
      <t>ガクシュウ</t>
    </rPh>
    <phoneticPr fontId="2"/>
  </si>
  <si>
    <t>　該当すると認められるので、使用料を減免したい。</t>
    <rPh sb="14" eb="17">
      <t>シヨウリョウ</t>
    </rPh>
    <rPh sb="18" eb="20">
      <t>ゲンメン</t>
    </rPh>
    <phoneticPr fontId="2"/>
  </si>
  <si>
    <t>〔使用料減免額〕</t>
    <rPh sb="1" eb="4">
      <t>シヨウリョウ</t>
    </rPh>
    <rPh sb="4" eb="6">
      <t>ゲンメン</t>
    </rPh>
    <rPh sb="6" eb="7">
      <t>ガク</t>
    </rPh>
    <phoneticPr fontId="2"/>
  </si>
  <si>
    <t>円</t>
    <rPh sb="0" eb="1">
      <t>エン</t>
    </rPh>
    <phoneticPr fontId="2"/>
  </si>
  <si>
    <t>＜内訳＞</t>
    <rPh sb="1" eb="3">
      <t>ウチワケ</t>
    </rPh>
    <phoneticPr fontId="2"/>
  </si>
  <si>
    <t>＠</t>
    <phoneticPr fontId="2"/>
  </si>
  <si>
    <t>係　長</t>
    <rPh sb="0" eb="1">
      <t>カカリ</t>
    </rPh>
    <rPh sb="2" eb="3">
      <t>チョウ</t>
    </rPh>
    <phoneticPr fontId="2"/>
  </si>
  <si>
    <t>補助的指導者使用申込書</t>
    <rPh sb="0" eb="3">
      <t>ホジョテキ</t>
    </rPh>
    <rPh sb="3" eb="6">
      <t>シドウシャ</t>
    </rPh>
    <rPh sb="6" eb="8">
      <t>シヨウ</t>
    </rPh>
    <rPh sb="8" eb="11">
      <t>モウシコミショ</t>
    </rPh>
    <phoneticPr fontId="2"/>
  </si>
  <si>
    <t>滝野　花子</t>
    <rPh sb="0" eb="2">
      <t>タキノ</t>
    </rPh>
    <rPh sb="3" eb="5">
      <t>ハナコ</t>
    </rPh>
    <phoneticPr fontId="2"/>
  </si>
  <si>
    <t>　　　　　　　　　　　　　上記の申し込みについて、使用を認める。</t>
    <rPh sb="13" eb="15">
      <t>ジョウキ</t>
    </rPh>
    <rPh sb="16" eb="17">
      <t>モウ</t>
    </rPh>
    <rPh sb="18" eb="19">
      <t>コ</t>
    </rPh>
    <rPh sb="25" eb="27">
      <t>シヨウ</t>
    </rPh>
    <rPh sb="28" eb="29">
      <t>ミト</t>
    </rPh>
    <phoneticPr fontId="2"/>
  </si>
  <si>
    <t>利用日変更（取消）報告書</t>
    <rPh sb="0" eb="3">
      <t>リヨウビ</t>
    </rPh>
    <rPh sb="3" eb="5">
      <t>ヘンコウ</t>
    </rPh>
    <rPh sb="6" eb="8">
      <t>トリケシ</t>
    </rPh>
    <rPh sb="9" eb="12">
      <t>ホウコクショ</t>
    </rPh>
    <phoneticPr fontId="2"/>
  </si>
  <si>
    <t>10</t>
    <phoneticPr fontId="2"/>
  </si>
  <si>
    <t>札幌市立青少年山の家小学校</t>
    <phoneticPr fontId="2"/>
  </si>
  <si>
    <t>利用日変更</t>
    <rPh sb="0" eb="3">
      <t>リヨウビ</t>
    </rPh>
    <rPh sb="3" eb="5">
      <t>ヘンコウ</t>
    </rPh>
    <phoneticPr fontId="2"/>
  </si>
  <si>
    <t>について、下記のとおり報告します。</t>
    <rPh sb="5" eb="7">
      <t>カキ</t>
    </rPh>
    <rPh sb="11" eb="13">
      <t>ホウコク</t>
    </rPh>
    <phoneticPr fontId="2"/>
  </si>
  <si>
    <t>利用取消</t>
    <rPh sb="0" eb="2">
      <t>リヨウ</t>
    </rPh>
    <rPh sb="2" eb="4">
      <t>トリケシ</t>
    </rPh>
    <phoneticPr fontId="2"/>
  </si>
  <si>
    <t>１　変更・取消前利用予定日</t>
    <rPh sb="2" eb="4">
      <t>ヘンコウ</t>
    </rPh>
    <rPh sb="5" eb="7">
      <t>トリケシ</t>
    </rPh>
    <rPh sb="7" eb="8">
      <t>マエ</t>
    </rPh>
    <rPh sb="8" eb="10">
      <t>リヨウ</t>
    </rPh>
    <rPh sb="10" eb="13">
      <t>ヨテイビ</t>
    </rPh>
    <phoneticPr fontId="2"/>
  </si>
  <si>
    <t>～</t>
    <phoneticPr fontId="2"/>
  </si>
  <si>
    <t>（</t>
    <phoneticPr fontId="2"/>
  </si>
  <si>
    <t>２　変更後利用予定日</t>
    <rPh sb="2" eb="4">
      <t>ヘンコウ</t>
    </rPh>
    <rPh sb="4" eb="5">
      <t>ゴ</t>
    </rPh>
    <rPh sb="5" eb="7">
      <t>リヨウ</t>
    </rPh>
    <rPh sb="7" eb="10">
      <t>ヨテイビ</t>
    </rPh>
    <phoneticPr fontId="2"/>
  </si>
  <si>
    <t>）</t>
    <phoneticPr fontId="2"/>
  </si>
  <si>
    <t>３　利用予定人数</t>
    <rPh sb="2" eb="4">
      <t>リヨウ</t>
    </rPh>
    <rPh sb="4" eb="6">
      <t>ヨテイ</t>
    </rPh>
    <rPh sb="6" eb="8">
      <t>ニンズウ</t>
    </rPh>
    <phoneticPr fontId="2"/>
  </si>
  <si>
    <t>４　変更・取消の理由</t>
    <rPh sb="2" eb="4">
      <t>ヘンコウ</t>
    </rPh>
    <rPh sb="5" eb="7">
      <t>トリケシ</t>
    </rPh>
    <rPh sb="8" eb="10">
      <t>リユウ</t>
    </rPh>
    <phoneticPr fontId="2"/>
  </si>
  <si>
    <t>　　インフルエンザ感染に伴う学年閉鎖のため、利用予定日変更を行いたい。</t>
    <rPh sb="9" eb="11">
      <t>カンセン</t>
    </rPh>
    <rPh sb="12" eb="13">
      <t>トモナ</t>
    </rPh>
    <rPh sb="14" eb="16">
      <t>ガクネン</t>
    </rPh>
    <rPh sb="16" eb="18">
      <t>ヘイサ</t>
    </rPh>
    <rPh sb="22" eb="24">
      <t>リヨウ</t>
    </rPh>
    <rPh sb="24" eb="27">
      <t>ヨテイビ</t>
    </rPh>
    <rPh sb="27" eb="29">
      <t>ヘンコウ</t>
    </rPh>
    <rPh sb="30" eb="31">
      <t>オコナ</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</si>
  <si>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</si>
  <si>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</si>
  <si>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</si>
  <si>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</si>
  <si>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</si>
  <si>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</si>
  <si>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</si>
  <si>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</si>
  <si>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</si>
  <si>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</si>
  <si>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はじめにお読みください</t>
    <rPh sb="5" eb="6">
      <t>ヨ</t>
    </rPh>
    <phoneticPr fontId="4"/>
  </si>
  <si>
    <t>シート名</t>
    <rPh sb="3" eb="4">
      <t>メイ</t>
    </rPh>
    <phoneticPr fontId="4"/>
  </si>
  <si>
    <t>　　　　各シートの</t>
    <rPh sb="4" eb="5">
      <t>カク</t>
    </rPh>
    <phoneticPr fontId="4"/>
  </si>
  <si>
    <t>　は、必須入力箇所となります。</t>
    <rPh sb="3" eb="5">
      <t>ヒッス</t>
    </rPh>
    <rPh sb="5" eb="7">
      <t>ニュウリョク</t>
    </rPh>
    <rPh sb="7" eb="9">
      <t>カショ</t>
    </rPh>
    <phoneticPr fontId="4"/>
  </si>
  <si>
    <t>札幌市立青少年山の家小学校</t>
    <phoneticPr fontId="2"/>
  </si>
  <si>
    <t>～</t>
    <phoneticPr fontId="2"/>
  </si>
  <si>
    <t>＠</t>
    <phoneticPr fontId="2"/>
  </si>
  <si>
    <t>×</t>
    <phoneticPr fontId="2"/>
  </si>
  <si>
    <t>＠</t>
    <phoneticPr fontId="2"/>
  </si>
  <si>
    <t>×</t>
    <phoneticPr fontId="2"/>
  </si>
  <si>
    <t>×</t>
    <phoneticPr fontId="2"/>
  </si>
  <si>
    <t>炊事判定</t>
  </si>
  <si>
    <t>ソート用データ</t>
  </si>
  <si>
    <t>期日</t>
  </si>
  <si>
    <t>昼</t>
  </si>
  <si>
    <t>夕</t>
  </si>
  <si>
    <t>朝</t>
  </si>
  <si>
    <t>メニュー</t>
  </si>
  <si>
    <t>人数</t>
  </si>
  <si>
    <t>▼時機▼</t>
  </si>
  <si>
    <t>通常食</t>
  </si>
  <si>
    <t>携帯食</t>
  </si>
  <si>
    <t>日</t>
  </si>
  <si>
    <t>名</t>
    <rPh sb="0" eb="1">
      <t>メイ</t>
    </rPh>
    <phoneticPr fontId="7"/>
  </si>
  <si>
    <t>（</t>
    <phoneticPr fontId="2"/>
  </si>
  <si>
    <t>月</t>
    <rPh sb="0" eb="1">
      <t>ゲツ</t>
    </rPh>
    <phoneticPr fontId="7"/>
  </si>
  <si>
    <t>火</t>
    <rPh sb="0" eb="1">
      <t>ヒ</t>
    </rPh>
    <phoneticPr fontId="7"/>
  </si>
  <si>
    <t>木</t>
    <rPh sb="0" eb="1">
      <t>モク</t>
    </rPh>
    <phoneticPr fontId="7"/>
  </si>
  <si>
    <t>朝　食</t>
    <rPh sb="0" eb="1">
      <t>アサ</t>
    </rPh>
    <rPh sb="2" eb="3">
      <t>ショク</t>
    </rPh>
    <phoneticPr fontId="27"/>
  </si>
  <si>
    <t>昼　食</t>
    <rPh sb="0" eb="1">
      <t>ヒル</t>
    </rPh>
    <rPh sb="2" eb="3">
      <t>ショク</t>
    </rPh>
    <phoneticPr fontId="27"/>
  </si>
  <si>
    <t>昼　食</t>
    <rPh sb="0" eb="1">
      <t>ヒル</t>
    </rPh>
    <rPh sb="2" eb="3">
      <t>ショク</t>
    </rPh>
    <phoneticPr fontId="2"/>
  </si>
  <si>
    <t>夕　食</t>
    <rPh sb="0" eb="1">
      <t>ユウ</t>
    </rPh>
    <rPh sb="2" eb="3">
      <t>ショク</t>
    </rPh>
    <phoneticPr fontId="2"/>
  </si>
  <si>
    <t>場所</t>
    <rPh sb="0" eb="2">
      <t>バショ</t>
    </rPh>
    <phoneticPr fontId="2"/>
  </si>
  <si>
    <t>メニュー</t>
    <phoneticPr fontId="27"/>
  </si>
  <si>
    <t>人数報告用紙転載用ソートデータ</t>
    <rPh sb="0" eb="2">
      <t>ニンズウ</t>
    </rPh>
    <rPh sb="2" eb="4">
      <t>ホウコク</t>
    </rPh>
    <rPh sb="4" eb="6">
      <t>ヨウシ</t>
    </rPh>
    <rPh sb="6" eb="8">
      <t>テンサイ</t>
    </rPh>
    <rPh sb="8" eb="9">
      <t>ヨウ</t>
    </rPh>
    <phoneticPr fontId="27"/>
  </si>
  <si>
    <t>期日</t>
    <rPh sb="0" eb="2">
      <t>キジツ</t>
    </rPh>
    <phoneticPr fontId="27"/>
  </si>
  <si>
    <t>時機</t>
    <rPh sb="0" eb="2">
      <t>ジキ</t>
    </rPh>
    <phoneticPr fontId="27"/>
  </si>
  <si>
    <t>人数</t>
    <rPh sb="0" eb="2">
      <t>ニンズウ</t>
    </rPh>
    <phoneticPr fontId="27"/>
  </si>
  <si>
    <t>幼児</t>
    <rPh sb="0" eb="2">
      <t>ヨウジ</t>
    </rPh>
    <phoneticPr fontId="27"/>
  </si>
  <si>
    <t>小学生</t>
    <rPh sb="0" eb="3">
      <t>ショウガクセイ</t>
    </rPh>
    <phoneticPr fontId="27"/>
  </si>
  <si>
    <t>食堂以外</t>
    <rPh sb="0" eb="2">
      <t>ショクドウ</t>
    </rPh>
    <rPh sb="2" eb="4">
      <t>イガイ</t>
    </rPh>
    <phoneticPr fontId="27"/>
  </si>
  <si>
    <t>中学生以上</t>
    <rPh sb="0" eb="3">
      <t>チュウガクセイ</t>
    </rPh>
    <rPh sb="3" eb="5">
      <t>イジョウ</t>
    </rPh>
    <phoneticPr fontId="27"/>
  </si>
  <si>
    <t>料金</t>
    <rPh sb="0" eb="2">
      <t>リョウキン</t>
    </rPh>
    <phoneticPr fontId="27"/>
  </si>
  <si>
    <t>人数報告書メニュー名</t>
    <rPh sb="0" eb="2">
      <t>ニンズウ</t>
    </rPh>
    <rPh sb="2" eb="5">
      <t>ホウコクショ</t>
    </rPh>
    <rPh sb="9" eb="10">
      <t>メイ</t>
    </rPh>
    <phoneticPr fontId="27"/>
  </si>
  <si>
    <t>判定＆ソート用データ</t>
    <rPh sb="0" eb="2">
      <t>ハンテイ</t>
    </rPh>
    <rPh sb="6" eb="7">
      <t>ヨウ</t>
    </rPh>
    <phoneticPr fontId="27"/>
  </si>
  <si>
    <t>メニュー判定用</t>
    <rPh sb="4" eb="7">
      <t>ハンテイヨウ</t>
    </rPh>
    <phoneticPr fontId="27"/>
  </si>
  <si>
    <t>昼　食通常食幼児</t>
    <rPh sb="0" eb="1">
      <t>ヒル</t>
    </rPh>
    <rPh sb="2" eb="3">
      <t>ショク</t>
    </rPh>
    <rPh sb="3" eb="5">
      <t>ツウジョウ</t>
    </rPh>
    <rPh sb="5" eb="6">
      <t>ショク</t>
    </rPh>
    <rPh sb="6" eb="8">
      <t>ヨウジ</t>
    </rPh>
    <phoneticPr fontId="27"/>
  </si>
  <si>
    <t>昼　食通常食小学生</t>
    <rPh sb="0" eb="1">
      <t>ヒル</t>
    </rPh>
    <rPh sb="2" eb="3">
      <t>ショク</t>
    </rPh>
    <rPh sb="3" eb="5">
      <t>ツウジョウ</t>
    </rPh>
    <rPh sb="5" eb="6">
      <t>ショク</t>
    </rPh>
    <rPh sb="6" eb="9">
      <t>ショウガクセイ</t>
    </rPh>
    <phoneticPr fontId="27"/>
  </si>
  <si>
    <t>昼　食通常食中学生以上</t>
    <rPh sb="0" eb="1">
      <t>ヒル</t>
    </rPh>
    <rPh sb="2" eb="3">
      <t>ショク</t>
    </rPh>
    <rPh sb="3" eb="5">
      <t>ツウジョウ</t>
    </rPh>
    <rPh sb="5" eb="6">
      <t>ショク</t>
    </rPh>
    <rPh sb="6" eb="9">
      <t>チュウガクセイ</t>
    </rPh>
    <rPh sb="9" eb="11">
      <t>イジョウ</t>
    </rPh>
    <phoneticPr fontId="27"/>
  </si>
  <si>
    <t>夕　食通常食幼児</t>
    <rPh sb="0" eb="1">
      <t>ユウ</t>
    </rPh>
    <rPh sb="2" eb="3">
      <t>ショク</t>
    </rPh>
    <rPh sb="3" eb="5">
      <t>ツウジョウ</t>
    </rPh>
    <rPh sb="5" eb="6">
      <t>ショク</t>
    </rPh>
    <rPh sb="6" eb="8">
      <t>ヨウジ</t>
    </rPh>
    <phoneticPr fontId="27"/>
  </si>
  <si>
    <t>夕　食通常食小学生</t>
    <rPh sb="0" eb="1">
      <t>ユウ</t>
    </rPh>
    <rPh sb="2" eb="3">
      <t>ショク</t>
    </rPh>
    <rPh sb="3" eb="5">
      <t>ツウジョウ</t>
    </rPh>
    <rPh sb="5" eb="6">
      <t>ショク</t>
    </rPh>
    <rPh sb="6" eb="9">
      <t>ショウガクセイ</t>
    </rPh>
    <phoneticPr fontId="27"/>
  </si>
  <si>
    <t>夕　食通常食中学生以上</t>
    <rPh sb="0" eb="1">
      <t>ユウ</t>
    </rPh>
    <rPh sb="2" eb="3">
      <t>ショク</t>
    </rPh>
    <rPh sb="3" eb="5">
      <t>ツウジョウ</t>
    </rPh>
    <rPh sb="5" eb="6">
      <t>ショク</t>
    </rPh>
    <rPh sb="6" eb="9">
      <t>チュウガクセイ</t>
    </rPh>
    <rPh sb="9" eb="11">
      <t>イジョウ</t>
    </rPh>
    <phoneticPr fontId="27"/>
  </si>
  <si>
    <t>朝　食通常食幼児</t>
    <rPh sb="0" eb="1">
      <t>アサ</t>
    </rPh>
    <rPh sb="2" eb="3">
      <t>ショク</t>
    </rPh>
    <rPh sb="3" eb="5">
      <t>ツウジョウ</t>
    </rPh>
    <rPh sb="5" eb="6">
      <t>ショク</t>
    </rPh>
    <rPh sb="6" eb="8">
      <t>ヨウジ</t>
    </rPh>
    <phoneticPr fontId="27"/>
  </si>
  <si>
    <t>朝　食通常食小学生</t>
    <rPh sb="0" eb="1">
      <t>アサ</t>
    </rPh>
    <rPh sb="2" eb="3">
      <t>ショク</t>
    </rPh>
    <rPh sb="3" eb="5">
      <t>ツウジョウ</t>
    </rPh>
    <rPh sb="5" eb="6">
      <t>ショク</t>
    </rPh>
    <rPh sb="6" eb="9">
      <t>ショウガクセイ</t>
    </rPh>
    <phoneticPr fontId="27"/>
  </si>
  <si>
    <t>朝　食通常食中学生以上</t>
    <rPh sb="0" eb="1">
      <t>アサ</t>
    </rPh>
    <rPh sb="2" eb="3">
      <t>ショク</t>
    </rPh>
    <rPh sb="3" eb="5">
      <t>ツウジョウ</t>
    </rPh>
    <rPh sb="5" eb="6">
      <t>ショク</t>
    </rPh>
    <rPh sb="6" eb="9">
      <t>チュウガクセイ</t>
    </rPh>
    <rPh sb="9" eb="11">
      <t>イジョウ</t>
    </rPh>
    <phoneticPr fontId="27"/>
  </si>
  <si>
    <t>単価</t>
    <rPh sb="0" eb="2">
      <t>タンカ</t>
    </rPh>
    <phoneticPr fontId="27"/>
  </si>
  <si>
    <t>総数</t>
    <rPh sb="0" eb="2">
      <t>ソウスウ</t>
    </rPh>
    <phoneticPr fontId="27"/>
  </si>
  <si>
    <t>小計</t>
    <rPh sb="0" eb="1">
      <t>ショウ</t>
    </rPh>
    <rPh sb="1" eb="2">
      <t>ケイ</t>
    </rPh>
    <phoneticPr fontId="27"/>
  </si>
  <si>
    <t>ソート用データ</t>
    <rPh sb="3" eb="4">
      <t>ヨウ</t>
    </rPh>
    <phoneticPr fontId="27"/>
  </si>
  <si>
    <t>時機（略）</t>
    <rPh sb="0" eb="2">
      <t>ジキ</t>
    </rPh>
    <rPh sb="3" eb="4">
      <t>リャク</t>
    </rPh>
    <phoneticPr fontId="27"/>
  </si>
  <si>
    <t>日</t>
    <phoneticPr fontId="27"/>
  </si>
  <si>
    <t>引率割引適用者
（４才～小・中学生）</t>
    <rPh sb="0" eb="2">
      <t>インソツ</t>
    </rPh>
    <rPh sb="2" eb="4">
      <t>ワリビキ</t>
    </rPh>
    <rPh sb="4" eb="6">
      <t>テキヨウ</t>
    </rPh>
    <rPh sb="6" eb="7">
      <t>シャ</t>
    </rPh>
    <rPh sb="7" eb="8">
      <t>テキシャ</t>
    </rPh>
    <rPh sb="10" eb="11">
      <t>サイ</t>
    </rPh>
    <rPh sb="12" eb="13">
      <t>ショウ</t>
    </rPh>
    <rPh sb="14" eb="17">
      <t>チュウガクセイ</t>
    </rPh>
    <phoneticPr fontId="20"/>
  </si>
  <si>
    <t>110</t>
    <phoneticPr fontId="2"/>
  </si>
  <si>
    <t>金</t>
    <rPh sb="0" eb="1">
      <t>キン</t>
    </rPh>
    <phoneticPr fontId="7"/>
  </si>
  <si>
    <t>札幌市青少年山の家　【 利用者名簿】</t>
    <phoneticPr fontId="2"/>
  </si>
  <si>
    <t>Ｎｏ．</t>
    <phoneticPr fontId="2"/>
  </si>
  <si>
    <t>a</t>
    <phoneticPr fontId="2"/>
  </si>
  <si>
    <t>（</t>
    <phoneticPr fontId="2"/>
  </si>
  <si>
    <t>）</t>
    <phoneticPr fontId="2"/>
  </si>
  <si>
    <t>（</t>
    <phoneticPr fontId="2"/>
  </si>
  <si>
    <t>）</t>
    <phoneticPr fontId="2"/>
  </si>
  <si>
    <t>10</t>
    <phoneticPr fontId="2"/>
  </si>
  <si>
    <t>（</t>
    <phoneticPr fontId="2"/>
  </si>
  <si>
    <t>）</t>
    <phoneticPr fontId="2"/>
  </si>
  <si>
    <t>～</t>
    <phoneticPr fontId="2"/>
  </si>
  <si>
    <t>10</t>
    <phoneticPr fontId="2"/>
  </si>
  <si>
    <t>）</t>
    <phoneticPr fontId="2"/>
  </si>
  <si>
    <t>b</t>
    <phoneticPr fontId="2"/>
  </si>
  <si>
    <t>c</t>
    <phoneticPr fontId="2"/>
  </si>
  <si>
    <t>d</t>
    <phoneticPr fontId="2"/>
  </si>
  <si>
    <t>№</t>
    <phoneticPr fontId="2"/>
  </si>
  <si>
    <t>№</t>
    <phoneticPr fontId="2"/>
  </si>
  <si>
    <t>№</t>
    <phoneticPr fontId="2"/>
  </si>
  <si>
    <t>№</t>
    <phoneticPr fontId="2"/>
  </si>
  <si>
    <t>e</t>
    <phoneticPr fontId="2"/>
  </si>
  <si>
    <t>f</t>
    <phoneticPr fontId="2"/>
  </si>
  <si>
    <t>g</t>
    <phoneticPr fontId="2"/>
  </si>
  <si>
    <t>h</t>
    <phoneticPr fontId="2"/>
  </si>
  <si>
    <t>i</t>
    <phoneticPr fontId="2"/>
  </si>
  <si>
    <t>内減免</t>
    <rPh sb="0" eb="1">
      <t>ウチ</t>
    </rPh>
    <rPh sb="1" eb="3">
      <t>ゲンメン</t>
    </rPh>
    <phoneticPr fontId="2"/>
  </si>
  <si>
    <t>人</t>
    <rPh sb="0" eb="1">
      <t>ヒト</t>
    </rPh>
    <phoneticPr fontId="2"/>
  </si>
  <si>
    <t>減免計</t>
    <rPh sb="0" eb="2">
      <t>ゲンメン</t>
    </rPh>
    <rPh sb="2" eb="3">
      <t>ケイ</t>
    </rPh>
    <phoneticPr fontId="2"/>
  </si>
  <si>
    <t>札幌市青少年山の家　【 利用者名簿】</t>
    <phoneticPr fontId="2"/>
  </si>
  <si>
    <t>Ｎｏ．</t>
    <phoneticPr fontId="2"/>
  </si>
  <si>
    <t>（</t>
    <phoneticPr fontId="2"/>
  </si>
  <si>
    <t>～</t>
    <phoneticPr fontId="2"/>
  </si>
  <si>
    <t>№</t>
    <phoneticPr fontId="2"/>
  </si>
  <si>
    <t>Ｎｏ．</t>
    <phoneticPr fontId="2"/>
  </si>
  <si>
    <t>）</t>
    <phoneticPr fontId="2"/>
  </si>
  <si>
    <t>Ｎｏ．</t>
    <phoneticPr fontId="2"/>
  </si>
  <si>
    <t>（</t>
    <phoneticPr fontId="2"/>
  </si>
  <si>
    <t>）</t>
    <phoneticPr fontId="2"/>
  </si>
  <si>
    <t>（</t>
    <phoneticPr fontId="2"/>
  </si>
  <si>
    <t>Ｎｏ．</t>
    <phoneticPr fontId="2"/>
  </si>
  <si>
    <t>札幌市青少年山の家　【 利用者名簿】</t>
    <phoneticPr fontId="2"/>
  </si>
  <si>
    <t>Ｎｏ．</t>
    <phoneticPr fontId="2"/>
  </si>
  <si>
    <t>）</t>
    <phoneticPr fontId="2"/>
  </si>
  <si>
    <t>№</t>
    <phoneticPr fontId="2"/>
  </si>
  <si>
    <t>炊事</t>
    <phoneticPr fontId="27"/>
  </si>
  <si>
    <t>炊事</t>
    <rPh sb="0" eb="2">
      <t>スイジ</t>
    </rPh>
    <phoneticPr fontId="2"/>
  </si>
  <si>
    <t>食堂</t>
    <rPh sb="0" eb="2">
      <t>ショクドウ</t>
    </rPh>
    <phoneticPr fontId="2"/>
  </si>
  <si>
    <t>課　長</t>
    <rPh sb="0" eb="1">
      <t>カ</t>
    </rPh>
    <rPh sb="2" eb="3">
      <t>チョウ</t>
    </rPh>
    <phoneticPr fontId="2"/>
  </si>
  <si>
    <t>10</t>
    <phoneticPr fontId="7"/>
  </si>
  <si>
    <t>団体（２０名以上）：高校生～大人</t>
    <rPh sb="0" eb="2">
      <t>ダンタイ</t>
    </rPh>
    <rPh sb="5" eb="8">
      <t>メイイジョウ</t>
    </rPh>
    <rPh sb="10" eb="13">
      <t>コウコウセイ</t>
    </rPh>
    <rPh sb="14" eb="16">
      <t>オトナ</t>
    </rPh>
    <phoneticPr fontId="25"/>
  </si>
  <si>
    <t>団体（20名以上）：高校生～大人（２日券）</t>
    <rPh sb="0" eb="2">
      <t>ダンタイ</t>
    </rPh>
    <rPh sb="5" eb="8">
      <t>メイイジョウ</t>
    </rPh>
    <rPh sb="10" eb="13">
      <t>コウコウセイ</t>
    </rPh>
    <rPh sb="14" eb="16">
      <t>オトナ</t>
    </rPh>
    <rPh sb="18" eb="19">
      <t>ニチ</t>
    </rPh>
    <rPh sb="19" eb="20">
      <t>ケン</t>
    </rPh>
    <phoneticPr fontId="7"/>
  </si>
  <si>
    <t>日</t>
    <rPh sb="0" eb="1">
      <t>ニチ</t>
    </rPh>
    <phoneticPr fontId="7"/>
  </si>
  <si>
    <t>▼クラフト（選択してください）▼</t>
    <rPh sb="6" eb="8">
      <t>センタク</t>
    </rPh>
    <phoneticPr fontId="2"/>
  </si>
  <si>
    <t>.</t>
    <phoneticPr fontId="2"/>
  </si>
  <si>
    <t>水</t>
    <rPh sb="0" eb="1">
      <t>ミズ</t>
    </rPh>
    <phoneticPr fontId="7"/>
  </si>
  <si>
    <t>土</t>
    <rPh sb="0" eb="1">
      <t>ド</t>
    </rPh>
    <phoneticPr fontId="7"/>
  </si>
  <si>
    <t>減免区分</t>
    <rPh sb="0" eb="2">
      <t>ゲンメン</t>
    </rPh>
    <rPh sb="2" eb="4">
      <t>クブン</t>
    </rPh>
    <phoneticPr fontId="7"/>
  </si>
  <si>
    <t>準</t>
    <rPh sb="0" eb="1">
      <t>ジュン</t>
    </rPh>
    <phoneticPr fontId="7"/>
  </si>
  <si>
    <t>特</t>
    <rPh sb="0" eb="1">
      <t>トク</t>
    </rPh>
    <phoneticPr fontId="7"/>
  </si>
  <si>
    <t>身</t>
    <rPh sb="0" eb="1">
      <t>ミ</t>
    </rPh>
    <phoneticPr fontId="7"/>
  </si>
  <si>
    <t>療</t>
    <rPh sb="0" eb="1">
      <t>リョウ</t>
    </rPh>
    <phoneticPr fontId="7"/>
  </si>
  <si>
    <t>精</t>
    <rPh sb="0" eb="1">
      <t>セイ</t>
    </rPh>
    <phoneticPr fontId="7"/>
  </si>
  <si>
    <t>特</t>
    <rPh sb="0" eb="1">
      <t>トク</t>
    </rPh>
    <phoneticPr fontId="2"/>
  </si>
  <si>
    <t>準</t>
    <rPh sb="0" eb="1">
      <t>ジュン</t>
    </rPh>
    <phoneticPr fontId="2"/>
  </si>
  <si>
    <t>身</t>
    <rPh sb="0" eb="1">
      <t>ミ</t>
    </rPh>
    <phoneticPr fontId="2"/>
  </si>
  <si>
    <t>療</t>
    <rPh sb="0" eb="1">
      <t>リョウ</t>
    </rPh>
    <phoneticPr fontId="2"/>
  </si>
  <si>
    <t>精</t>
    <rPh sb="0" eb="1">
      <t>セイ</t>
    </rPh>
    <phoneticPr fontId="2"/>
  </si>
  <si>
    <t>介</t>
    <rPh sb="0" eb="1">
      <t>スケ</t>
    </rPh>
    <phoneticPr fontId="2"/>
  </si>
  <si>
    <t>準・特</t>
    <rPh sb="0" eb="1">
      <t>ジュン</t>
    </rPh>
    <rPh sb="2" eb="3">
      <t>トク</t>
    </rPh>
    <phoneticPr fontId="7"/>
  </si>
  <si>
    <t>準・身</t>
    <rPh sb="0" eb="1">
      <t>ジュン</t>
    </rPh>
    <rPh sb="2" eb="3">
      <t>ミ</t>
    </rPh>
    <phoneticPr fontId="7"/>
  </si>
  <si>
    <t>準・療</t>
    <rPh sb="0" eb="1">
      <t>ジュン</t>
    </rPh>
    <rPh sb="2" eb="3">
      <t>リョウ</t>
    </rPh>
    <phoneticPr fontId="7"/>
  </si>
  <si>
    <t>準・精</t>
    <rPh sb="0" eb="1">
      <t>ジュン</t>
    </rPh>
    <rPh sb="2" eb="3">
      <t>セイ</t>
    </rPh>
    <phoneticPr fontId="7"/>
  </si>
  <si>
    <t>特・身</t>
    <rPh sb="0" eb="1">
      <t>トク</t>
    </rPh>
    <rPh sb="2" eb="3">
      <t>ミ</t>
    </rPh>
    <phoneticPr fontId="7"/>
  </si>
  <si>
    <t>特・療</t>
    <rPh sb="0" eb="1">
      <t>トク</t>
    </rPh>
    <rPh sb="2" eb="3">
      <t>リョウ</t>
    </rPh>
    <phoneticPr fontId="7"/>
  </si>
  <si>
    <t>特・精</t>
    <rPh sb="0" eb="1">
      <t>トク</t>
    </rPh>
    <rPh sb="2" eb="3">
      <t>セイ</t>
    </rPh>
    <phoneticPr fontId="7"/>
  </si>
  <si>
    <t>身・療</t>
    <rPh sb="0" eb="1">
      <t>ミ</t>
    </rPh>
    <rPh sb="2" eb="3">
      <t>リョウ</t>
    </rPh>
    <phoneticPr fontId="7"/>
  </si>
  <si>
    <t>身・精</t>
    <rPh sb="0" eb="1">
      <t>ミ</t>
    </rPh>
    <rPh sb="2" eb="3">
      <t>セイ</t>
    </rPh>
    <phoneticPr fontId="7"/>
  </si>
  <si>
    <t>療・精</t>
    <rPh sb="0" eb="1">
      <t>リョウ</t>
    </rPh>
    <rPh sb="2" eb="3">
      <t>セイ</t>
    </rPh>
    <phoneticPr fontId="7"/>
  </si>
  <si>
    <t>準・特・身</t>
    <rPh sb="0" eb="1">
      <t>ジュン</t>
    </rPh>
    <rPh sb="2" eb="3">
      <t>トク</t>
    </rPh>
    <rPh sb="4" eb="5">
      <t>ミ</t>
    </rPh>
    <phoneticPr fontId="7"/>
  </si>
  <si>
    <t>準・特・療</t>
    <rPh sb="0" eb="1">
      <t>ジュン</t>
    </rPh>
    <rPh sb="2" eb="3">
      <t>トク</t>
    </rPh>
    <rPh sb="4" eb="5">
      <t>リョウ</t>
    </rPh>
    <phoneticPr fontId="7"/>
  </si>
  <si>
    <t>準・特・精</t>
    <rPh sb="0" eb="1">
      <t>ジュン</t>
    </rPh>
    <rPh sb="2" eb="3">
      <t>トク</t>
    </rPh>
    <rPh sb="4" eb="5">
      <t>セイ</t>
    </rPh>
    <phoneticPr fontId="7"/>
  </si>
  <si>
    <t>準・身・療</t>
    <rPh sb="0" eb="1">
      <t>ジュン</t>
    </rPh>
    <rPh sb="2" eb="3">
      <t>ミ</t>
    </rPh>
    <rPh sb="4" eb="5">
      <t>リョウ</t>
    </rPh>
    <phoneticPr fontId="7"/>
  </si>
  <si>
    <t>準・身・精</t>
    <rPh sb="0" eb="1">
      <t>ジュン</t>
    </rPh>
    <rPh sb="2" eb="3">
      <t>ミ</t>
    </rPh>
    <rPh sb="4" eb="5">
      <t>セイ</t>
    </rPh>
    <phoneticPr fontId="7"/>
  </si>
  <si>
    <t>準・療・精</t>
    <rPh sb="0" eb="1">
      <t>ジュン</t>
    </rPh>
    <rPh sb="2" eb="3">
      <t>リョウ</t>
    </rPh>
    <rPh sb="4" eb="5">
      <t>セイ</t>
    </rPh>
    <phoneticPr fontId="7"/>
  </si>
  <si>
    <t>特・身・療</t>
    <rPh sb="0" eb="1">
      <t>トク</t>
    </rPh>
    <rPh sb="2" eb="3">
      <t>ミ</t>
    </rPh>
    <rPh sb="4" eb="5">
      <t>リョウ</t>
    </rPh>
    <phoneticPr fontId="7"/>
  </si>
  <si>
    <t>特・身・精</t>
    <rPh sb="0" eb="1">
      <t>トク</t>
    </rPh>
    <rPh sb="2" eb="3">
      <t>ミ</t>
    </rPh>
    <rPh sb="4" eb="5">
      <t>セイ</t>
    </rPh>
    <phoneticPr fontId="7"/>
  </si>
  <si>
    <t>身・療・精</t>
    <rPh sb="0" eb="1">
      <t>ミ</t>
    </rPh>
    <rPh sb="2" eb="3">
      <t>リョウ</t>
    </rPh>
    <rPh sb="4" eb="5">
      <t>セイ</t>
    </rPh>
    <phoneticPr fontId="7"/>
  </si>
  <si>
    <t>減免区分</t>
    <rPh sb="0" eb="2">
      <t>ゲンメン</t>
    </rPh>
    <rPh sb="2" eb="4">
      <t>クブン</t>
    </rPh>
    <phoneticPr fontId="2"/>
  </si>
  <si>
    <t>料金区分</t>
    <rPh sb="0" eb="2">
      <t>リョウキン</t>
    </rPh>
    <rPh sb="2" eb="4">
      <t>クブン</t>
    </rPh>
    <phoneticPr fontId="2"/>
  </si>
  <si>
    <t>引率者</t>
    <rPh sb="0" eb="2">
      <t>インソツ</t>
    </rPh>
    <rPh sb="2" eb="3">
      <t>シャ</t>
    </rPh>
    <phoneticPr fontId="2"/>
  </si>
  <si>
    <t>料金区分</t>
    <rPh sb="0" eb="2">
      <t>リョウキン</t>
    </rPh>
    <rPh sb="2" eb="4">
      <t>クブン</t>
    </rPh>
    <phoneticPr fontId="7"/>
  </si>
  <si>
    <t>一</t>
    <rPh sb="0" eb="1">
      <t>イッ</t>
    </rPh>
    <phoneticPr fontId="7"/>
  </si>
  <si>
    <t>引</t>
    <rPh sb="0" eb="1">
      <t>イン</t>
    </rPh>
    <phoneticPr fontId="7"/>
  </si>
  <si>
    <t>中</t>
    <rPh sb="0" eb="1">
      <t>チュウ</t>
    </rPh>
    <phoneticPr fontId="7"/>
  </si>
  <si>
    <t>小</t>
    <rPh sb="0" eb="1">
      <t>ショウ</t>
    </rPh>
    <phoneticPr fontId="7"/>
  </si>
  <si>
    <t>介添</t>
    <rPh sb="0" eb="1">
      <t>スケ</t>
    </rPh>
    <rPh sb="1" eb="2">
      <t>ゾ</t>
    </rPh>
    <phoneticPr fontId="7"/>
  </si>
  <si>
    <t>合計</t>
    <rPh sb="0" eb="2">
      <t>ゴウケイ</t>
    </rPh>
    <phoneticPr fontId="7"/>
  </si>
  <si>
    <t>小</t>
    <rPh sb="0" eb="1">
      <t>ショウ</t>
    </rPh>
    <phoneticPr fontId="2"/>
  </si>
  <si>
    <t>中</t>
    <rPh sb="0" eb="1">
      <t>チュウ</t>
    </rPh>
    <phoneticPr fontId="2"/>
  </si>
  <si>
    <t>引</t>
    <rPh sb="0" eb="1">
      <t>イン</t>
    </rPh>
    <phoneticPr fontId="2"/>
  </si>
  <si>
    <t>一</t>
    <rPh sb="0" eb="1">
      <t>イチ</t>
    </rPh>
    <phoneticPr fontId="2"/>
  </si>
  <si>
    <t>延べ日数</t>
    <rPh sb="0" eb="1">
      <t>ノ</t>
    </rPh>
    <rPh sb="2" eb="4">
      <t>ニッスウ</t>
    </rPh>
    <phoneticPr fontId="7"/>
  </si>
  <si>
    <t>減免対象</t>
    <rPh sb="0" eb="2">
      <t>ゲンメン</t>
    </rPh>
    <rPh sb="2" eb="4">
      <t>タイショウ</t>
    </rPh>
    <phoneticPr fontId="7"/>
  </si>
  <si>
    <t>特・療・精</t>
    <rPh sb="0" eb="1">
      <t>トク</t>
    </rPh>
    <rPh sb="2" eb="3">
      <t>リョウ</t>
    </rPh>
    <rPh sb="4" eb="5">
      <t>セイ</t>
    </rPh>
    <phoneticPr fontId="7"/>
  </si>
  <si>
    <t>入園料減免</t>
    <rPh sb="0" eb="3">
      <t>ニュウエンリョウ</t>
    </rPh>
    <rPh sb="3" eb="5">
      <t>ゲンメン</t>
    </rPh>
    <phoneticPr fontId="7"/>
  </si>
  <si>
    <t>2day券判定</t>
    <rPh sb="4" eb="5">
      <t>ケン</t>
    </rPh>
    <rPh sb="5" eb="7">
      <t>ハンテイ</t>
    </rPh>
    <phoneticPr fontId="7"/>
  </si>
  <si>
    <t>一般</t>
    <rPh sb="0" eb="2">
      <t>イッパン</t>
    </rPh>
    <phoneticPr fontId="7"/>
  </si>
  <si>
    <t>延日数</t>
    <rPh sb="0" eb="1">
      <t>ノ</t>
    </rPh>
    <rPh sb="1" eb="3">
      <t>ニッスウ</t>
    </rPh>
    <phoneticPr fontId="7"/>
  </si>
  <si>
    <t>減免者・２DAY除く入園料計</t>
    <rPh sb="0" eb="2">
      <t>ゲンメン</t>
    </rPh>
    <rPh sb="2" eb="3">
      <t>シャ</t>
    </rPh>
    <rPh sb="8" eb="9">
      <t>ノゾ</t>
    </rPh>
    <rPh sb="10" eb="13">
      <t>ニュウエンリョウ</t>
    </rPh>
    <rPh sb="13" eb="14">
      <t>ケイ</t>
    </rPh>
    <phoneticPr fontId="7"/>
  </si>
  <si>
    <t>小・中学生（無料）</t>
    <rPh sb="0" eb="1">
      <t>ショウ</t>
    </rPh>
    <rPh sb="2" eb="5">
      <t>チュウガクセイ</t>
    </rPh>
    <rPh sb="6" eb="8">
      <t>ムリョウ</t>
    </rPh>
    <phoneticPr fontId="20"/>
  </si>
  <si>
    <t>入園料　小計</t>
    <rPh sb="0" eb="3">
      <t>ニュウエンリョウ</t>
    </rPh>
    <rPh sb="4" eb="6">
      <t>ショウケイ</t>
    </rPh>
    <phoneticPr fontId="2"/>
  </si>
  <si>
    <t>宿泊　小計</t>
    <rPh sb="0" eb="2">
      <t>シュクハク</t>
    </rPh>
    <rPh sb="3" eb="5">
      <t>ショウケイ</t>
    </rPh>
    <phoneticPr fontId="2"/>
  </si>
  <si>
    <t>日帰り　小計</t>
    <rPh sb="0" eb="2">
      <t>ヒガエ</t>
    </rPh>
    <rPh sb="4" eb="6">
      <t>ショウケイ</t>
    </rPh>
    <phoneticPr fontId="2"/>
  </si>
  <si>
    <t>　施設使用料　小計（円）</t>
    <rPh sb="1" eb="3">
      <t>シセツ</t>
    </rPh>
    <rPh sb="3" eb="5">
      <t>シヨウ</t>
    </rPh>
    <rPh sb="5" eb="6">
      <t>リョウ</t>
    </rPh>
    <rPh sb="7" eb="9">
      <t>ショウケイ</t>
    </rPh>
    <rPh sb="10" eb="11">
      <t>エン</t>
    </rPh>
    <phoneticPr fontId="2"/>
  </si>
  <si>
    <t>カレーライス</t>
    <phoneticPr fontId="2"/>
  </si>
  <si>
    <t>牛丼</t>
    <rPh sb="0" eb="2">
      <t>ギュウドン</t>
    </rPh>
    <phoneticPr fontId="2"/>
  </si>
  <si>
    <t>豚汁</t>
    <rPh sb="0" eb="1">
      <t>トン</t>
    </rPh>
    <rPh sb="1" eb="2">
      <t>ジル</t>
    </rPh>
    <phoneticPr fontId="2"/>
  </si>
  <si>
    <t>ホットドッグ</t>
    <phoneticPr fontId="2"/>
  </si>
  <si>
    <t>焼きそば</t>
    <rPh sb="0" eb="1">
      <t>ヤ</t>
    </rPh>
    <phoneticPr fontId="2"/>
  </si>
  <si>
    <t>薪</t>
    <rPh sb="0" eb="1">
      <t>マキ</t>
    </rPh>
    <phoneticPr fontId="2"/>
  </si>
  <si>
    <t>炭</t>
    <rPh sb="0" eb="1">
      <t>スミ</t>
    </rPh>
    <phoneticPr fontId="2"/>
  </si>
  <si>
    <t>札幌市中央区</t>
  </si>
  <si>
    <t>札幌市北区</t>
  </si>
  <si>
    <t>札幌市東区</t>
  </si>
  <si>
    <t>札幌市白石区</t>
  </si>
  <si>
    <t>札幌市豊平区</t>
  </si>
  <si>
    <t>札幌市南区</t>
  </si>
  <si>
    <t>札幌市西区</t>
  </si>
  <si>
    <t>札幌市厚別区</t>
  </si>
  <si>
    <t>札幌市手稲区</t>
  </si>
  <si>
    <t>札幌市清田区</t>
  </si>
  <si>
    <t>旭ケ丘</t>
  </si>
  <si>
    <t>大通東</t>
  </si>
  <si>
    <t>北一条東</t>
  </si>
  <si>
    <t>北二条東</t>
  </si>
  <si>
    <t>北三条東</t>
  </si>
  <si>
    <t>北七条西</t>
  </si>
  <si>
    <t>北八条西</t>
  </si>
  <si>
    <t>北九条西</t>
  </si>
  <si>
    <t>北十条西</t>
  </si>
  <si>
    <t>北十一条西</t>
  </si>
  <si>
    <t>北十二条西</t>
  </si>
  <si>
    <t>北十三条西</t>
  </si>
  <si>
    <t>北十四条西</t>
  </si>
  <si>
    <t>北十五条西</t>
  </si>
  <si>
    <t>北十六条西</t>
  </si>
  <si>
    <t>北十七条西</t>
  </si>
  <si>
    <t>北十八条西</t>
  </si>
  <si>
    <t>北二十条西</t>
  </si>
  <si>
    <t>北二十一条西</t>
  </si>
  <si>
    <t>北二十二条西</t>
  </si>
  <si>
    <t>界川</t>
  </si>
  <si>
    <t>中島公園</t>
  </si>
  <si>
    <t>盤渓</t>
  </si>
  <si>
    <t>伏見</t>
  </si>
  <si>
    <t>双子山</t>
  </si>
  <si>
    <t>円山西町</t>
  </si>
  <si>
    <t>南一条東</t>
  </si>
  <si>
    <t>南二条東</t>
  </si>
  <si>
    <t>南三条東</t>
  </si>
  <si>
    <t>南四条東</t>
  </si>
  <si>
    <t>南四条西</t>
  </si>
  <si>
    <t>南五条東</t>
  </si>
  <si>
    <t>南五条西</t>
  </si>
  <si>
    <t>南六条東</t>
  </si>
  <si>
    <t>南六条西</t>
  </si>
  <si>
    <t>南七条東</t>
  </si>
  <si>
    <t>南七条西</t>
  </si>
  <si>
    <t>南八条西</t>
  </si>
  <si>
    <t>南九条西</t>
  </si>
  <si>
    <t>南十条西</t>
  </si>
  <si>
    <t>南十一条西</t>
  </si>
  <si>
    <t>南十二条西</t>
  </si>
  <si>
    <t>南十三条西</t>
  </si>
  <si>
    <t>南十四条西</t>
  </si>
  <si>
    <t>南十五条西</t>
  </si>
  <si>
    <t>南十六条西</t>
  </si>
  <si>
    <t>南十七条西</t>
  </si>
  <si>
    <t>南十八条西</t>
  </si>
  <si>
    <t>南十九条西</t>
  </si>
  <si>
    <t>南二十条西</t>
  </si>
  <si>
    <t>南二十一条西</t>
  </si>
  <si>
    <t>南二十二条西</t>
  </si>
  <si>
    <t>南二十三条西</t>
  </si>
  <si>
    <t>南二十四条西</t>
  </si>
  <si>
    <t>南二十五条西</t>
  </si>
  <si>
    <t>南二十六条西</t>
  </si>
  <si>
    <t>南二十七条西</t>
  </si>
  <si>
    <t>南二十八条西</t>
  </si>
  <si>
    <t>南二十九条西</t>
  </si>
  <si>
    <t>宮ケ丘</t>
  </si>
  <si>
    <t>宮の森</t>
  </si>
  <si>
    <t>宮の森一条</t>
  </si>
  <si>
    <t>宮の森二条</t>
  </si>
  <si>
    <t>宮の森三条</t>
  </si>
  <si>
    <t>宮の森四条</t>
  </si>
  <si>
    <t>あいの里一条</t>
  </si>
  <si>
    <t>あいの里二条</t>
  </si>
  <si>
    <t>あいの里三条</t>
  </si>
  <si>
    <t>あいの里四条</t>
  </si>
  <si>
    <t>あいの里五条</t>
  </si>
  <si>
    <t>麻生町</t>
  </si>
  <si>
    <t>北六条西</t>
  </si>
  <si>
    <t>北二十三条西</t>
  </si>
  <si>
    <t>北二十四条西</t>
  </si>
  <si>
    <t>北二十五条西</t>
  </si>
  <si>
    <t>北二十六条西</t>
  </si>
  <si>
    <t>北二十七条西</t>
  </si>
  <si>
    <t>北二十八条西</t>
  </si>
  <si>
    <t>北二十九条西</t>
  </si>
  <si>
    <t>北三十条西</t>
  </si>
  <si>
    <t>北三十一条西</t>
  </si>
  <si>
    <t>北三十二条西</t>
  </si>
  <si>
    <t>北三十三条西</t>
  </si>
  <si>
    <t>北三十四条西</t>
  </si>
  <si>
    <t>北三十五条西</t>
  </si>
  <si>
    <t>北三十六条西</t>
  </si>
  <si>
    <t>北三十七条西</t>
  </si>
  <si>
    <t>北三十八条西</t>
  </si>
  <si>
    <t>北三十九条西</t>
  </si>
  <si>
    <t>北四十条西</t>
  </si>
  <si>
    <t>篠路一条</t>
  </si>
  <si>
    <t>篠路二条</t>
  </si>
  <si>
    <t>篠路三条</t>
  </si>
  <si>
    <t>篠路四条</t>
  </si>
  <si>
    <t>篠路五条</t>
  </si>
  <si>
    <t>篠路六条</t>
  </si>
  <si>
    <t>篠路七条</t>
  </si>
  <si>
    <t>篠路八条</t>
  </si>
  <si>
    <t>篠路九条</t>
  </si>
  <si>
    <t>篠路十条</t>
  </si>
  <si>
    <t>篠路町上篠路</t>
  </si>
  <si>
    <t>篠路町篠路</t>
  </si>
  <si>
    <t>篠路町太平</t>
  </si>
  <si>
    <t>篠路町拓北</t>
  </si>
  <si>
    <t>篠路町福移</t>
  </si>
  <si>
    <t>新川</t>
  </si>
  <si>
    <t>新川一条</t>
  </si>
  <si>
    <t>新川二条</t>
  </si>
  <si>
    <t>新川三条</t>
  </si>
  <si>
    <t>新川四条</t>
  </si>
  <si>
    <t>新川五条</t>
  </si>
  <si>
    <t>新川六条</t>
  </si>
  <si>
    <t>新川七条</t>
  </si>
  <si>
    <t>新川八条</t>
  </si>
  <si>
    <t>新川西一条</t>
  </si>
  <si>
    <t>新川西二条</t>
  </si>
  <si>
    <t>新川西三条</t>
  </si>
  <si>
    <t>新川西四条</t>
  </si>
  <si>
    <t>新川西五条</t>
  </si>
  <si>
    <t>新琴似一条</t>
  </si>
  <si>
    <t>新琴似二条</t>
  </si>
  <si>
    <t>新琴似三条</t>
  </si>
  <si>
    <t>新琴似四条</t>
  </si>
  <si>
    <t>新琴似五条</t>
  </si>
  <si>
    <t>新琴似六条</t>
  </si>
  <si>
    <t>新琴似七条</t>
  </si>
  <si>
    <t>新琴似八条</t>
  </si>
  <si>
    <t>新琴似九条</t>
  </si>
  <si>
    <t>新琴似十条</t>
  </si>
  <si>
    <t>新琴似十一条</t>
  </si>
  <si>
    <t>新琴似十二条</t>
  </si>
  <si>
    <t>新琴似町</t>
  </si>
  <si>
    <t>太平一条</t>
  </si>
  <si>
    <t>太平二条</t>
  </si>
  <si>
    <t>太平三条</t>
  </si>
  <si>
    <t>太平四条</t>
  </si>
  <si>
    <t>太平五条</t>
  </si>
  <si>
    <t>太平六条</t>
  </si>
  <si>
    <t>太平七条</t>
  </si>
  <si>
    <t>太平八条</t>
  </si>
  <si>
    <t>太平九条</t>
  </si>
  <si>
    <t>太平十条</t>
  </si>
  <si>
    <t>太平十一条</t>
  </si>
  <si>
    <t>太平十二条</t>
  </si>
  <si>
    <t>拓北一条</t>
  </si>
  <si>
    <t>拓北二条</t>
  </si>
  <si>
    <t>拓北三条</t>
  </si>
  <si>
    <t>拓北四条</t>
  </si>
  <si>
    <t>拓北五条</t>
  </si>
  <si>
    <t>拓北六条</t>
  </si>
  <si>
    <t>拓北七条</t>
  </si>
  <si>
    <t>拓北八条</t>
  </si>
  <si>
    <t>屯田一条</t>
  </si>
  <si>
    <t>屯田二条</t>
  </si>
  <si>
    <t>屯田三条</t>
  </si>
  <si>
    <t>屯田四条</t>
  </si>
  <si>
    <t>屯田五条</t>
  </si>
  <si>
    <t>屯田六条</t>
  </si>
  <si>
    <t>屯田七条</t>
  </si>
  <si>
    <t>屯田八条</t>
  </si>
  <si>
    <t>屯田九条</t>
  </si>
  <si>
    <t>屯田十条</t>
  </si>
  <si>
    <t>屯田十一条</t>
  </si>
  <si>
    <t>屯田町</t>
  </si>
  <si>
    <t>西茨戸</t>
  </si>
  <si>
    <t>西茨戸一条</t>
  </si>
  <si>
    <t>西茨戸二条</t>
  </si>
  <si>
    <t>西茨戸三条</t>
  </si>
  <si>
    <t>西茨戸四条</t>
  </si>
  <si>
    <t>西茨戸五条</t>
  </si>
  <si>
    <t>西茨戸六条</t>
  </si>
  <si>
    <t>西茨戸七条</t>
  </si>
  <si>
    <t>東茨戸</t>
  </si>
  <si>
    <t>東茨戸一条</t>
  </si>
  <si>
    <t>東茨戸二条</t>
  </si>
  <si>
    <t>東茨戸三条</t>
  </si>
  <si>
    <t>東茨戸四条</t>
  </si>
  <si>
    <t>南あいの里</t>
  </si>
  <si>
    <t>百合が原</t>
  </si>
  <si>
    <t>百合が原公園</t>
  </si>
  <si>
    <t>丘珠町</t>
  </si>
  <si>
    <t>北丘珠一条</t>
  </si>
  <si>
    <t>北丘珠二条</t>
  </si>
  <si>
    <t>北丘珠三条</t>
  </si>
  <si>
    <t>北丘珠四条</t>
  </si>
  <si>
    <t>北丘珠五条</t>
  </si>
  <si>
    <t>北丘珠六条</t>
  </si>
  <si>
    <t>北十条東</t>
  </si>
  <si>
    <t>北十一条東</t>
  </si>
  <si>
    <t>北十二条東</t>
  </si>
  <si>
    <t>北十三条東</t>
  </si>
  <si>
    <t>北十四条東</t>
  </si>
  <si>
    <t>北十五条東</t>
  </si>
  <si>
    <t>北十六条東</t>
  </si>
  <si>
    <t>北十七条東</t>
  </si>
  <si>
    <t>北十八条東</t>
  </si>
  <si>
    <t>北十九条東</t>
  </si>
  <si>
    <t>北二十条東</t>
  </si>
  <si>
    <t>北二十一条東</t>
  </si>
  <si>
    <t>北二十二条東</t>
  </si>
  <si>
    <t>北二十三条東</t>
  </si>
  <si>
    <t>北二十四条東</t>
  </si>
  <si>
    <t>北二十五条東</t>
  </si>
  <si>
    <t>北二十六条東</t>
  </si>
  <si>
    <t>北二十七条東</t>
  </si>
  <si>
    <t>北二十八条東</t>
  </si>
  <si>
    <t>北三十条東</t>
  </si>
  <si>
    <t>北三十一条東</t>
  </si>
  <si>
    <t>北三十二条東</t>
  </si>
  <si>
    <t>北三十三条東</t>
  </si>
  <si>
    <t>北三十四条東</t>
  </si>
  <si>
    <t>北三十五条東</t>
  </si>
  <si>
    <t>北三十六条東</t>
  </si>
  <si>
    <t>北三十七条東</t>
  </si>
  <si>
    <t>北三十八条東</t>
  </si>
  <si>
    <t>北三十九条東</t>
  </si>
  <si>
    <t>北四十条東</t>
  </si>
  <si>
    <t>北四十一条東</t>
  </si>
  <si>
    <t>北四十二条東</t>
  </si>
  <si>
    <t>北四十三条東</t>
  </si>
  <si>
    <t>北四十四条東</t>
  </si>
  <si>
    <t>北四十五条東</t>
  </si>
  <si>
    <t>北四十六条東</t>
  </si>
  <si>
    <t>北四十七条東</t>
  </si>
  <si>
    <t>北四十八条東</t>
  </si>
  <si>
    <t>北四十九条東</t>
  </si>
  <si>
    <t>北五十条東</t>
  </si>
  <si>
    <t>北五十一条東</t>
  </si>
  <si>
    <t>栄町</t>
  </si>
  <si>
    <t>苗穂町</t>
  </si>
  <si>
    <t>中沼一条</t>
  </si>
  <si>
    <t>中沼二条</t>
  </si>
  <si>
    <t>中沼三条</t>
  </si>
  <si>
    <t>中沼四条</t>
  </si>
  <si>
    <t>中沼五条</t>
  </si>
  <si>
    <t>中沼六条</t>
  </si>
  <si>
    <t>中沼町</t>
  </si>
  <si>
    <t>中沼西一条</t>
  </si>
  <si>
    <t>中沼西二条</t>
  </si>
  <si>
    <t>中沼西三条</t>
  </si>
  <si>
    <t>中沼西四条</t>
  </si>
  <si>
    <t>中沼西五条</t>
  </si>
  <si>
    <t>東雁来一条</t>
  </si>
  <si>
    <t>東雁来二条</t>
  </si>
  <si>
    <t>東雁来三条</t>
  </si>
  <si>
    <t>東雁来四条</t>
  </si>
  <si>
    <t>東雁来五条</t>
  </si>
  <si>
    <t>東雁来六条</t>
  </si>
  <si>
    <t>東雁来七条</t>
  </si>
  <si>
    <t>東雁来八条</t>
  </si>
  <si>
    <t>東雁来九条</t>
  </si>
  <si>
    <t>東雁来十条</t>
  </si>
  <si>
    <t>東雁来十一条</t>
  </si>
  <si>
    <t>東雁来十二条</t>
  </si>
  <si>
    <t>東雁来十三条</t>
  </si>
  <si>
    <t>東雁来十四条</t>
  </si>
  <si>
    <t>東雁来町</t>
  </si>
  <si>
    <t>東苗穂一条</t>
  </si>
  <si>
    <t>東苗穂二条</t>
  </si>
  <si>
    <t>東苗穂三条</t>
  </si>
  <si>
    <t>東苗穂四条</t>
  </si>
  <si>
    <t>東苗穂五条</t>
  </si>
  <si>
    <t>東苗穂六条</t>
  </si>
  <si>
    <t>東苗穂七条</t>
  </si>
  <si>
    <t>東苗穂八条</t>
  </si>
  <si>
    <t>東苗穂九条</t>
  </si>
  <si>
    <t>東苗穂十条</t>
  </si>
  <si>
    <t>東苗穂十一条</t>
  </si>
  <si>
    <t>東苗穂十二条</t>
  </si>
  <si>
    <t>東苗穂十三条</t>
  </si>
  <si>
    <t>東苗穂十四条</t>
  </si>
  <si>
    <t>東苗穂十五条</t>
  </si>
  <si>
    <t>東苗穂町</t>
  </si>
  <si>
    <t>伏古一条</t>
  </si>
  <si>
    <t>伏古二条</t>
  </si>
  <si>
    <t>伏古三条</t>
  </si>
  <si>
    <t>伏古四条</t>
  </si>
  <si>
    <t>伏古五条</t>
  </si>
  <si>
    <t>伏古六条</t>
  </si>
  <si>
    <t>伏古七条</t>
  </si>
  <si>
    <t>伏古八条</t>
  </si>
  <si>
    <t>伏古九条</t>
  </si>
  <si>
    <t>伏古十条</t>
  </si>
  <si>
    <t>伏古十一条</t>
  </si>
  <si>
    <t>伏古十二条</t>
  </si>
  <si>
    <t>伏古十三条</t>
  </si>
  <si>
    <t>伏古十四条</t>
  </si>
  <si>
    <t>本町一条</t>
  </si>
  <si>
    <t>本町二条</t>
  </si>
  <si>
    <t>モエレ沼公園</t>
  </si>
  <si>
    <t>川北一条</t>
  </si>
  <si>
    <t>川北二条</t>
  </si>
  <si>
    <t>川北三条</t>
  </si>
  <si>
    <t>川北四条</t>
  </si>
  <si>
    <t>川北五条</t>
  </si>
  <si>
    <t>川下</t>
  </si>
  <si>
    <t>川下一条</t>
  </si>
  <si>
    <t>川下二条</t>
  </si>
  <si>
    <t>川下三条</t>
  </si>
  <si>
    <t>川下四条</t>
  </si>
  <si>
    <t>川下五条</t>
  </si>
  <si>
    <t>川北</t>
  </si>
  <si>
    <t>菊水一条</t>
  </si>
  <si>
    <t>菊水二条</t>
  </si>
  <si>
    <t>菊水三条</t>
  </si>
  <si>
    <t>菊水四条</t>
  </si>
  <si>
    <t>菊水五条</t>
  </si>
  <si>
    <t>菊水六条</t>
  </si>
  <si>
    <t>菊水七条</t>
  </si>
  <si>
    <t>菊水八条</t>
  </si>
  <si>
    <t>菊水九条</t>
  </si>
  <si>
    <t>菊水上町一条</t>
  </si>
  <si>
    <t>菊水上町二条</t>
  </si>
  <si>
    <t>菊水上町三条</t>
  </si>
  <si>
    <t>菊水上町四条</t>
  </si>
  <si>
    <t>菊水元町一条</t>
  </si>
  <si>
    <t>菊水元町二条</t>
  </si>
  <si>
    <t>菊水元町三条</t>
  </si>
  <si>
    <t>菊水元町四条</t>
  </si>
  <si>
    <t>菊水元町五条</t>
  </si>
  <si>
    <t>菊水元町六条</t>
  </si>
  <si>
    <t>菊水元町七条</t>
  </si>
  <si>
    <t>菊水元町八条</t>
  </si>
  <si>
    <t>菊水元町九条</t>
  </si>
  <si>
    <t>菊水元町十条</t>
  </si>
  <si>
    <t>北郷</t>
  </si>
  <si>
    <t>北郷一条</t>
  </si>
  <si>
    <t>北郷二条</t>
  </si>
  <si>
    <t>北郷三条</t>
  </si>
  <si>
    <t>北郷四条</t>
  </si>
  <si>
    <t>北郷五条</t>
  </si>
  <si>
    <t>北郷六条</t>
  </si>
  <si>
    <t>北郷七条</t>
  </si>
  <si>
    <t>北郷八条</t>
  </si>
  <si>
    <t>北郷九条</t>
  </si>
  <si>
    <t>北郷十条</t>
  </si>
  <si>
    <t>栄通</t>
  </si>
  <si>
    <t>中央一条</t>
  </si>
  <si>
    <t>中央二条</t>
  </si>
  <si>
    <t>中央三条</t>
  </si>
  <si>
    <t>東札幌一条</t>
  </si>
  <si>
    <t>東札幌二条</t>
  </si>
  <si>
    <t>東札幌三条</t>
  </si>
  <si>
    <t>東札幌四条</t>
  </si>
  <si>
    <t>東札幌五条</t>
  </si>
  <si>
    <t>東札幌六条</t>
  </si>
  <si>
    <t>東米里</t>
  </si>
  <si>
    <t>米里一条</t>
  </si>
  <si>
    <t>米里二条</t>
  </si>
  <si>
    <t>米里三条</t>
  </si>
  <si>
    <t>米里四条</t>
  </si>
  <si>
    <t>米里五条</t>
  </si>
  <si>
    <t>流通センター</t>
  </si>
  <si>
    <t>旭町</t>
  </si>
  <si>
    <t>水車町</t>
  </si>
  <si>
    <t>月寒中央通</t>
  </si>
  <si>
    <t>月寒西一条</t>
  </si>
  <si>
    <t>月寒西二条</t>
  </si>
  <si>
    <t>月寒西三条</t>
  </si>
  <si>
    <t>月寒西四条</t>
  </si>
  <si>
    <t>月寒西五条</t>
  </si>
  <si>
    <t>月寒東一条</t>
  </si>
  <si>
    <t>月寒東二条</t>
  </si>
  <si>
    <t>月寒東三条</t>
  </si>
  <si>
    <t>月寒東四条</t>
  </si>
  <si>
    <t>月寒東五条</t>
  </si>
  <si>
    <t>豊平一条</t>
  </si>
  <si>
    <t>豊平二条</t>
  </si>
  <si>
    <t>豊平三条</t>
  </si>
  <si>
    <t>豊平四条</t>
  </si>
  <si>
    <t>豊平五条</t>
  </si>
  <si>
    <t>豊平六条</t>
  </si>
  <si>
    <t>豊平七条</t>
  </si>
  <si>
    <t>豊平八条</t>
  </si>
  <si>
    <t>豊平九条</t>
  </si>
  <si>
    <t>中の島一条</t>
  </si>
  <si>
    <t>中の島二条</t>
  </si>
  <si>
    <t>西岡</t>
  </si>
  <si>
    <t>西岡一条</t>
  </si>
  <si>
    <t>西岡二条</t>
  </si>
  <si>
    <t>西岡三条</t>
  </si>
  <si>
    <t>西岡四条</t>
  </si>
  <si>
    <t>西岡五条</t>
  </si>
  <si>
    <t>羊ケ丘</t>
  </si>
  <si>
    <t>平岸一条</t>
  </si>
  <si>
    <t>平岸二条</t>
  </si>
  <si>
    <t>平岸三条</t>
  </si>
  <si>
    <t>平岸四条</t>
  </si>
  <si>
    <t>平岸五条</t>
  </si>
  <si>
    <t>平岸六条</t>
  </si>
  <si>
    <t>平岸七条</t>
  </si>
  <si>
    <t>平岸八条</t>
  </si>
  <si>
    <t>福住一条</t>
  </si>
  <si>
    <t>福住二条</t>
  </si>
  <si>
    <t>福住三条</t>
  </si>
  <si>
    <t>美園一条</t>
  </si>
  <si>
    <t>美園二条</t>
  </si>
  <si>
    <t>美園三条</t>
  </si>
  <si>
    <t>美園四条</t>
  </si>
  <si>
    <t>美園五条</t>
  </si>
  <si>
    <t>美園六条</t>
  </si>
  <si>
    <t>美園七条</t>
  </si>
  <si>
    <t>美園八条</t>
  </si>
  <si>
    <t>美園九条</t>
  </si>
  <si>
    <t>美園十条</t>
  </si>
  <si>
    <t>美園十一条</t>
  </si>
  <si>
    <t>美園十二条</t>
  </si>
  <si>
    <t>石山</t>
  </si>
  <si>
    <t>石山東</t>
  </si>
  <si>
    <t>石山一条</t>
  </si>
  <si>
    <t>石山二条</t>
  </si>
  <si>
    <t>石山三条</t>
  </si>
  <si>
    <t>石山四条</t>
  </si>
  <si>
    <t>川沿一条</t>
  </si>
  <si>
    <t>川沿二条</t>
  </si>
  <si>
    <t>川沿三条</t>
  </si>
  <si>
    <t>川沿四条</t>
  </si>
  <si>
    <t>川沿五条</t>
  </si>
  <si>
    <t>川沿六条</t>
  </si>
  <si>
    <t>川沿七条</t>
  </si>
  <si>
    <t>川沿八条</t>
  </si>
  <si>
    <t>川沿九条</t>
  </si>
  <si>
    <t>川沿十条</t>
  </si>
  <si>
    <t>川沿十一条</t>
  </si>
  <si>
    <t>川沿十二条</t>
  </si>
  <si>
    <t>川沿十三条</t>
  </si>
  <si>
    <t>川沿十四条</t>
  </si>
  <si>
    <t>川沿十五条</t>
  </si>
  <si>
    <t>川沿十六条</t>
  </si>
  <si>
    <t>川沿十七条</t>
  </si>
  <si>
    <t>川沿十八条</t>
  </si>
  <si>
    <t>北ノ沢</t>
  </si>
  <si>
    <t>芸術の森</t>
  </si>
  <si>
    <t>小金湯</t>
  </si>
  <si>
    <t>定山渓</t>
  </si>
  <si>
    <t>定山渓温泉東</t>
  </si>
  <si>
    <t>定山渓温泉西</t>
  </si>
  <si>
    <t>白川</t>
  </si>
  <si>
    <t>澄川</t>
  </si>
  <si>
    <t>澄川一条</t>
  </si>
  <si>
    <t>澄川二条</t>
  </si>
  <si>
    <t>澄川三条</t>
  </si>
  <si>
    <t>澄川四条</t>
  </si>
  <si>
    <t>澄川五条</t>
  </si>
  <si>
    <t>澄川六条</t>
  </si>
  <si>
    <t>滝野</t>
  </si>
  <si>
    <t>砥石山</t>
  </si>
  <si>
    <t>常盤一条</t>
  </si>
  <si>
    <t>常盤二条</t>
  </si>
  <si>
    <t>常盤三条</t>
  </si>
  <si>
    <t>常盤四条</t>
  </si>
  <si>
    <t>常盤五条</t>
  </si>
  <si>
    <t>常盤六条</t>
  </si>
  <si>
    <t>砥山</t>
  </si>
  <si>
    <t>豊滝</t>
  </si>
  <si>
    <t>中ノ沢</t>
  </si>
  <si>
    <t>藤野一条</t>
  </si>
  <si>
    <t>藤野二条</t>
  </si>
  <si>
    <t>藤野三条</t>
  </si>
  <si>
    <t>藤野四条</t>
  </si>
  <si>
    <t>藤野五条</t>
  </si>
  <si>
    <t>藤野六条</t>
  </si>
  <si>
    <t>真駒内曙町</t>
  </si>
  <si>
    <t>真駒内泉町</t>
  </si>
  <si>
    <t>真駒内柏丘</t>
  </si>
  <si>
    <t>真駒内上町</t>
  </si>
  <si>
    <t>真駒内幸町</t>
  </si>
  <si>
    <t>真駒内東町</t>
  </si>
  <si>
    <t>真駒内本町</t>
  </si>
  <si>
    <t>真駒内緑町</t>
  </si>
  <si>
    <t>真駒内南町</t>
  </si>
  <si>
    <t>真駒内公園</t>
  </si>
  <si>
    <t>簾舞一条</t>
  </si>
  <si>
    <t>簾舞二条</t>
  </si>
  <si>
    <t>簾舞三条</t>
  </si>
  <si>
    <t>簾舞四条</t>
  </si>
  <si>
    <t>簾舞五条</t>
  </si>
  <si>
    <t>簾舞六条</t>
  </si>
  <si>
    <t>南沢</t>
  </si>
  <si>
    <t>南沢一条</t>
  </si>
  <si>
    <t>南沢二条</t>
  </si>
  <si>
    <t>南沢三条</t>
  </si>
  <si>
    <t>南沢四条</t>
  </si>
  <si>
    <t>南沢五条</t>
  </si>
  <si>
    <t>南沢六条</t>
  </si>
  <si>
    <t>南三十一条西</t>
  </si>
  <si>
    <t>南三十二条西</t>
  </si>
  <si>
    <t>南三十三条西</t>
  </si>
  <si>
    <t>南三十四条西</t>
  </si>
  <si>
    <t>南三十五条西</t>
  </si>
  <si>
    <t>南三十六条西</t>
  </si>
  <si>
    <t>南三十七条西</t>
  </si>
  <si>
    <t>南三十八条西</t>
  </si>
  <si>
    <t>南三十九条西</t>
  </si>
  <si>
    <t>藻岩下</t>
  </si>
  <si>
    <t>藻岩山</t>
  </si>
  <si>
    <t>琴似一条</t>
  </si>
  <si>
    <t>琴似二条</t>
  </si>
  <si>
    <t>琴似三条</t>
  </si>
  <si>
    <t>琴似四条</t>
  </si>
  <si>
    <t>小別沢</t>
  </si>
  <si>
    <t>西野</t>
  </si>
  <si>
    <t>西野一条</t>
  </si>
  <si>
    <t>西野二条</t>
  </si>
  <si>
    <t>西野三条</t>
  </si>
  <si>
    <t>西野四条</t>
  </si>
  <si>
    <t>西野五条</t>
  </si>
  <si>
    <t>西野六条</t>
  </si>
  <si>
    <t>西野七条</t>
  </si>
  <si>
    <t>西野八条</t>
  </si>
  <si>
    <t>西野九条</t>
  </si>
  <si>
    <t>西野十条</t>
  </si>
  <si>
    <t>西野十一条</t>
  </si>
  <si>
    <t>西野十二条</t>
  </si>
  <si>
    <t>西野十三条</t>
  </si>
  <si>
    <t>西野十四条</t>
  </si>
  <si>
    <t>西町南</t>
  </si>
  <si>
    <t>西町北</t>
  </si>
  <si>
    <t>二十四軒一条</t>
  </si>
  <si>
    <t>二十四軒二条</t>
  </si>
  <si>
    <t>二十四軒三条</t>
  </si>
  <si>
    <t>二十四軒四条</t>
  </si>
  <si>
    <t>八軒一条東</t>
  </si>
  <si>
    <t>八軒一条西</t>
  </si>
  <si>
    <t>八軒二条東</t>
  </si>
  <si>
    <t>八軒二条西</t>
  </si>
  <si>
    <t>八軒三条東</t>
  </si>
  <si>
    <t>八軒三条西</t>
  </si>
  <si>
    <t>八軒四条東</t>
  </si>
  <si>
    <t>八軒四条西</t>
  </si>
  <si>
    <t>八軒五条東</t>
  </si>
  <si>
    <t>八軒五条西</t>
  </si>
  <si>
    <t>八軒六条東</t>
  </si>
  <si>
    <t>八軒六条西</t>
  </si>
  <si>
    <t>八軒七条東</t>
  </si>
  <si>
    <t>八軒七条西</t>
  </si>
  <si>
    <t>八軒八条東</t>
  </si>
  <si>
    <t>八軒八条西</t>
  </si>
  <si>
    <t>八軒九条東</t>
  </si>
  <si>
    <t>八軒九条西</t>
  </si>
  <si>
    <t>八軒十条東</t>
  </si>
  <si>
    <t>八軒十条西</t>
  </si>
  <si>
    <t>発寒一条</t>
  </si>
  <si>
    <t>発寒二条</t>
  </si>
  <si>
    <t>発寒三条</t>
  </si>
  <si>
    <t>発寒四条</t>
  </si>
  <si>
    <t>発寒五条</t>
  </si>
  <si>
    <t>発寒六条</t>
  </si>
  <si>
    <t>発寒七条</t>
  </si>
  <si>
    <t>発寒八条</t>
  </si>
  <si>
    <t>発寒九条</t>
  </si>
  <si>
    <t>発寒十条</t>
  </si>
  <si>
    <t>発寒十一条</t>
  </si>
  <si>
    <t>発寒十二条</t>
  </si>
  <si>
    <t>発寒十三条</t>
  </si>
  <si>
    <t>発寒十四条</t>
  </si>
  <si>
    <t>発寒十五条</t>
  </si>
  <si>
    <t>発寒十六条</t>
  </si>
  <si>
    <t>発寒十七条</t>
  </si>
  <si>
    <t>福井</t>
  </si>
  <si>
    <t>平和</t>
  </si>
  <si>
    <t>平和一条</t>
  </si>
  <si>
    <t>平和二条</t>
  </si>
  <si>
    <t>平和三条</t>
  </si>
  <si>
    <t>宮の沢</t>
  </si>
  <si>
    <t>宮の沢一条</t>
  </si>
  <si>
    <t>宮の沢二条</t>
  </si>
  <si>
    <t>宮の沢三条</t>
  </si>
  <si>
    <t>宮の沢四条</t>
  </si>
  <si>
    <t>山の手</t>
  </si>
  <si>
    <t>山の手一条</t>
  </si>
  <si>
    <t>山の手二条</t>
  </si>
  <si>
    <t>山の手三条</t>
  </si>
  <si>
    <t>山の手四条</t>
  </si>
  <si>
    <t>山の手五条</t>
  </si>
  <si>
    <t>山の手六条</t>
  </si>
  <si>
    <t>山の手七条</t>
  </si>
  <si>
    <t>青葉町</t>
  </si>
  <si>
    <t>厚別北一条</t>
  </si>
  <si>
    <t>厚別北二条</t>
  </si>
  <si>
    <t>厚別北三条</t>
  </si>
  <si>
    <t>厚別北四条</t>
  </si>
  <si>
    <t>厚別北五条</t>
  </si>
  <si>
    <t>厚別北六条</t>
  </si>
  <si>
    <t>厚別中央一条</t>
  </si>
  <si>
    <t>厚別中央二条</t>
  </si>
  <si>
    <t>厚別中央三条</t>
  </si>
  <si>
    <t>厚別中央四条</t>
  </si>
  <si>
    <t>厚別中央五条</t>
  </si>
  <si>
    <t>厚別町上野幌</t>
  </si>
  <si>
    <t>厚別町下野幌</t>
  </si>
  <si>
    <t>厚別町小野幌</t>
  </si>
  <si>
    <t>厚別町山本</t>
  </si>
  <si>
    <t>厚別西</t>
  </si>
  <si>
    <t>厚別西一条</t>
  </si>
  <si>
    <t>厚別西二条</t>
  </si>
  <si>
    <t>厚別西三条</t>
  </si>
  <si>
    <t>厚別西四条</t>
  </si>
  <si>
    <t>厚別西五条</t>
  </si>
  <si>
    <t>厚別東一条</t>
  </si>
  <si>
    <t>厚別東二条</t>
  </si>
  <si>
    <t>厚別東三条</t>
  </si>
  <si>
    <t>厚別東四条</t>
  </si>
  <si>
    <t>厚別東五条</t>
  </si>
  <si>
    <t>厚別南</t>
  </si>
  <si>
    <t>大谷地東</t>
  </si>
  <si>
    <t>大谷地西</t>
  </si>
  <si>
    <t>上野幌一条</t>
  </si>
  <si>
    <t>上野幌二条</t>
  </si>
  <si>
    <t>上野幌三条</t>
  </si>
  <si>
    <t>下野幌テクノパーク</t>
  </si>
  <si>
    <t>もみじ台東</t>
  </si>
  <si>
    <t>もみじ台西</t>
  </si>
  <si>
    <t>もみじ台南</t>
  </si>
  <si>
    <t>もみじ台北</t>
  </si>
  <si>
    <t>曙一条</t>
  </si>
  <si>
    <t>曙二条</t>
  </si>
  <si>
    <t>曙三条</t>
  </si>
  <si>
    <t>曙四条</t>
  </si>
  <si>
    <t>曙五条</t>
  </si>
  <si>
    <t>曙六条</t>
  </si>
  <si>
    <t>曙七条</t>
  </si>
  <si>
    <t>曙八条</t>
  </si>
  <si>
    <t>曙九条</t>
  </si>
  <si>
    <t>曙十条</t>
  </si>
  <si>
    <t>曙十一条</t>
  </si>
  <si>
    <t>曙十二条</t>
  </si>
  <si>
    <t>明日風</t>
  </si>
  <si>
    <t>稲穂一条</t>
  </si>
  <si>
    <t>稲穂二条</t>
  </si>
  <si>
    <t>稲穂三条</t>
  </si>
  <si>
    <t>稲穂四条</t>
  </si>
  <si>
    <t>稲穂五条</t>
  </si>
  <si>
    <t>金山一条</t>
  </si>
  <si>
    <t>金山二条</t>
  </si>
  <si>
    <t>金山三条</t>
  </si>
  <si>
    <t>新発寒一条</t>
  </si>
  <si>
    <t>新発寒二条</t>
  </si>
  <si>
    <t>新発寒三条</t>
  </si>
  <si>
    <t>新発寒四条</t>
  </si>
  <si>
    <t>新発寒五条</t>
  </si>
  <si>
    <t>新発寒六条</t>
  </si>
  <si>
    <t>新発寒七条</t>
  </si>
  <si>
    <t>手稲稲穂</t>
  </si>
  <si>
    <t>手稲金山</t>
  </si>
  <si>
    <t>手稲富丘</t>
  </si>
  <si>
    <t>手稲星置</t>
  </si>
  <si>
    <t>手稲前田</t>
  </si>
  <si>
    <t>手稲山口</t>
  </si>
  <si>
    <t>手稲本町</t>
  </si>
  <si>
    <t>手稲本町一条</t>
  </si>
  <si>
    <t>手稲本町二条</t>
  </si>
  <si>
    <t>手稲本町三条</t>
  </si>
  <si>
    <t>手稲本町四条</t>
  </si>
  <si>
    <t>手稲本町五条</t>
  </si>
  <si>
    <t>手稲本町六条</t>
  </si>
  <si>
    <t>富丘一条</t>
  </si>
  <si>
    <t>富丘二条</t>
  </si>
  <si>
    <t>富丘三条</t>
  </si>
  <si>
    <t>富丘四条</t>
  </si>
  <si>
    <t>富丘五条</t>
  </si>
  <si>
    <t>富丘六条</t>
  </si>
  <si>
    <t>西宮の沢</t>
  </si>
  <si>
    <t>西宮の沢一条</t>
  </si>
  <si>
    <t>西宮の沢二条</t>
  </si>
  <si>
    <t>西宮の沢三条</t>
  </si>
  <si>
    <t>西宮の沢四条</t>
  </si>
  <si>
    <t>西宮の沢五条</t>
  </si>
  <si>
    <t>西宮の沢六条</t>
  </si>
  <si>
    <t>星置一条</t>
  </si>
  <si>
    <t>星置二条</t>
  </si>
  <si>
    <t>星置三条</t>
  </si>
  <si>
    <t>星置南</t>
  </si>
  <si>
    <t>前田一条</t>
  </si>
  <si>
    <t>前田二条</t>
  </si>
  <si>
    <t>前田三条</t>
  </si>
  <si>
    <t>前田四条</t>
  </si>
  <si>
    <t>前田五条</t>
  </si>
  <si>
    <t>前田六条</t>
  </si>
  <si>
    <t>前田七条</t>
  </si>
  <si>
    <t>前田八条</t>
  </si>
  <si>
    <t>前田九条</t>
  </si>
  <si>
    <t>前田十条</t>
  </si>
  <si>
    <t>前田十一条</t>
  </si>
  <si>
    <t>前田十二条</t>
  </si>
  <si>
    <t>前田十三条</t>
  </si>
  <si>
    <t>有明</t>
  </si>
  <si>
    <t>美しが丘一条</t>
  </si>
  <si>
    <t>美しが丘二条</t>
  </si>
  <si>
    <t>美しが丘三条</t>
  </si>
  <si>
    <t>美しが丘四条</t>
  </si>
  <si>
    <t>美しが丘五条</t>
  </si>
  <si>
    <t>北野一条</t>
  </si>
  <si>
    <t>北野二条</t>
  </si>
  <si>
    <t>北野三条</t>
  </si>
  <si>
    <t>北野四条</t>
  </si>
  <si>
    <t>北野五条</t>
  </si>
  <si>
    <t>北野六条</t>
  </si>
  <si>
    <t>北野七条</t>
  </si>
  <si>
    <t>清田</t>
  </si>
  <si>
    <t>清田一条</t>
  </si>
  <si>
    <t>清田二条</t>
  </si>
  <si>
    <t>清田三条</t>
  </si>
  <si>
    <t>清田四条</t>
  </si>
  <si>
    <t>清田五条</t>
  </si>
  <si>
    <t>清田六条</t>
  </si>
  <si>
    <t>清田七条</t>
  </si>
  <si>
    <t>清田八条</t>
  </si>
  <si>
    <t>清田九条</t>
  </si>
  <si>
    <t>清田十条</t>
  </si>
  <si>
    <t>里塚</t>
  </si>
  <si>
    <t>里塚一条</t>
  </si>
  <si>
    <t>里塚二条</t>
  </si>
  <si>
    <t>里塚三条</t>
  </si>
  <si>
    <t>里塚四条</t>
  </si>
  <si>
    <t>里塚緑ケ丘</t>
  </si>
  <si>
    <t>真栄</t>
  </si>
  <si>
    <t>真栄一条</t>
  </si>
  <si>
    <t>真栄三条</t>
  </si>
  <si>
    <t>真栄四条</t>
  </si>
  <si>
    <t>真栄五条</t>
  </si>
  <si>
    <t>真栄六条</t>
  </si>
  <si>
    <t>平岡</t>
  </si>
  <si>
    <t>平岡一条</t>
  </si>
  <si>
    <t>平岡二条</t>
  </si>
  <si>
    <t>平岡三条</t>
  </si>
  <si>
    <t>平岡四条</t>
  </si>
  <si>
    <t>平岡五条</t>
  </si>
  <si>
    <t>平岡六条</t>
  </si>
  <si>
    <t>平岡七条</t>
  </si>
  <si>
    <t>平岡八条</t>
  </si>
  <si>
    <t>平岡九条</t>
  </si>
  <si>
    <t>平岡十条</t>
  </si>
  <si>
    <t>平岡公園</t>
  </si>
  <si>
    <t>平岡公園東</t>
  </si>
  <si>
    <t>真栄二条</t>
    <phoneticPr fontId="7"/>
  </si>
  <si>
    <t>常盤</t>
    <phoneticPr fontId="7"/>
  </si>
  <si>
    <t>北九条東</t>
    <phoneticPr fontId="7"/>
  </si>
  <si>
    <t>北八条東</t>
    <phoneticPr fontId="7"/>
  </si>
  <si>
    <t>北八条東</t>
    <phoneticPr fontId="7"/>
  </si>
  <si>
    <t>北七条東</t>
    <phoneticPr fontId="7"/>
  </si>
  <si>
    <t>北六条東</t>
    <phoneticPr fontId="7"/>
  </si>
  <si>
    <t>北六条東</t>
    <phoneticPr fontId="7"/>
  </si>
  <si>
    <t>北五条東</t>
    <phoneticPr fontId="7"/>
  </si>
  <si>
    <t>北四条東</t>
    <phoneticPr fontId="7"/>
  </si>
  <si>
    <t>北二十条西</t>
    <phoneticPr fontId="7"/>
  </si>
  <si>
    <t>北二十条西</t>
    <phoneticPr fontId="7"/>
  </si>
  <si>
    <t>北十九条西</t>
    <phoneticPr fontId="7"/>
  </si>
  <si>
    <t>北十九条西</t>
    <phoneticPr fontId="7"/>
  </si>
  <si>
    <t>北十八条西</t>
    <phoneticPr fontId="7"/>
  </si>
  <si>
    <t>北十八条西</t>
    <phoneticPr fontId="7"/>
  </si>
  <si>
    <t>北十七条西</t>
    <phoneticPr fontId="7"/>
  </si>
  <si>
    <t>北十七条西</t>
    <phoneticPr fontId="7"/>
  </si>
  <si>
    <t>北十六条西</t>
    <phoneticPr fontId="7"/>
  </si>
  <si>
    <t>北十条西</t>
    <phoneticPr fontId="7"/>
  </si>
  <si>
    <t>北十条西</t>
    <phoneticPr fontId="7"/>
  </si>
  <si>
    <t>北十一条西</t>
    <phoneticPr fontId="7"/>
  </si>
  <si>
    <t>北十二条西</t>
    <phoneticPr fontId="7"/>
  </si>
  <si>
    <t>北十二条西</t>
    <phoneticPr fontId="7"/>
  </si>
  <si>
    <t>北十三条西</t>
    <phoneticPr fontId="7"/>
  </si>
  <si>
    <t>北十四条西</t>
    <phoneticPr fontId="7"/>
  </si>
  <si>
    <t>北十四条西</t>
    <phoneticPr fontId="7"/>
  </si>
  <si>
    <t>北十五条西</t>
    <phoneticPr fontId="7"/>
  </si>
  <si>
    <t>南三十条西</t>
    <phoneticPr fontId="7"/>
  </si>
  <si>
    <t>南三条西</t>
    <phoneticPr fontId="7"/>
  </si>
  <si>
    <t>南二条西</t>
    <phoneticPr fontId="7"/>
  </si>
  <si>
    <t>南一条西</t>
    <phoneticPr fontId="7"/>
  </si>
  <si>
    <t>北六条西</t>
    <phoneticPr fontId="7"/>
  </si>
  <si>
    <t>北五条西</t>
    <phoneticPr fontId="7"/>
  </si>
  <si>
    <t>北四条西</t>
    <phoneticPr fontId="7"/>
  </si>
  <si>
    <t>北三条西</t>
    <phoneticPr fontId="7"/>
  </si>
  <si>
    <t>北三条西</t>
    <phoneticPr fontId="7"/>
  </si>
  <si>
    <t>北二条西</t>
    <phoneticPr fontId="7"/>
  </si>
  <si>
    <t>北一条西</t>
    <phoneticPr fontId="7"/>
  </si>
  <si>
    <t>北一条西</t>
    <phoneticPr fontId="7"/>
  </si>
  <si>
    <t>大通西</t>
    <phoneticPr fontId="7"/>
  </si>
  <si>
    <t>大通西</t>
    <phoneticPr fontId="7"/>
  </si>
  <si>
    <t>藤野</t>
    <phoneticPr fontId="7"/>
  </si>
  <si>
    <t>藤野</t>
    <phoneticPr fontId="7"/>
  </si>
  <si>
    <t>真駒内</t>
    <phoneticPr fontId="7"/>
  </si>
  <si>
    <t>真駒内</t>
    <phoneticPr fontId="7"/>
  </si>
  <si>
    <t>簾舞</t>
    <phoneticPr fontId="7"/>
  </si>
  <si>
    <t>郵便番号</t>
    <rPh sb="0" eb="4">
      <t>ユウビンバンゴウ</t>
    </rPh>
    <phoneticPr fontId="7"/>
  </si>
  <si>
    <t>住所①</t>
    <rPh sb="0" eb="2">
      <t>ジュウショ</t>
    </rPh>
    <phoneticPr fontId="7"/>
  </si>
  <si>
    <t>住所②</t>
    <rPh sb="0" eb="2">
      <t>ジュウショ</t>
    </rPh>
    <phoneticPr fontId="7"/>
  </si>
  <si>
    <t>住所</t>
    <rPh sb="0" eb="2">
      <t>ジュウショ</t>
    </rPh>
    <phoneticPr fontId="7"/>
  </si>
  <si>
    <t>①</t>
    <phoneticPr fontId="7"/>
  </si>
  <si>
    <t>②
丁目・番地</t>
    <rPh sb="2" eb="3">
      <t>チョウ</t>
    </rPh>
    <rPh sb="3" eb="4">
      <t>メ</t>
    </rPh>
    <rPh sb="5" eb="7">
      <t>バンチ</t>
    </rPh>
    <phoneticPr fontId="7"/>
  </si>
  <si>
    <t>欠席</t>
    <rPh sb="0" eb="2">
      <t>ケッセキ</t>
    </rPh>
    <phoneticPr fontId="7"/>
  </si>
  <si>
    <t>No.</t>
    <phoneticPr fontId="7"/>
  </si>
  <si>
    <t>宿泊</t>
    <rPh sb="0" eb="2">
      <t>シュクハク</t>
    </rPh>
    <phoneticPr fontId="7"/>
  </si>
  <si>
    <t>日帰り</t>
    <rPh sb="0" eb="2">
      <t>ヒガエ</t>
    </rPh>
    <phoneticPr fontId="7"/>
  </si>
  <si>
    <t>学校名</t>
    <rPh sb="0" eb="2">
      <t>ガッコウ</t>
    </rPh>
    <rPh sb="2" eb="3">
      <t>ガッコウメイ</t>
    </rPh>
    <phoneticPr fontId="20"/>
  </si>
  <si>
    <t>学校名</t>
    <rPh sb="0" eb="2">
      <t>ガッコウ</t>
    </rPh>
    <rPh sb="2" eb="3">
      <t>メイ</t>
    </rPh>
    <phoneticPr fontId="2"/>
  </si>
  <si>
    <t>学校</t>
    <rPh sb="0" eb="2">
      <t>ガッコウ</t>
    </rPh>
    <phoneticPr fontId="2"/>
  </si>
  <si>
    <t>学校長</t>
    <rPh sb="0" eb="3">
      <t>ガッコウチョウ</t>
    </rPh>
    <phoneticPr fontId="2"/>
  </si>
  <si>
    <t>領　収
請求書３</t>
    <rPh sb="0" eb="1">
      <t>リョウ</t>
    </rPh>
    <rPh sb="2" eb="3">
      <t>オサム</t>
    </rPh>
    <rPh sb="4" eb="7">
      <t>セイキュウショ</t>
    </rPh>
    <phoneticPr fontId="2"/>
  </si>
  <si>
    <t>領   収
請求書２</t>
    <rPh sb="0" eb="1">
      <t>リョウ</t>
    </rPh>
    <rPh sb="4" eb="5">
      <t>オサム</t>
    </rPh>
    <rPh sb="6" eb="9">
      <t>セイキュウショ</t>
    </rPh>
    <phoneticPr fontId="20"/>
  </si>
  <si>
    <t>領   収
請求書１</t>
    <rPh sb="0" eb="1">
      <t>リョウ</t>
    </rPh>
    <rPh sb="4" eb="5">
      <t>オサム</t>
    </rPh>
    <rPh sb="6" eb="8">
      <t>セイキュウ</t>
    </rPh>
    <rPh sb="8" eb="9">
      <t>ショ</t>
    </rPh>
    <phoneticPr fontId="20"/>
  </si>
  <si>
    <t>領　収
請求書５</t>
    <rPh sb="0" eb="1">
      <t>リョウ</t>
    </rPh>
    <rPh sb="2" eb="3">
      <t>オサム</t>
    </rPh>
    <rPh sb="4" eb="7">
      <t>セイキュウショ</t>
    </rPh>
    <phoneticPr fontId="2"/>
  </si>
  <si>
    <t>人　数</t>
    <rPh sb="0" eb="1">
      <t>ヒト</t>
    </rPh>
    <rPh sb="2" eb="3">
      <t>スウ</t>
    </rPh>
    <phoneticPr fontId="2"/>
  </si>
  <si>
    <t>2day一般
（入園料用）</t>
    <rPh sb="4" eb="6">
      <t>イッパン</t>
    </rPh>
    <rPh sb="8" eb="10">
      <t>ニュウエン</t>
    </rPh>
    <rPh sb="10" eb="11">
      <t>リョウ</t>
    </rPh>
    <rPh sb="11" eb="12">
      <t>ヨウ</t>
    </rPh>
    <phoneticPr fontId="7"/>
  </si>
  <si>
    <t>2day一般
（施設使用料用）</t>
    <rPh sb="4" eb="6">
      <t>イッパン</t>
    </rPh>
    <rPh sb="8" eb="10">
      <t>シセツ</t>
    </rPh>
    <rPh sb="10" eb="12">
      <t>シヨウ</t>
    </rPh>
    <rPh sb="12" eb="13">
      <t>リョウ</t>
    </rPh>
    <rPh sb="13" eb="14">
      <t>ヨウ</t>
    </rPh>
    <phoneticPr fontId="7"/>
  </si>
  <si>
    <t>無料、減免対象者
　（小学生未満、手帳所持者・介添者）</t>
    <rPh sb="0" eb="2">
      <t>ムリョウ</t>
    </rPh>
    <rPh sb="3" eb="5">
      <t>ゲンメン</t>
    </rPh>
    <rPh sb="5" eb="7">
      <t>タイショウ</t>
    </rPh>
    <rPh sb="7" eb="8">
      <t>シャ</t>
    </rPh>
    <rPh sb="11" eb="14">
      <t>ショウガクセイ</t>
    </rPh>
    <rPh sb="14" eb="16">
      <t>ミマン</t>
    </rPh>
    <rPh sb="17" eb="19">
      <t>テチョウ</t>
    </rPh>
    <rPh sb="19" eb="22">
      <t>ショジシャ</t>
    </rPh>
    <rPh sb="23" eb="25">
      <t>カイゾ</t>
    </rPh>
    <rPh sb="25" eb="26">
      <t>シャ</t>
    </rPh>
    <phoneticPr fontId="20"/>
  </si>
  <si>
    <t>領収
請求書１</t>
    <rPh sb="0" eb="1">
      <t>リョウ</t>
    </rPh>
    <rPh sb="1" eb="2">
      <t>オサム</t>
    </rPh>
    <rPh sb="3" eb="5">
      <t>セイキュウ</t>
    </rPh>
    <rPh sb="5" eb="6">
      <t>ショ</t>
    </rPh>
    <phoneticPr fontId="20"/>
  </si>
  <si>
    <t>領収
請求書２</t>
    <rPh sb="0" eb="1">
      <t>リョウ</t>
    </rPh>
    <rPh sb="1" eb="2">
      <t>オサム</t>
    </rPh>
    <rPh sb="3" eb="5">
      <t>セイキュウ</t>
    </rPh>
    <rPh sb="5" eb="6">
      <t>ショ</t>
    </rPh>
    <phoneticPr fontId="20"/>
  </si>
  <si>
    <t>領収
請求書３</t>
    <rPh sb="0" eb="1">
      <t>リョウ</t>
    </rPh>
    <rPh sb="1" eb="2">
      <t>オサム</t>
    </rPh>
    <rPh sb="3" eb="5">
      <t>セイキュウ</t>
    </rPh>
    <rPh sb="5" eb="6">
      <t>ショ</t>
    </rPh>
    <phoneticPr fontId="20"/>
  </si>
  <si>
    <t>領収
請求書４</t>
    <rPh sb="0" eb="1">
      <t>リョウ</t>
    </rPh>
    <rPh sb="1" eb="2">
      <t>オサム</t>
    </rPh>
    <rPh sb="3" eb="5">
      <t>セイキュウ</t>
    </rPh>
    <rPh sb="5" eb="6">
      <t>ショ</t>
    </rPh>
    <phoneticPr fontId="20"/>
  </si>
  <si>
    <t>食事代　小計</t>
    <rPh sb="0" eb="3">
      <t>ショクジダイ</t>
    </rPh>
    <rPh sb="4" eb="6">
      <t>ショウケイ</t>
    </rPh>
    <phoneticPr fontId="2"/>
  </si>
  <si>
    <t>【当日現金払い】のみ</t>
    <phoneticPr fontId="20"/>
  </si>
  <si>
    <t>【当日現金払い】・【後納払い】が選択可</t>
    <rPh sb="1" eb="3">
      <t>トウジツ</t>
    </rPh>
    <rPh sb="16" eb="19">
      <t>センタクカ</t>
    </rPh>
    <phoneticPr fontId="2"/>
  </si>
  <si>
    <t>その他料金　小計</t>
    <rPh sb="2" eb="3">
      <t>タ</t>
    </rPh>
    <rPh sb="3" eb="5">
      <t>リョウキン</t>
    </rPh>
    <rPh sb="6" eb="8">
      <t>ショウケイ</t>
    </rPh>
    <phoneticPr fontId="2"/>
  </si>
  <si>
    <t>2day一般
介添</t>
    <rPh sb="4" eb="6">
      <t>イッパン</t>
    </rPh>
    <rPh sb="7" eb="9">
      <t>カイゾエ</t>
    </rPh>
    <phoneticPr fontId="7"/>
  </si>
  <si>
    <t>施設使用料日帰合計延日数</t>
    <rPh sb="0" eb="2">
      <t>シセツ</t>
    </rPh>
    <rPh sb="2" eb="4">
      <t>シヨウ</t>
    </rPh>
    <rPh sb="4" eb="5">
      <t>リョウ</t>
    </rPh>
    <rPh sb="5" eb="7">
      <t>ヒガエ</t>
    </rPh>
    <rPh sb="7" eb="9">
      <t>ゴウケイ</t>
    </rPh>
    <rPh sb="9" eb="10">
      <t>ノ</t>
    </rPh>
    <rPh sb="10" eb="12">
      <t>ニッスウ</t>
    </rPh>
    <phoneticPr fontId="2"/>
  </si>
  <si>
    <t>施設使用料宿泊合計延日数</t>
    <rPh sb="0" eb="2">
      <t>シセツ</t>
    </rPh>
    <rPh sb="2" eb="4">
      <t>シヨウ</t>
    </rPh>
    <rPh sb="4" eb="5">
      <t>リョウ</t>
    </rPh>
    <rPh sb="5" eb="7">
      <t>シュクハク</t>
    </rPh>
    <rPh sb="7" eb="9">
      <t>ゴウケイ</t>
    </rPh>
    <rPh sb="9" eb="10">
      <t>ノ</t>
    </rPh>
    <rPh sb="10" eb="12">
      <t>ニッスウ</t>
    </rPh>
    <phoneticPr fontId="7"/>
  </si>
  <si>
    <t>領収
請求書５</t>
    <rPh sb="0" eb="1">
      <t>リョウ</t>
    </rPh>
    <rPh sb="1" eb="2">
      <t>オサム</t>
    </rPh>
    <rPh sb="3" eb="5">
      <t>セイキュウ</t>
    </rPh>
    <rPh sb="5" eb="6">
      <t>ショ</t>
    </rPh>
    <phoneticPr fontId="20"/>
  </si>
  <si>
    <t>領収
請求書６</t>
    <phoneticPr fontId="2"/>
  </si>
  <si>
    <t>領収
請求書７</t>
    <phoneticPr fontId="2"/>
  </si>
  <si>
    <t>人　　数</t>
    <phoneticPr fontId="2"/>
  </si>
  <si>
    <t>総合計　①　※クラフト無し</t>
    <rPh sb="0" eb="1">
      <t>ソウ</t>
    </rPh>
    <rPh sb="1" eb="2">
      <t>ゴウ</t>
    </rPh>
    <rPh sb="11" eb="12">
      <t>ナ</t>
    </rPh>
    <phoneticPr fontId="2"/>
  </si>
  <si>
    <t>総合計①-入園料</t>
    <rPh sb="0" eb="1">
      <t>ソウ</t>
    </rPh>
    <rPh sb="1" eb="2">
      <t>ゴウ</t>
    </rPh>
    <rPh sb="5" eb="7">
      <t>ニュウエン</t>
    </rPh>
    <rPh sb="7" eb="8">
      <t>リョウ</t>
    </rPh>
    <phoneticPr fontId="2"/>
  </si>
  <si>
    <t>総合計②-入園料</t>
    <rPh sb="0" eb="1">
      <t>ソウ</t>
    </rPh>
    <rPh sb="1" eb="2">
      <t>ゴウ</t>
    </rPh>
    <rPh sb="5" eb="8">
      <t>ニュウエンリョウ</t>
    </rPh>
    <phoneticPr fontId="2"/>
  </si>
  <si>
    <t>総合計　①'　※クラフト有り</t>
    <rPh sb="0" eb="1">
      <t>ソウ</t>
    </rPh>
    <rPh sb="1" eb="3">
      <t>ゴウケイ</t>
    </rPh>
    <rPh sb="12" eb="13">
      <t>アリ</t>
    </rPh>
    <phoneticPr fontId="2"/>
  </si>
  <si>
    <t>学校住所シート</t>
    <rPh sb="0" eb="2">
      <t>ガッコウ</t>
    </rPh>
    <rPh sb="2" eb="4">
      <t>ジュウショ</t>
    </rPh>
    <phoneticPr fontId="2"/>
  </si>
  <si>
    <t>中央区</t>
    <rPh sb="0" eb="3">
      <t>チュウオウク</t>
    </rPh>
    <phoneticPr fontId="2"/>
  </si>
  <si>
    <t>学校名</t>
    <rPh sb="0" eb="3">
      <t>ガッコウメイ</t>
    </rPh>
    <phoneticPr fontId="2"/>
  </si>
  <si>
    <t>よみがな</t>
    <phoneticPr fontId="2"/>
  </si>
  <si>
    <t>郵便番号</t>
    <rPh sb="0" eb="4">
      <t>ユウビンバンゴウ</t>
    </rPh>
    <phoneticPr fontId="2"/>
  </si>
  <si>
    <t>電話番号</t>
    <rPh sb="0" eb="2">
      <t>デンワ</t>
    </rPh>
    <rPh sb="2" eb="4">
      <t>バンゴウ</t>
    </rPh>
    <phoneticPr fontId="2"/>
  </si>
  <si>
    <t>FAX番号</t>
    <rPh sb="3" eb="5">
      <t>バンゴウ</t>
    </rPh>
    <phoneticPr fontId="2"/>
  </si>
  <si>
    <t>札幌市立中央小学校</t>
    <rPh sb="0" eb="4">
      <t>サッポロシリツ</t>
    </rPh>
    <phoneticPr fontId="2"/>
  </si>
  <si>
    <t>さっぽろしりつちゅうおうしょうがっこう</t>
    <phoneticPr fontId="2"/>
  </si>
  <si>
    <t>011-261-6568</t>
    <phoneticPr fontId="2"/>
  </si>
  <si>
    <t>札幌市立山鼻小学校</t>
    <rPh sb="0" eb="4">
      <t>サッポロシリツ</t>
    </rPh>
    <phoneticPr fontId="7"/>
  </si>
  <si>
    <t>さっぽろしりつやまはなしょうがっこう</t>
    <phoneticPr fontId="7"/>
  </si>
  <si>
    <t>011-511-6616</t>
    <phoneticPr fontId="7"/>
  </si>
  <si>
    <t>札幌市立幌西小学校</t>
    <rPh sb="0" eb="4">
      <t>サッポロシリツ</t>
    </rPh>
    <phoneticPr fontId="7"/>
  </si>
  <si>
    <t>さっぽろしりつこうさいしょうがっこう</t>
    <phoneticPr fontId="7"/>
  </si>
  <si>
    <t>011-561-2201</t>
    <phoneticPr fontId="7"/>
  </si>
  <si>
    <t>札幌市立桑園小学校</t>
    <rPh sb="0" eb="4">
      <t>サッポロシリツ</t>
    </rPh>
    <phoneticPr fontId="7"/>
  </si>
  <si>
    <t>さっぽろしりつそうえんしょうがっこう</t>
    <phoneticPr fontId="7"/>
  </si>
  <si>
    <t>011-611-4211</t>
    <phoneticPr fontId="7"/>
  </si>
  <si>
    <t>さっぽろしりつこうなんしょうがっこう</t>
    <phoneticPr fontId="7"/>
  </si>
  <si>
    <t>011-521-0214</t>
    <phoneticPr fontId="7"/>
  </si>
  <si>
    <t>札幌市立幌南小学校</t>
    <rPh sb="0" eb="2">
      <t>サッポロ</t>
    </rPh>
    <rPh sb="2" eb="4">
      <t>シリツ</t>
    </rPh>
    <phoneticPr fontId="7"/>
  </si>
  <si>
    <t>011-631-3437</t>
    <phoneticPr fontId="7"/>
  </si>
  <si>
    <t>札幌市立円山小学校</t>
    <rPh sb="0" eb="4">
      <t>サッポロシリツ</t>
    </rPh>
    <phoneticPr fontId="7"/>
  </si>
  <si>
    <t>さっぽろしりつまるやましょうがっこう</t>
    <phoneticPr fontId="7"/>
  </si>
  <si>
    <t>011-261-6596</t>
    <phoneticPr fontId="7"/>
  </si>
  <si>
    <t>札幌市立二条小学校</t>
    <rPh sb="0" eb="4">
      <t>サッポロシリツ</t>
    </rPh>
    <phoneticPr fontId="7"/>
  </si>
  <si>
    <t>さっぽろしりつにじょうしょうがっこう</t>
    <phoneticPr fontId="7"/>
  </si>
  <si>
    <t>011-631-6361</t>
    <phoneticPr fontId="7"/>
  </si>
  <si>
    <t>札幌市立日新小学校</t>
    <rPh sb="0" eb="4">
      <t>サッポロシリツ</t>
    </rPh>
    <phoneticPr fontId="7"/>
  </si>
  <si>
    <t>さっぽろしりつにっしんしょうがっこう</t>
    <phoneticPr fontId="7"/>
  </si>
  <si>
    <t>011-561-5118</t>
    <phoneticPr fontId="7"/>
  </si>
  <si>
    <t>さっぽろしりつみどりおかしょうがっこう</t>
    <phoneticPr fontId="7"/>
  </si>
  <si>
    <t>札幌市立緑丘小学校</t>
    <rPh sb="0" eb="4">
      <t>サッポロシリツ</t>
    </rPh>
    <phoneticPr fontId="7"/>
  </si>
  <si>
    <t>札幌市立あいの里西小学校</t>
    <rPh sb="0" eb="4">
      <t>サッポロシリツ</t>
    </rPh>
    <rPh sb="7" eb="8">
      <t>サト</t>
    </rPh>
    <rPh sb="8" eb="9">
      <t>ニシ</t>
    </rPh>
    <rPh sb="9" eb="12">
      <t>ショウガッコウ</t>
    </rPh>
    <phoneticPr fontId="61"/>
  </si>
  <si>
    <t>札幌市立旭小学校</t>
  </si>
  <si>
    <t>札幌市立厚別通小学校</t>
  </si>
  <si>
    <t>札幌市立厚別東小学校</t>
  </si>
  <si>
    <t>札幌市立東橋小学校</t>
    <phoneticPr fontId="61"/>
  </si>
  <si>
    <t>札幌市立あやめ野小学校</t>
  </si>
  <si>
    <t>札幌市立有明小学校</t>
    <phoneticPr fontId="61"/>
  </si>
  <si>
    <t>札幌市立石山東小学校</t>
    <rPh sb="0" eb="4">
      <t>サッポロシリツ</t>
    </rPh>
    <rPh sb="4" eb="6">
      <t>イシヤマ</t>
    </rPh>
    <rPh sb="6" eb="7">
      <t>ヒガシ</t>
    </rPh>
    <rPh sb="7" eb="10">
      <t>ショウガッコウ</t>
    </rPh>
    <phoneticPr fontId="61"/>
  </si>
  <si>
    <t>札幌市立稲積小学校</t>
    <rPh sb="0" eb="4">
      <t>サッポロシリツ</t>
    </rPh>
    <rPh sb="4" eb="6">
      <t>イナヅミ</t>
    </rPh>
    <rPh sb="6" eb="9">
      <t>ショウガッコウ</t>
    </rPh>
    <phoneticPr fontId="61"/>
  </si>
  <si>
    <t>札幌市立稲穂小学校</t>
    <rPh sb="0" eb="4">
      <t>サッポロシリツ</t>
    </rPh>
    <rPh sb="4" eb="6">
      <t>イナホ</t>
    </rPh>
    <rPh sb="6" eb="9">
      <t>ショウガッコウ</t>
    </rPh>
    <phoneticPr fontId="61"/>
  </si>
  <si>
    <t>札幌市立美しが丘小学校</t>
    <phoneticPr fontId="61"/>
  </si>
  <si>
    <t>札幌市立大倉山小学校</t>
    <phoneticPr fontId="61"/>
  </si>
  <si>
    <t>札幌市立大谷地小学校</t>
  </si>
  <si>
    <t>札幌市立大谷地東小学校</t>
  </si>
  <si>
    <t>札幌市立開成小学校</t>
    <phoneticPr fontId="61"/>
  </si>
  <si>
    <t>札幌市立上白石小学校</t>
  </si>
  <si>
    <t>札幌市立川北小学校</t>
    <phoneticPr fontId="61"/>
  </si>
  <si>
    <t>札幌市立菊水小学校</t>
    <phoneticPr fontId="61"/>
  </si>
  <si>
    <t>札幌市立北九条小学校</t>
    <phoneticPr fontId="61"/>
  </si>
  <si>
    <t>札幌市立北郷小学校</t>
    <phoneticPr fontId="61"/>
  </si>
  <si>
    <t>札幌市立北白石小学校</t>
    <phoneticPr fontId="61"/>
  </si>
  <si>
    <t>札幌市立北園小学校</t>
  </si>
  <si>
    <t>札幌市立北野小学校</t>
  </si>
  <si>
    <t>札幌市立北野台小学校</t>
  </si>
  <si>
    <t>札幌市立北野平小学校</t>
    <phoneticPr fontId="61"/>
  </si>
  <si>
    <t>札幌市立清田小学校</t>
  </si>
  <si>
    <t>札幌市立清田緑小学校</t>
    <phoneticPr fontId="61"/>
  </si>
  <si>
    <t>札幌市立清田南小学校</t>
  </si>
  <si>
    <t>札幌市立鴻城小学校</t>
    <phoneticPr fontId="61"/>
  </si>
  <si>
    <t>札幌市立幌東小学校</t>
    <phoneticPr fontId="61"/>
  </si>
  <si>
    <t>札幌市立幌北小学校</t>
    <phoneticPr fontId="61"/>
  </si>
  <si>
    <t>札幌市立琴似中央小学校</t>
    <phoneticPr fontId="61"/>
  </si>
  <si>
    <t>札幌市立栄小学校</t>
    <phoneticPr fontId="61"/>
  </si>
  <si>
    <t>札幌市立栄西小学校</t>
    <phoneticPr fontId="61"/>
  </si>
  <si>
    <t>札幌市立栄南小学校</t>
    <phoneticPr fontId="61"/>
  </si>
  <si>
    <t>札幌市立札苗北小学校</t>
  </si>
  <si>
    <t>札幌市立三角山小学校</t>
  </si>
  <si>
    <t>札幌市立三里塚小学校</t>
  </si>
  <si>
    <t>札幌市立資生館小学校</t>
  </si>
  <si>
    <t>札幌市立信濃小学校</t>
  </si>
  <si>
    <t>札幌市立篠路小学校</t>
  </si>
  <si>
    <t>札幌市立しらかば台小学校</t>
    <phoneticPr fontId="61"/>
  </si>
  <si>
    <t>札幌市立白石小学校</t>
  </si>
  <si>
    <t>札幌市立真栄小学校</t>
    <phoneticPr fontId="61"/>
  </si>
  <si>
    <t>札幌市立新琴似北小学校</t>
  </si>
  <si>
    <t>札幌市立新琴似西小学校</t>
    <phoneticPr fontId="61"/>
  </si>
  <si>
    <t>札幌市立新発寒小学校</t>
  </si>
  <si>
    <t>札幌市立新陽小学校</t>
    <phoneticPr fontId="61"/>
  </si>
  <si>
    <t>札幌市立新陵小学校</t>
  </si>
  <si>
    <t>札幌市立新陵東小学校</t>
  </si>
  <si>
    <t>札幌市立澄川小学校</t>
  </si>
  <si>
    <t>札幌市立澄川西小学校</t>
  </si>
  <si>
    <t>札幌市立西園小学校</t>
    <phoneticPr fontId="61"/>
  </si>
  <si>
    <t>札幌太平小学校</t>
    <phoneticPr fontId="61"/>
  </si>
  <si>
    <t>札幌市立太平南小学校</t>
  </si>
  <si>
    <t>札幌市立拓北小学校</t>
    <phoneticPr fontId="61"/>
  </si>
  <si>
    <t>札幌市立月寒小学校</t>
  </si>
  <si>
    <t>札幌市立月寒東小学校</t>
    <phoneticPr fontId="61"/>
  </si>
  <si>
    <t>札幌市立手稲鉄北小学校</t>
  </si>
  <si>
    <t>札幌市立手稲西小学校</t>
  </si>
  <si>
    <t>札幌市立手稲東小学校</t>
    <phoneticPr fontId="61"/>
  </si>
  <si>
    <t>札幌市立東園小学校</t>
  </si>
  <si>
    <t>札幌市立東光小学校</t>
  </si>
  <si>
    <t>札幌市立常盤小学校</t>
  </si>
  <si>
    <t>札幌市立富丘小学校</t>
  </si>
  <si>
    <t>札幌市立豊園小学校</t>
    <phoneticPr fontId="61"/>
  </si>
  <si>
    <t>札幌市立豊平小学校</t>
    <phoneticPr fontId="61"/>
  </si>
  <si>
    <t>札幌市立屯田小学校</t>
    <phoneticPr fontId="61"/>
  </si>
  <si>
    <t>札幌市立屯田北小学校</t>
  </si>
  <si>
    <t>札幌市立屯田西小学校</t>
    <phoneticPr fontId="61"/>
  </si>
  <si>
    <t>札幌市立苗穂小学校</t>
  </si>
  <si>
    <t>札幌市立中沼小学校</t>
    <phoneticPr fontId="61"/>
  </si>
  <si>
    <t>札幌市立中の島小学校</t>
    <phoneticPr fontId="61"/>
  </si>
  <si>
    <t>札幌市立南郷小学校</t>
    <phoneticPr fontId="61"/>
  </si>
  <si>
    <t>札幌市立西小学校</t>
    <phoneticPr fontId="61"/>
  </si>
  <si>
    <t>札幌市立西岡小学校</t>
    <phoneticPr fontId="61"/>
  </si>
  <si>
    <t>札幌市立西岡北小学校</t>
  </si>
  <si>
    <t>札幌市立西岡南小学校</t>
    <phoneticPr fontId="61"/>
  </si>
  <si>
    <t>札幌市立西白石小学校</t>
    <phoneticPr fontId="61"/>
  </si>
  <si>
    <t>札幌市立西野小学校</t>
  </si>
  <si>
    <t>札幌市立西野第二小学校</t>
  </si>
  <si>
    <t>札幌市立二十四軒小学校</t>
    <phoneticPr fontId="61"/>
  </si>
  <si>
    <t>札幌市立八軒小学校</t>
  </si>
  <si>
    <t>札幌市立八軒北小学校</t>
    <phoneticPr fontId="61"/>
  </si>
  <si>
    <t>札幌市立八軒西小学校</t>
  </si>
  <si>
    <t>札幌市立発寒小学校</t>
    <phoneticPr fontId="61"/>
  </si>
  <si>
    <t>札幌市立発寒西小学校</t>
    <phoneticPr fontId="61"/>
  </si>
  <si>
    <t>札幌市立発寒東小学校</t>
    <phoneticPr fontId="61"/>
  </si>
  <si>
    <t>札幌市立発寒南小学校</t>
  </si>
  <si>
    <t>札幌市立茨戸小学校</t>
  </si>
  <si>
    <t>札幌市立東川下小学校</t>
  </si>
  <si>
    <t>札幌市立東札幌小学校</t>
    <phoneticPr fontId="61"/>
  </si>
  <si>
    <t>札幌市立東白石小学校</t>
    <phoneticPr fontId="61"/>
  </si>
  <si>
    <t>札幌市立東苗穂小学校</t>
    <phoneticPr fontId="61"/>
  </si>
  <si>
    <t>札幌市立東山小学校</t>
  </si>
  <si>
    <t>札幌市立羊丘小学校</t>
    <phoneticPr fontId="61"/>
  </si>
  <si>
    <t>札幌市立平岡小学校</t>
    <phoneticPr fontId="61"/>
  </si>
  <si>
    <t>札幌市立平岡公園小学校</t>
  </si>
  <si>
    <t>札幌市立平岡中央小学校</t>
  </si>
  <si>
    <t>札幌市立平岡南小学校</t>
  </si>
  <si>
    <t>札幌市立平岸小学校</t>
  </si>
  <si>
    <t>札幌市立平岸高台小学校</t>
  </si>
  <si>
    <t>札幌市立平岸西小学校</t>
  </si>
  <si>
    <t>札幌市立福移小学校</t>
  </si>
  <si>
    <t>札幌市立福井野小学校</t>
  </si>
  <si>
    <t>札幌市立福住小学校</t>
  </si>
  <si>
    <t>札幌市立伏古小学校</t>
  </si>
  <si>
    <t>札幌市立伏古北小学校</t>
  </si>
  <si>
    <t>札幌市立藤野小学校</t>
  </si>
  <si>
    <t>札幌市立藤の沢小学校</t>
  </si>
  <si>
    <t>札幌市立藤野南小学校</t>
  </si>
  <si>
    <t>札幌市立伏見小学校</t>
  </si>
  <si>
    <t>札幌市立平和小学校</t>
  </si>
  <si>
    <t>札幌市立平和通小学校</t>
  </si>
  <si>
    <t>札幌市立北都小学校</t>
    <phoneticPr fontId="61"/>
  </si>
  <si>
    <t>札幌市立北陽小学校</t>
  </si>
  <si>
    <t>札幌市立星置東小学校</t>
  </si>
  <si>
    <t>札幌市立北光小学校</t>
  </si>
  <si>
    <t>札幌市立本郷小学校</t>
  </si>
  <si>
    <t>札幌市立本町小学校</t>
  </si>
  <si>
    <t>札幌市立本通小学校</t>
  </si>
  <si>
    <t>札幌市立前田小学校</t>
  </si>
  <si>
    <t>札幌市立前田北小学校</t>
  </si>
  <si>
    <t>札幌市立前田中央小学校</t>
  </si>
  <si>
    <t>札幌市立真駒内公園小学校</t>
  </si>
  <si>
    <t>札幌市立真駒内桜山小学校</t>
  </si>
  <si>
    <t>札幌市立美香保小学校</t>
  </si>
  <si>
    <t>札幌市立簾舞小学校</t>
  </si>
  <si>
    <t>札幌市立美園小学校</t>
    <phoneticPr fontId="61"/>
  </si>
  <si>
    <t>札幌市立みどり小学校</t>
  </si>
  <si>
    <t>札幌市立南小学校</t>
  </si>
  <si>
    <t>札幌市立南白石小学校</t>
  </si>
  <si>
    <t>札幌市立南月寒小学校</t>
  </si>
  <si>
    <t>札幌市立南の沢小学校</t>
  </si>
  <si>
    <t>札幌市立宮の森小学校</t>
  </si>
  <si>
    <t>札幌市立明園小学校</t>
  </si>
  <si>
    <t>札幌市立藻岩小学校</t>
  </si>
  <si>
    <t>札幌市立藻岩南小学校</t>
  </si>
  <si>
    <t>札幌市立元町北小学校</t>
  </si>
  <si>
    <t>札幌市立もみじの丘小学校</t>
  </si>
  <si>
    <t>札幌市立もみじの森小学校</t>
  </si>
  <si>
    <t>札幌市立山の手小学校</t>
  </si>
  <si>
    <t>札幌市立山の手南小学校</t>
  </si>
  <si>
    <t>札幌市立山鼻南小学校</t>
  </si>
  <si>
    <t>札幌市立百合が原小学校</t>
  </si>
  <si>
    <t>札幌市立米里小学校</t>
  </si>
  <si>
    <t>札幌市立和光小学校</t>
  </si>
  <si>
    <t>札幌市立豊成養護学校</t>
  </si>
  <si>
    <t>札幌市立北翔養護学校</t>
  </si>
  <si>
    <t>札幌市立山の手養護学校</t>
  </si>
  <si>
    <t>北海道教育大学附属札幌小学校</t>
  </si>
  <si>
    <t>064-0953</t>
    <phoneticPr fontId="61"/>
  </si>
  <si>
    <t>064-0954</t>
    <phoneticPr fontId="61"/>
  </si>
  <si>
    <t>064-0918</t>
    <phoneticPr fontId="61"/>
  </si>
  <si>
    <t>064-0929</t>
    <phoneticPr fontId="61"/>
  </si>
  <si>
    <t>060-0063</t>
    <phoneticPr fontId="61"/>
  </si>
  <si>
    <t>さっぽろしりつおおくらやましょうがっこう</t>
    <phoneticPr fontId="7"/>
  </si>
  <si>
    <t>さっぽろしりつさんかくやましょうがっこう</t>
    <phoneticPr fontId="7"/>
  </si>
  <si>
    <t>さっぽろしりつみやのもりしょうがっこう</t>
    <phoneticPr fontId="7"/>
  </si>
  <si>
    <t>さっぽろしりつふしみしょうがっこう</t>
    <phoneticPr fontId="7"/>
  </si>
  <si>
    <t>さっぽろしりつやまはなみなみしょうがっこう</t>
    <phoneticPr fontId="7"/>
  </si>
  <si>
    <t>さっぽろしりつしせいかんしょうがっこう</t>
    <phoneticPr fontId="7"/>
  </si>
  <si>
    <t>番号</t>
    <rPh sb="0" eb="2">
      <t>バンゴウ</t>
    </rPh>
    <phoneticPr fontId="7"/>
  </si>
  <si>
    <t>さっぽろしりつやまのてみなみしょうがっこう</t>
    <phoneticPr fontId="7"/>
  </si>
  <si>
    <t>さっぽろしりつやまのてしょうがっこう</t>
    <phoneticPr fontId="7"/>
  </si>
  <si>
    <t>さっぽろしりつやまのてようごがっこう</t>
    <phoneticPr fontId="7"/>
  </si>
  <si>
    <t>さっぽろしりつせいえんしょうがっこう</t>
    <phoneticPr fontId="7"/>
  </si>
  <si>
    <t>さっぽろしりつていねひがししょうがっこう</t>
    <phoneticPr fontId="7"/>
  </si>
  <si>
    <t>さっぽろしりつにしのしょうがっこう</t>
    <phoneticPr fontId="7"/>
  </si>
  <si>
    <t>さっぽろしりつにしのだいにしょうがっこう</t>
    <phoneticPr fontId="7"/>
  </si>
  <si>
    <t>さっぽろしりつにじゅうよんけんしょうがっこう</t>
    <phoneticPr fontId="7"/>
  </si>
  <si>
    <t>さっぽろしりつはちけんにししょうがっこう</t>
    <phoneticPr fontId="7"/>
  </si>
  <si>
    <t>さっぽろしりつはちけんしょうがっこう</t>
    <phoneticPr fontId="7"/>
  </si>
  <si>
    <t>さっぽろしりつことにちゅうおうしょうがっこう</t>
    <phoneticPr fontId="7"/>
  </si>
  <si>
    <t>さっぽろしりつはちけんきたしょうがっこう</t>
    <phoneticPr fontId="7"/>
  </si>
  <si>
    <t>さっぽろしりつはっさむしょうがっこう</t>
    <phoneticPr fontId="7"/>
  </si>
  <si>
    <t>さっぽろしりつほくしょうようごがっこう</t>
    <phoneticPr fontId="7"/>
  </si>
  <si>
    <t>区</t>
    <rPh sb="0" eb="1">
      <t>ク</t>
    </rPh>
    <phoneticPr fontId="7"/>
  </si>
  <si>
    <t>さっぽろしりつはっさむひがししょうがっこう</t>
    <phoneticPr fontId="7"/>
  </si>
  <si>
    <t>さっぽろしりつはっさむみなみしょうがっこう</t>
    <phoneticPr fontId="7"/>
  </si>
  <si>
    <t>さっぽろしりつはっさむにししょうがっこう</t>
    <phoneticPr fontId="7"/>
  </si>
  <si>
    <t>さっぽろしりつにししょうがっこう</t>
    <phoneticPr fontId="7"/>
  </si>
  <si>
    <t>さっぽろしりつふくいのしょうがっこう</t>
    <phoneticPr fontId="7"/>
  </si>
  <si>
    <t>さっぽろしりつへいわしょうがっこう</t>
    <phoneticPr fontId="7"/>
  </si>
  <si>
    <t>清田区</t>
    <rPh sb="0" eb="3">
      <t>キヨタク</t>
    </rPh>
    <phoneticPr fontId="7"/>
  </si>
  <si>
    <t>さっぽろしりつきよたしょうがっこう</t>
    <phoneticPr fontId="7"/>
  </si>
  <si>
    <t>さっぽろしりつきよたみなみしょうがっこう</t>
    <phoneticPr fontId="7"/>
  </si>
  <si>
    <t>さっぽろしりつきよたみどりしょうがっこう</t>
    <phoneticPr fontId="7"/>
  </si>
  <si>
    <t>さっぽろしりつしんえいしょうがっこう</t>
    <phoneticPr fontId="7"/>
  </si>
  <si>
    <t>さっぽしりつうつくしがおかしょうがっこう</t>
    <phoneticPr fontId="7"/>
  </si>
  <si>
    <t>札幌市立美しが丘緑小学校</t>
    <phoneticPr fontId="7"/>
  </si>
  <si>
    <t>さっぽろしりつうつくしがおかみどりしょうがっこう</t>
    <phoneticPr fontId="7"/>
  </si>
  <si>
    <t>さっぽろしりつひらおかみなみしょうがっこう</t>
    <phoneticPr fontId="7"/>
  </si>
  <si>
    <t>さっぽろしりつひらおかちゅうおうしょうがっこう</t>
    <phoneticPr fontId="7"/>
  </si>
  <si>
    <t>さっぽろしりつひらおかしょうがっこう</t>
    <phoneticPr fontId="7"/>
  </si>
  <si>
    <t>さっぽろしりつひらおかこうえんしょうがっこう</t>
    <phoneticPr fontId="7"/>
  </si>
  <si>
    <t>さっぽろしりつきたのだいらしょうがっこう</t>
    <phoneticPr fontId="7"/>
  </si>
  <si>
    <t>さっぽろしりつきたのしょうがっこう</t>
    <phoneticPr fontId="7"/>
  </si>
  <si>
    <t>さっぽろしりつきたのだいしょうがっこう</t>
    <phoneticPr fontId="7"/>
  </si>
  <si>
    <t>さっぽろしりつありあけしょうがっこう</t>
    <phoneticPr fontId="7"/>
  </si>
  <si>
    <t>さっぽろしりつさんりづかしょうがっこう</t>
    <phoneticPr fontId="7"/>
  </si>
  <si>
    <t>札幌市立手稲北小学校</t>
    <phoneticPr fontId="61"/>
  </si>
  <si>
    <t>札幌市立手稲中央小学校</t>
    <phoneticPr fontId="61"/>
  </si>
  <si>
    <t>札幌市立手稲山口小学校</t>
    <phoneticPr fontId="61"/>
  </si>
  <si>
    <t>札幌市立西宮の沢小学校</t>
    <phoneticPr fontId="61"/>
  </si>
  <si>
    <t>手稲区</t>
    <rPh sb="0" eb="3">
      <t>テイネク</t>
    </rPh>
    <phoneticPr fontId="7"/>
  </si>
  <si>
    <t>さっぽろしりつていねにししょうがっこう</t>
    <phoneticPr fontId="7"/>
  </si>
  <si>
    <t>さっぽろしりついなほしょうがっこう</t>
    <phoneticPr fontId="7"/>
  </si>
  <si>
    <t>さっぽろしりつていねきたしょうがっこう</t>
    <phoneticPr fontId="7"/>
  </si>
  <si>
    <t>さっぽろしりつていねてつほくしょうがっこう</t>
    <phoneticPr fontId="7"/>
  </si>
  <si>
    <t>さっぽろしりつていねちゅうおうしょうがっこう</t>
    <phoneticPr fontId="7"/>
  </si>
  <si>
    <t>さっぽろしりつていねやまぐちしょうがっこう</t>
    <phoneticPr fontId="7"/>
  </si>
  <si>
    <t>さっぽろしりつしんはっさむしょうがっこう</t>
    <phoneticPr fontId="7"/>
  </si>
  <si>
    <t>さっぽろしりつしんりょうひがししょうがっこう</t>
    <phoneticPr fontId="7"/>
  </si>
  <si>
    <t>さっぽろしりつしんりょうしょうがっこう</t>
    <phoneticPr fontId="7"/>
  </si>
  <si>
    <t>さっぽろしりつほしおきひがししょうがっこう</t>
    <phoneticPr fontId="7"/>
  </si>
  <si>
    <t>さっぽろしりつにしみやのさわしょうがっこう</t>
    <phoneticPr fontId="7"/>
  </si>
  <si>
    <t>さっぽろしりつまえだきたしょうがっこう</t>
    <phoneticPr fontId="7"/>
  </si>
  <si>
    <t>さっぽろしりついなづみしょうがっこう</t>
    <phoneticPr fontId="7"/>
  </si>
  <si>
    <t>さっぽろしりつまえだしょうがっこう</t>
    <phoneticPr fontId="7"/>
  </si>
  <si>
    <t>さっぽろしりつまえだちゅうおうしょうがっこう</t>
    <phoneticPr fontId="7"/>
  </si>
  <si>
    <t>さっぽろしりつとみおかしょうがっこう</t>
    <phoneticPr fontId="7"/>
  </si>
  <si>
    <t>札幌市立厚別西小学校</t>
    <phoneticPr fontId="61"/>
  </si>
  <si>
    <t>札幌市立ひばりが丘小学校</t>
    <phoneticPr fontId="61"/>
  </si>
  <si>
    <t>札幌市立小野幌小学校</t>
    <phoneticPr fontId="61"/>
  </si>
  <si>
    <t>札幌市立共栄小学校</t>
    <phoneticPr fontId="61"/>
  </si>
  <si>
    <t>札幌市立厚別北小学校</t>
    <phoneticPr fontId="61"/>
  </si>
  <si>
    <t>厚別区</t>
    <rPh sb="0" eb="3">
      <t>アツベツク</t>
    </rPh>
    <phoneticPr fontId="7"/>
  </si>
  <si>
    <t>さっぽろしりつもみじのもりしょうがっこう</t>
    <phoneticPr fontId="7"/>
  </si>
  <si>
    <t>さっぽろしりつもみじのおかしょうがっこう</t>
    <phoneticPr fontId="7"/>
  </si>
  <si>
    <t>さっぽろしりつあつべつにししょうがっこう</t>
    <phoneticPr fontId="7"/>
  </si>
  <si>
    <t>さっぽろしりつあつべつどおりしょうがっこう</t>
    <phoneticPr fontId="7"/>
  </si>
  <si>
    <t>さっぽろしりつひばりがおかしょうがっこう</t>
    <phoneticPr fontId="7"/>
  </si>
  <si>
    <t>さっぽろしりつしなのしょうがっこう</t>
    <phoneticPr fontId="7"/>
  </si>
  <si>
    <t>さっぽろしりつこのっぽろしょうがっこう</t>
    <phoneticPr fontId="7"/>
  </si>
  <si>
    <t>さっぽろしりつあつべつひがししょうがっこう</t>
    <phoneticPr fontId="7"/>
  </si>
  <si>
    <t>さっぽろしりつきょうえいしょうがっこう</t>
    <phoneticPr fontId="7"/>
  </si>
  <si>
    <t>さっぽろしりつあつべつきたしょうがっこう</t>
    <phoneticPr fontId="7"/>
  </si>
  <si>
    <t>さっぽろしりつおおやちひがししょうがっこう</t>
    <phoneticPr fontId="7"/>
  </si>
  <si>
    <t>札幌市立丘珠小学校</t>
    <phoneticPr fontId="61"/>
  </si>
  <si>
    <t>札幌市立札苗緑小学校</t>
    <phoneticPr fontId="61"/>
  </si>
  <si>
    <t>札幌市立札苗小学校</t>
    <phoneticPr fontId="61"/>
  </si>
  <si>
    <t>札幌市立札幌小学校</t>
    <phoneticPr fontId="61"/>
  </si>
  <si>
    <t>札幌市立元町小学校</t>
    <phoneticPr fontId="61"/>
  </si>
  <si>
    <t>札幌市立北小学校</t>
    <phoneticPr fontId="61"/>
  </si>
  <si>
    <t>札幌市立栄町小学校</t>
    <phoneticPr fontId="61"/>
  </si>
  <si>
    <t>札幌市立栄東小学校</t>
    <phoneticPr fontId="61"/>
  </si>
  <si>
    <t>札幌市立栄北小学校</t>
    <phoneticPr fontId="61"/>
  </si>
  <si>
    <t>札幌市立栄緑小学校</t>
    <phoneticPr fontId="61"/>
  </si>
  <si>
    <t>東区</t>
    <rPh sb="0" eb="1">
      <t>ヒガシ</t>
    </rPh>
    <rPh sb="1" eb="2">
      <t>ク</t>
    </rPh>
    <phoneticPr fontId="7"/>
  </si>
  <si>
    <t>さっぽろしりつおかだましょうがっこう</t>
    <phoneticPr fontId="7"/>
  </si>
  <si>
    <t>さっぽろしりつふくいしょうがっこう</t>
    <phoneticPr fontId="7"/>
  </si>
  <si>
    <t>さっぽろしりつなかぬましょうがっこう</t>
    <phoneticPr fontId="7"/>
  </si>
  <si>
    <t>さっぽろしりつさつなえみどりしょうがっこう</t>
    <phoneticPr fontId="7"/>
  </si>
  <si>
    <t>さっぽろしりつひがしなえぼしょうがっこう</t>
    <phoneticPr fontId="7"/>
  </si>
  <si>
    <t>さっぽろしりつさつなえしょうがっこう</t>
    <phoneticPr fontId="7"/>
  </si>
  <si>
    <t>さっぽろしりつさつなえきたしょうがっこう</t>
    <phoneticPr fontId="7"/>
  </si>
  <si>
    <t>さっぽろしりつふしこきたしょうがっこう</t>
    <phoneticPr fontId="7"/>
  </si>
  <si>
    <t>さっぽろしりつさっぽろしょうがっこう</t>
    <phoneticPr fontId="7"/>
  </si>
  <si>
    <t>さっぽろしりつふしこしょうがっこう</t>
    <phoneticPr fontId="7"/>
  </si>
  <si>
    <t>さっぽろしりつほっこうしょうがっこう</t>
    <phoneticPr fontId="7"/>
  </si>
  <si>
    <t>さっぽろしりつみかほしょうがっこう</t>
    <phoneticPr fontId="7"/>
  </si>
  <si>
    <t>さっぽろしりつめいえんしょうがっこう</t>
    <phoneticPr fontId="7"/>
  </si>
  <si>
    <t>さっぽろしりつかいせいしょうがっこう</t>
    <phoneticPr fontId="7"/>
  </si>
  <si>
    <t>さっぽろしりつもとまちしょうがっこう</t>
    <phoneticPr fontId="7"/>
  </si>
  <si>
    <t>さっぽろしりつきたぞのしょうがっこう</t>
    <phoneticPr fontId="7"/>
  </si>
  <si>
    <t>さっぽろしりつもとまちきたしょうがっこう</t>
    <phoneticPr fontId="7"/>
  </si>
  <si>
    <t>さっぽろしりつきたしょうがっこう</t>
    <phoneticPr fontId="7"/>
  </si>
  <si>
    <t>さっぽろしりつさかえまちしょうがっこう</t>
    <phoneticPr fontId="7"/>
  </si>
  <si>
    <t>さっぽろしりつさかえみなみしょうがっこう</t>
    <phoneticPr fontId="7"/>
  </si>
  <si>
    <t>さっぽろしりつさかえにししょうがっこう</t>
    <phoneticPr fontId="7"/>
  </si>
  <si>
    <t>さっぽろしりつさかえしょうがっこう</t>
    <phoneticPr fontId="7"/>
  </si>
  <si>
    <t>さっぽろしりつさかえひがししょうがっこう</t>
    <phoneticPr fontId="7"/>
  </si>
  <si>
    <t>さっぽろしりつさかえきたしょうがっこう</t>
    <phoneticPr fontId="7"/>
  </si>
  <si>
    <t>さっぽろしりつさかえみどりしょうがっこう</t>
    <phoneticPr fontId="7"/>
  </si>
  <si>
    <t>さっぽろしりつなえぼしょうがっこう</t>
    <phoneticPr fontId="7"/>
  </si>
  <si>
    <t>さっぽろしりつとうこうしょうがっこう</t>
    <phoneticPr fontId="7"/>
  </si>
  <si>
    <t>さっぽろしりつほんちょうしょうがっこう</t>
    <phoneticPr fontId="7"/>
  </si>
  <si>
    <t>札幌市立駒岡小学校</t>
    <phoneticPr fontId="61"/>
  </si>
  <si>
    <t>札幌市立澄川南小学校</t>
    <phoneticPr fontId="61"/>
  </si>
  <si>
    <t>札幌市立藻岩北小学校</t>
    <phoneticPr fontId="61"/>
  </si>
  <si>
    <t>札幌市立定山渓小学校</t>
    <phoneticPr fontId="61"/>
  </si>
  <si>
    <t>札幌市立北の沢小学校</t>
    <phoneticPr fontId="61"/>
  </si>
  <si>
    <t>南区</t>
    <rPh sb="0" eb="2">
      <t>ミナミク</t>
    </rPh>
    <phoneticPr fontId="7"/>
  </si>
  <si>
    <t>さっぽろしりつときわしょうがっこう</t>
    <phoneticPr fontId="7"/>
  </si>
  <si>
    <t>さっぽろしりつこまおかしょうがっこう</t>
    <phoneticPr fontId="7"/>
  </si>
  <si>
    <t>さっぽろしりつまこまないこうえんしょうがっこう</t>
    <phoneticPr fontId="7"/>
  </si>
  <si>
    <t>さっぽろしりつまこまないさくらやましょうがっこう</t>
    <phoneticPr fontId="7"/>
  </si>
  <si>
    <t>さっぽろしりつすみかわにししょうがっこう</t>
    <phoneticPr fontId="7"/>
  </si>
  <si>
    <t>さっぽろしりつすみかわみなみしょうがっこう</t>
    <phoneticPr fontId="7"/>
  </si>
  <si>
    <t>さっぽろしりつすみかわしょうがっこう</t>
    <phoneticPr fontId="7"/>
  </si>
  <si>
    <t>さっぽろしりつふじのさわしょうがっこう</t>
    <phoneticPr fontId="7"/>
  </si>
  <si>
    <t>さっぽろしりついしやまひがししょうがっこう</t>
    <phoneticPr fontId="7"/>
  </si>
  <si>
    <t>さっぽろしりつもいわみなみしょうがっこう</t>
    <phoneticPr fontId="7"/>
  </si>
  <si>
    <t>さっぽろしりつもいわきたしょうがっこう</t>
    <phoneticPr fontId="7"/>
  </si>
  <si>
    <t>さっぽろしりつもいわしょうがっこう</t>
    <phoneticPr fontId="7"/>
  </si>
  <si>
    <t>さっぽろしりつじょうざんけいしょうがっこう</t>
    <phoneticPr fontId="7"/>
  </si>
  <si>
    <t>さっぽろしりつふじのしょうがっこう</t>
    <phoneticPr fontId="7"/>
  </si>
  <si>
    <t>さっぽろしりつふじのみなみしょうがっこう</t>
    <phoneticPr fontId="7"/>
  </si>
  <si>
    <t>さっぽろしりつほうせいようごがっこう</t>
    <phoneticPr fontId="7"/>
  </si>
  <si>
    <t>さっぽろしりつみなみしょうがっこう</t>
    <phoneticPr fontId="7"/>
  </si>
  <si>
    <t>さっぽろしりつみなみのさわしょうがっこう</t>
    <phoneticPr fontId="7"/>
  </si>
  <si>
    <t>さっぽろしりつきたのさわしょうがっこう</t>
    <phoneticPr fontId="7"/>
  </si>
  <si>
    <t>さっぽりしりつみすまえしょうがっこう</t>
    <phoneticPr fontId="7"/>
  </si>
  <si>
    <t>白石区</t>
    <rPh sb="0" eb="3">
      <t>シロイシク</t>
    </rPh>
    <phoneticPr fontId="7"/>
  </si>
  <si>
    <t>さっぽろしりつこうとうしょうがっこう</t>
    <phoneticPr fontId="7"/>
  </si>
  <si>
    <t>さっぽろしりつあずまばししょうがっこう</t>
    <phoneticPr fontId="7"/>
  </si>
  <si>
    <t>さっぽろしりつきくすいしょうがっこう</t>
    <phoneticPr fontId="7"/>
  </si>
  <si>
    <t>さっぽろしりつかみしろいししょうがっこう</t>
    <phoneticPr fontId="7"/>
  </si>
  <si>
    <t>さっぽろしりつひがしかわしもしょうがっこう</t>
    <phoneticPr fontId="7"/>
  </si>
  <si>
    <t>さっぽろしりつかわきたしょうがっこう</t>
    <phoneticPr fontId="7"/>
  </si>
  <si>
    <t>さっぽろしりつにししろいししょうがっこう</t>
    <phoneticPr fontId="7"/>
  </si>
  <si>
    <t>さっぽろしりつひがしさっぽろしょうがっこう</t>
    <phoneticPr fontId="7"/>
  </si>
  <si>
    <t>さっぽろしりつほんごうしょうがっこう</t>
    <phoneticPr fontId="7"/>
  </si>
  <si>
    <t>さっぽろしりつみなみしろいししょうがっこう</t>
    <phoneticPr fontId="7"/>
  </si>
  <si>
    <t>さっぽろしりつほんどおりしょうがっこう</t>
    <phoneticPr fontId="7"/>
  </si>
  <si>
    <t>さっぽろしりつよねさとしょうがっこう</t>
    <phoneticPr fontId="7"/>
  </si>
  <si>
    <t>さっぽろしりつほくとしょうがっこう</t>
    <phoneticPr fontId="7"/>
  </si>
  <si>
    <t>さっぽろしりつほんごうしょうがっこう</t>
    <phoneticPr fontId="7"/>
  </si>
  <si>
    <t>さっぽろしりつきたしろいししょうがっこう</t>
    <phoneticPr fontId="7"/>
  </si>
  <si>
    <t>さっぽろしりつなんごうしょうがっこう</t>
    <phoneticPr fontId="7"/>
  </si>
  <si>
    <t>さっぽろしりつひがししろいししょうがっこう</t>
    <phoneticPr fontId="7"/>
  </si>
  <si>
    <t>さっぽろしりつへいわどおりしょうがっこう</t>
    <phoneticPr fontId="7"/>
  </si>
  <si>
    <t>さっぽろしりつおおやちしょうがっこう</t>
    <phoneticPr fontId="7"/>
  </si>
  <si>
    <t>さっぽろしりつしろいししょうがっこう</t>
    <phoneticPr fontId="7"/>
  </si>
  <si>
    <t>豊平区</t>
    <rPh sb="0" eb="3">
      <t>トヨヒラク</t>
    </rPh>
    <phoneticPr fontId="7"/>
  </si>
  <si>
    <t>さっぽろしりつつきさむしょうがっこう</t>
    <phoneticPr fontId="7"/>
  </si>
  <si>
    <t>さっぽろしりつみなみつきさむしょうがっこう</t>
    <phoneticPr fontId="7"/>
  </si>
  <si>
    <t>さっぽろしりつあやめのしょうがっこう</t>
    <phoneticPr fontId="7"/>
  </si>
  <si>
    <t>さっぽろしひつじがおかしょうがっこう</t>
    <phoneticPr fontId="7"/>
  </si>
  <si>
    <t>さっぽろしりつつきさむひがししょうがっこう</t>
    <phoneticPr fontId="7"/>
  </si>
  <si>
    <t>さっぽろしりつしらかばだいしょうがっこう</t>
    <phoneticPr fontId="7"/>
  </si>
  <si>
    <t>さっぽろしりつあさひしょうがっこう</t>
    <phoneticPr fontId="7"/>
  </si>
  <si>
    <t>さっぽろしりつにしおかしょうがっこう</t>
    <phoneticPr fontId="7"/>
  </si>
  <si>
    <t>さっぽろしりつにしおかきたしょうがっこう</t>
    <phoneticPr fontId="7"/>
  </si>
  <si>
    <t>さっぽろしりつにしおかみなみしょうがっこう</t>
    <phoneticPr fontId="7"/>
  </si>
  <si>
    <t>さっぽろしりつなかのしましょうがっこう</t>
    <phoneticPr fontId="7"/>
  </si>
  <si>
    <t>さっぽろしりつとよぞのしょうがっこう</t>
    <phoneticPr fontId="7"/>
  </si>
  <si>
    <t>さっぽろしりつみどりしょうがっこう</t>
    <phoneticPr fontId="7"/>
  </si>
  <si>
    <t>さっぽろしりつふくずみしょうがっこう</t>
    <phoneticPr fontId="7"/>
  </si>
  <si>
    <t>さっぽろしりつひらぎしにししょうがっこう</t>
    <phoneticPr fontId="7"/>
  </si>
  <si>
    <t>さっぽろしりつひらぎししょうがっこう</t>
    <phoneticPr fontId="7"/>
  </si>
  <si>
    <t>さっぽろしりつひがしやましょうがっこう</t>
    <phoneticPr fontId="7"/>
  </si>
  <si>
    <t>さっぽろしりつひらぎしたかだいしょうがっこう</t>
    <phoneticPr fontId="7"/>
  </si>
  <si>
    <t>さっぽろしりつみそのしょうがっこう</t>
    <phoneticPr fontId="7"/>
  </si>
  <si>
    <t>さっぽろしりつとうえんしょうがっこう</t>
    <phoneticPr fontId="7"/>
  </si>
  <si>
    <t>さっぽろしりつとよひらしょうがっこう</t>
    <phoneticPr fontId="7"/>
  </si>
  <si>
    <t>札幌市立あいの里東小学校</t>
    <phoneticPr fontId="61"/>
  </si>
  <si>
    <t>札幌市立篠路西小学校</t>
    <phoneticPr fontId="61"/>
  </si>
  <si>
    <t>札幌市立新琴似緑小学校</t>
    <phoneticPr fontId="61"/>
  </si>
  <si>
    <t>札幌市立新光小学校</t>
    <phoneticPr fontId="61"/>
  </si>
  <si>
    <t>札幌市立新琴似南小学校</t>
    <phoneticPr fontId="61"/>
  </si>
  <si>
    <t>札幌市立光陽小学校</t>
    <phoneticPr fontId="61"/>
  </si>
  <si>
    <t>札幌市立新琴似小学校</t>
    <phoneticPr fontId="61"/>
  </si>
  <si>
    <t>札幌市立新川中央小学校</t>
    <phoneticPr fontId="61"/>
  </si>
  <si>
    <t>札幌市立新川小学校</t>
    <phoneticPr fontId="61"/>
  </si>
  <si>
    <t>札幌市立屯田南小学校</t>
    <phoneticPr fontId="61"/>
  </si>
  <si>
    <t>札幌市立白楊小学校</t>
    <phoneticPr fontId="61"/>
  </si>
  <si>
    <t>北区</t>
    <rPh sb="0" eb="2">
      <t>キタク</t>
    </rPh>
    <phoneticPr fontId="7"/>
  </si>
  <si>
    <t>さっぽろしりつたくほくしょうがっこう</t>
    <phoneticPr fontId="7"/>
  </si>
  <si>
    <t>さっぽろしりつあいのさとにししょうがっこう</t>
    <phoneticPr fontId="7"/>
  </si>
  <si>
    <t>さっぽろしりつこうじょうしょうがっこう</t>
    <phoneticPr fontId="7"/>
  </si>
  <si>
    <t>さっぽろしりつあいのさとひがししょうがっこう</t>
    <phoneticPr fontId="7"/>
  </si>
  <si>
    <t>ほっかいどうきょういくだいがくさっぽろしょうがっこう</t>
    <phoneticPr fontId="7"/>
  </si>
  <si>
    <t>さっぽろたいへいしょうがっこう</t>
    <phoneticPr fontId="7"/>
  </si>
  <si>
    <t>さっぽろしりつしのろしょうがっこう</t>
    <phoneticPr fontId="7"/>
  </si>
  <si>
    <t>さっぽろしりつしのろにししょうがっこう</t>
    <phoneticPr fontId="7"/>
  </si>
  <si>
    <t>さっぽろしりつしんことにみどりしょうがっこう</t>
    <phoneticPr fontId="7"/>
  </si>
  <si>
    <t>さっぽろしりつしんことににししょうがっこう</t>
    <phoneticPr fontId="7"/>
  </si>
  <si>
    <t>さっぽろしりつしんことにきたしょうがっこう</t>
    <phoneticPr fontId="7"/>
  </si>
  <si>
    <t>さっぽろしりつしんこうしょうがっこう</t>
    <phoneticPr fontId="7"/>
  </si>
  <si>
    <t>さっぽろしりつしんことにみなみしょうがっこう</t>
    <phoneticPr fontId="7"/>
  </si>
  <si>
    <t>さっぽろしりつこうようしょうがっこう</t>
    <phoneticPr fontId="7"/>
  </si>
  <si>
    <t>さっぽろしりつしんことにしょうがっこう</t>
    <phoneticPr fontId="7"/>
  </si>
  <si>
    <t>さっぽろしりつしんかわちゅうおうしょうがっこう</t>
    <phoneticPr fontId="7"/>
  </si>
  <si>
    <t>さっぽろしりつしんかわしょうがっこう</t>
    <phoneticPr fontId="7"/>
  </si>
  <si>
    <t>さっぽろしりつたいへいみなみしょうがっこう</t>
    <phoneticPr fontId="7"/>
  </si>
  <si>
    <t>さっぽろしりつばらとしょうがっこう</t>
    <phoneticPr fontId="7"/>
  </si>
  <si>
    <t>さっぽろしりつとんでんみなみしょうがっこう</t>
    <phoneticPr fontId="7"/>
  </si>
  <si>
    <t>さっぽろしりつとんでんにししょうがっこう</t>
    <phoneticPr fontId="7"/>
  </si>
  <si>
    <t>さっぽろしりつとんでんしょうがっこう</t>
    <phoneticPr fontId="7"/>
  </si>
  <si>
    <t>さっぽろしりつとんでんきたしょうがっこう</t>
    <phoneticPr fontId="7"/>
  </si>
  <si>
    <t>さっぽろしりつゆりがはらしょうがっこう</t>
    <phoneticPr fontId="7"/>
  </si>
  <si>
    <t>さっぽろしりつこうほくしょうがっこう</t>
    <phoneticPr fontId="7"/>
  </si>
  <si>
    <t>さっぽろしりつはくようしょうがっこう</t>
    <phoneticPr fontId="7"/>
  </si>
  <si>
    <t>さっぽろしりつしんようしょうがっこう</t>
    <phoneticPr fontId="7"/>
  </si>
  <si>
    <t>さっぽろしりつほくようしょうがっこう</t>
    <phoneticPr fontId="7"/>
  </si>
  <si>
    <t>さっぽろしりつわこうしょうがっこう</t>
    <phoneticPr fontId="7"/>
  </si>
  <si>
    <t>さっぽろしりつきたくじょうしょうがっこう</t>
    <phoneticPr fontId="7"/>
  </si>
  <si>
    <t>←郵便番号はハイフンなし【半角】で入力してください</t>
    <rPh sb="1" eb="5">
      <t>ユウビンバンゴウ</t>
    </rPh>
    <rPh sb="17" eb="19">
      <t>ニュウリョク</t>
    </rPh>
    <phoneticPr fontId="7"/>
  </si>
  <si>
    <t>月</t>
    <rPh sb="0" eb="1">
      <t>ゲツ</t>
    </rPh>
    <phoneticPr fontId="7"/>
  </si>
  <si>
    <t>火</t>
    <rPh sb="0" eb="1">
      <t>カ</t>
    </rPh>
    <phoneticPr fontId="7"/>
  </si>
  <si>
    <t>水</t>
    <rPh sb="0" eb="1">
      <t>スイ</t>
    </rPh>
    <phoneticPr fontId="7"/>
  </si>
  <si>
    <t>木</t>
  </si>
  <si>
    <t>金</t>
  </si>
  <si>
    <t>土</t>
  </si>
  <si>
    <t>小・日帰</t>
    <rPh sb="0" eb="1">
      <t>ショウ</t>
    </rPh>
    <rPh sb="2" eb="4">
      <t>ヒガエ</t>
    </rPh>
    <phoneticPr fontId="7"/>
  </si>
  <si>
    <t>小・宿泊</t>
    <rPh sb="0" eb="1">
      <t>ショウ</t>
    </rPh>
    <rPh sb="2" eb="4">
      <t>シュクハク</t>
    </rPh>
    <phoneticPr fontId="7"/>
  </si>
  <si>
    <t>中・宿泊</t>
    <rPh sb="0" eb="1">
      <t>チュウ</t>
    </rPh>
    <rPh sb="2" eb="4">
      <t>シュクハク</t>
    </rPh>
    <phoneticPr fontId="7"/>
  </si>
  <si>
    <t>中・日帰</t>
    <rPh sb="0" eb="1">
      <t>チュウ</t>
    </rPh>
    <rPh sb="2" eb="4">
      <t>ヒガエ</t>
    </rPh>
    <phoneticPr fontId="7"/>
  </si>
  <si>
    <t>引・宿泊</t>
    <rPh sb="0" eb="1">
      <t>イン</t>
    </rPh>
    <rPh sb="2" eb="4">
      <t>シュクハク</t>
    </rPh>
    <phoneticPr fontId="7"/>
  </si>
  <si>
    <t>引率・日帰</t>
    <rPh sb="0" eb="2">
      <t>インソツ</t>
    </rPh>
    <rPh sb="3" eb="5">
      <t>ヒガエ</t>
    </rPh>
    <phoneticPr fontId="7"/>
  </si>
  <si>
    <t>一般・宿泊</t>
    <rPh sb="0" eb="2">
      <t>イッパン</t>
    </rPh>
    <rPh sb="3" eb="5">
      <t>シュクハク</t>
    </rPh>
    <phoneticPr fontId="7"/>
  </si>
  <si>
    <t>一般・日帰</t>
    <rPh sb="0" eb="2">
      <t>イッパン</t>
    </rPh>
    <rPh sb="3" eb="5">
      <t>ヒガエ</t>
    </rPh>
    <phoneticPr fontId="7"/>
  </si>
  <si>
    <t>減免なし</t>
    <rPh sb="0" eb="2">
      <t>ゲンメン</t>
    </rPh>
    <phoneticPr fontId="7"/>
  </si>
  <si>
    <t>小・泊</t>
    <rPh sb="0" eb="1">
      <t>ショウ</t>
    </rPh>
    <rPh sb="2" eb="3">
      <t>ハク</t>
    </rPh>
    <phoneticPr fontId="7"/>
  </si>
  <si>
    <t>中・泊</t>
    <rPh sb="0" eb="1">
      <t>チュウ</t>
    </rPh>
    <rPh sb="2" eb="3">
      <t>ハク</t>
    </rPh>
    <phoneticPr fontId="7"/>
  </si>
  <si>
    <t>引・泊</t>
    <rPh sb="0" eb="1">
      <t>イン</t>
    </rPh>
    <phoneticPr fontId="7"/>
  </si>
  <si>
    <t>引・日帰</t>
    <rPh sb="0" eb="1">
      <t>イン</t>
    </rPh>
    <rPh sb="2" eb="4">
      <t>ヒガエ</t>
    </rPh>
    <phoneticPr fontId="7"/>
  </si>
  <si>
    <t>一般・泊</t>
    <rPh sb="0" eb="2">
      <t>イッパン</t>
    </rPh>
    <rPh sb="3" eb="4">
      <t>ハク</t>
    </rPh>
    <phoneticPr fontId="7"/>
  </si>
  <si>
    <t>ソート用No</t>
    <rPh sb="3" eb="4">
      <t>ヨウ</t>
    </rPh>
    <phoneticPr fontId="7"/>
  </si>
  <si>
    <t>利用区分</t>
    <rPh sb="0" eb="2">
      <t>リヨウ</t>
    </rPh>
    <rPh sb="2" eb="4">
      <t>クブン</t>
    </rPh>
    <phoneticPr fontId="7"/>
  </si>
  <si>
    <t>利用者数</t>
    <rPh sb="0" eb="2">
      <t>リヨウ</t>
    </rPh>
    <rPh sb="2" eb="3">
      <t>シャ</t>
    </rPh>
    <rPh sb="3" eb="4">
      <t>スウ</t>
    </rPh>
    <phoneticPr fontId="7"/>
  </si>
  <si>
    <t>小泊/</t>
    <rPh sb="0" eb="1">
      <t>ショウ</t>
    </rPh>
    <rPh sb="1" eb="2">
      <t>トマリ</t>
    </rPh>
    <phoneticPr fontId="7"/>
  </si>
  <si>
    <t>小日帰/</t>
    <rPh sb="0" eb="1">
      <t>ショウ</t>
    </rPh>
    <rPh sb="1" eb="3">
      <t>ヒガエ</t>
    </rPh>
    <phoneticPr fontId="7"/>
  </si>
  <si>
    <t>中泊/</t>
    <rPh sb="0" eb="1">
      <t>チュウ</t>
    </rPh>
    <rPh sb="1" eb="2">
      <t>ハク</t>
    </rPh>
    <phoneticPr fontId="7"/>
  </si>
  <si>
    <t>中日帰/</t>
    <rPh sb="0" eb="1">
      <t>チュウ</t>
    </rPh>
    <rPh sb="1" eb="3">
      <t>ヒガエ</t>
    </rPh>
    <phoneticPr fontId="7"/>
  </si>
  <si>
    <t>引泊/</t>
    <rPh sb="0" eb="1">
      <t>イン</t>
    </rPh>
    <rPh sb="1" eb="2">
      <t>ハク</t>
    </rPh>
    <phoneticPr fontId="7"/>
  </si>
  <si>
    <t>引日帰/</t>
    <rPh sb="0" eb="1">
      <t>イン</t>
    </rPh>
    <rPh sb="1" eb="3">
      <t>ヒガエ</t>
    </rPh>
    <phoneticPr fontId="7"/>
  </si>
  <si>
    <t>一般泊/</t>
    <rPh sb="0" eb="2">
      <t>イッパン</t>
    </rPh>
    <rPh sb="2" eb="3">
      <t>ハク</t>
    </rPh>
    <phoneticPr fontId="7"/>
  </si>
  <si>
    <t>一般日帰/</t>
    <rPh sb="0" eb="2">
      <t>イッパン</t>
    </rPh>
    <rPh sb="2" eb="3">
      <t>ニチ</t>
    </rPh>
    <rPh sb="3" eb="4">
      <t>カエ</t>
    </rPh>
    <phoneticPr fontId="7"/>
  </si>
  <si>
    <t>利用区分ごとの【延べ日数】</t>
    <rPh sb="0" eb="2">
      <t>リヨウ</t>
    </rPh>
    <rPh sb="2" eb="4">
      <t>クブン</t>
    </rPh>
    <phoneticPr fontId="7"/>
  </si>
  <si>
    <t>団体　総利用者数</t>
    <rPh sb="0" eb="2">
      <t>ダンタイ</t>
    </rPh>
    <rPh sb="3" eb="4">
      <t>ソウ</t>
    </rPh>
    <rPh sb="4" eb="6">
      <t>リヨウ</t>
    </rPh>
    <rPh sb="6" eb="7">
      <t>シャ</t>
    </rPh>
    <rPh sb="7" eb="8">
      <t>スウ</t>
    </rPh>
    <phoneticPr fontId="7"/>
  </si>
  <si>
    <t>小・宿【人数】</t>
    <rPh sb="0" eb="1">
      <t>ショウ</t>
    </rPh>
    <rPh sb="2" eb="3">
      <t>シュク</t>
    </rPh>
    <rPh sb="4" eb="6">
      <t>ニンズウ</t>
    </rPh>
    <phoneticPr fontId="7"/>
  </si>
  <si>
    <t>中・宿</t>
    <rPh sb="0" eb="1">
      <t>チュウ</t>
    </rPh>
    <rPh sb="2" eb="3">
      <t>ヤド</t>
    </rPh>
    <phoneticPr fontId="7"/>
  </si>
  <si>
    <t>引・宿</t>
    <rPh sb="0" eb="1">
      <t>イン</t>
    </rPh>
    <rPh sb="2" eb="3">
      <t>ヤド</t>
    </rPh>
    <phoneticPr fontId="7"/>
  </si>
  <si>
    <t>一般・宿</t>
    <rPh sb="0" eb="2">
      <t>イッパン</t>
    </rPh>
    <rPh sb="3" eb="4">
      <t>ヤド</t>
    </rPh>
    <phoneticPr fontId="7"/>
  </si>
  <si>
    <t>人数カウント表</t>
    <rPh sb="0" eb="2">
      <t>ニンズウ</t>
    </rPh>
    <rPh sb="6" eb="7">
      <t>ヒョウ</t>
    </rPh>
    <phoneticPr fontId="7"/>
  </si>
  <si>
    <t>計</t>
    <rPh sb="0" eb="1">
      <t>ケイ</t>
    </rPh>
    <phoneticPr fontId="7"/>
  </si>
  <si>
    <t>区分</t>
    <rPh sb="0" eb="2">
      <t>クブン</t>
    </rPh>
    <phoneticPr fontId="7"/>
  </si>
  <si>
    <t>利用人数</t>
    <rPh sb="0" eb="2">
      <t>リヨウ</t>
    </rPh>
    <rPh sb="2" eb="4">
      <t>ニンズウ</t>
    </rPh>
    <phoneticPr fontId="7"/>
  </si>
  <si>
    <t>小泊/準・特・療</t>
    <rPh sb="0" eb="1">
      <t>ショウ</t>
    </rPh>
    <rPh sb="3" eb="4">
      <t>ジュン</t>
    </rPh>
    <rPh sb="5" eb="6">
      <t>トク</t>
    </rPh>
    <rPh sb="7" eb="8">
      <t>リョウ</t>
    </rPh>
    <phoneticPr fontId="7"/>
  </si>
  <si>
    <t>引泊</t>
    <rPh sb="0" eb="1">
      <t>イン</t>
    </rPh>
    <rPh sb="1" eb="2">
      <t>ハク</t>
    </rPh>
    <phoneticPr fontId="7"/>
  </si>
  <si>
    <t>一般日帰</t>
    <rPh sb="0" eb="2">
      <t>イッパン</t>
    </rPh>
    <rPh sb="2" eb="4">
      <t>ヒガエ</t>
    </rPh>
    <phoneticPr fontId="7"/>
  </si>
  <si>
    <t>利用区分
パターンNo</t>
    <rPh sb="0" eb="2">
      <t>リヨウ</t>
    </rPh>
    <rPh sb="2" eb="4">
      <t>クブン</t>
    </rPh>
    <phoneticPr fontId="7"/>
  </si>
  <si>
    <t>減免者
No</t>
    <rPh sb="0" eb="2">
      <t>ゲンメン</t>
    </rPh>
    <rPh sb="2" eb="3">
      <t>シャ</t>
    </rPh>
    <phoneticPr fontId="7"/>
  </si>
  <si>
    <t>ソートNo</t>
    <phoneticPr fontId="7"/>
  </si>
  <si>
    <t>【減免申請書】　記載用シート</t>
    <rPh sb="1" eb="3">
      <t>ゲンメン</t>
    </rPh>
    <rPh sb="3" eb="6">
      <t>シンセイショ</t>
    </rPh>
    <rPh sb="8" eb="10">
      <t>キサイ</t>
    </rPh>
    <rPh sb="10" eb="11">
      <t>ヨウ</t>
    </rPh>
    <phoneticPr fontId="7"/>
  </si>
  <si>
    <t>【利用者名簿】　記載用シート</t>
    <rPh sb="1" eb="4">
      <t>リヨウシャ</t>
    </rPh>
    <rPh sb="4" eb="6">
      <t>メイボ</t>
    </rPh>
    <phoneticPr fontId="7"/>
  </si>
  <si>
    <t>金額</t>
    <rPh sb="0" eb="2">
      <t>キンガク</t>
    </rPh>
    <phoneticPr fontId="7"/>
  </si>
  <si>
    <t>施設利用
金額</t>
    <rPh sb="0" eb="2">
      <t>シセツ</t>
    </rPh>
    <rPh sb="2" eb="4">
      <t>リヨウ</t>
    </rPh>
    <rPh sb="5" eb="7">
      <t>キンガク</t>
    </rPh>
    <phoneticPr fontId="7"/>
  </si>
  <si>
    <t>準</t>
    <rPh sb="0" eb="1">
      <t>ジュン</t>
    </rPh>
    <phoneticPr fontId="28"/>
  </si>
  <si>
    <t>特</t>
    <rPh sb="0" eb="1">
      <t>トク</t>
    </rPh>
    <phoneticPr fontId="28"/>
  </si>
  <si>
    <t>身</t>
    <rPh sb="0" eb="1">
      <t>ミ</t>
    </rPh>
    <phoneticPr fontId="28"/>
  </si>
  <si>
    <t>療</t>
    <rPh sb="0" eb="1">
      <t>リョウ</t>
    </rPh>
    <phoneticPr fontId="28"/>
  </si>
  <si>
    <t>精</t>
    <rPh sb="0" eb="1">
      <t>セイ</t>
    </rPh>
    <phoneticPr fontId="28"/>
  </si>
  <si>
    <t>介添</t>
    <rPh sb="0" eb="2">
      <t>カイゾエ</t>
    </rPh>
    <phoneticPr fontId="28"/>
  </si>
  <si>
    <t>減免判定データ</t>
    <rPh sb="0" eb="2">
      <t>ゲンメン</t>
    </rPh>
    <rPh sb="2" eb="4">
      <t>ハンテイ</t>
    </rPh>
    <phoneticPr fontId="28"/>
  </si>
  <si>
    <t>施設使用料減免【日帰り】</t>
    <rPh sb="0" eb="2">
      <t>シセツ</t>
    </rPh>
    <rPh sb="2" eb="4">
      <t>シヨウ</t>
    </rPh>
    <rPh sb="4" eb="5">
      <t>リョウ</t>
    </rPh>
    <rPh sb="5" eb="7">
      <t>ゲンメン</t>
    </rPh>
    <rPh sb="8" eb="10">
      <t>ヒガエ</t>
    </rPh>
    <phoneticPr fontId="7"/>
  </si>
  <si>
    <t>施設使用料減免【宿泊】</t>
    <rPh sb="0" eb="5">
      <t>シセツシヨウリョウ</t>
    </rPh>
    <rPh sb="5" eb="7">
      <t>ゲンメン</t>
    </rPh>
    <rPh sb="8" eb="10">
      <t>シュクハク</t>
    </rPh>
    <phoneticPr fontId="7"/>
  </si>
  <si>
    <t>合計延日数</t>
    <rPh sb="0" eb="2">
      <t>ゴウケイ</t>
    </rPh>
    <rPh sb="2" eb="3">
      <t>ノ</t>
    </rPh>
    <rPh sb="3" eb="5">
      <t>ニッスウ</t>
    </rPh>
    <phoneticPr fontId="7"/>
  </si>
  <si>
    <t xml:space="preserve">    基準を超える使用を希望</t>
    <rPh sb="4" eb="6">
      <t>キジュン</t>
    </rPh>
    <rPh sb="7" eb="8">
      <t>コ</t>
    </rPh>
    <rPh sb="10" eb="12">
      <t>シヨウ</t>
    </rPh>
    <rPh sb="13" eb="15">
      <t>キボウ</t>
    </rPh>
    <phoneticPr fontId="2"/>
  </si>
  <si>
    <t xml:space="preserve">    希望しない</t>
    <rPh sb="4" eb="6">
      <t>キボウ</t>
    </rPh>
    <phoneticPr fontId="2"/>
  </si>
  <si>
    <t xml:space="preserve">  希望する</t>
    <rPh sb="2" eb="4">
      <t>キボウ</t>
    </rPh>
    <phoneticPr fontId="2"/>
  </si>
  <si>
    <t xml:space="preserve">     有</t>
    <rPh sb="5" eb="6">
      <t>ユウ</t>
    </rPh>
    <phoneticPr fontId="2"/>
  </si>
  <si>
    <t xml:space="preserve">     無</t>
    <rPh sb="5" eb="6">
      <t>ム</t>
    </rPh>
    <phoneticPr fontId="2"/>
  </si>
  <si>
    <t>当団体の宿泊において、プログラムの補助的指導にあたるために、
札幌市青少年山の家のフィールドの使用を申し込みます。</t>
    <phoneticPr fontId="7"/>
  </si>
  <si>
    <t>使用者名簿
（下の表に指名をご記入ください）</t>
    <rPh sb="0" eb="3">
      <t>シヨウシャ</t>
    </rPh>
    <rPh sb="3" eb="5">
      <t>メイボ</t>
    </rPh>
    <rPh sb="7" eb="8">
      <t>シタ</t>
    </rPh>
    <rPh sb="9" eb="10">
      <t>ヒョウ</t>
    </rPh>
    <rPh sb="11" eb="13">
      <t>シメイ</t>
    </rPh>
    <rPh sb="15" eb="17">
      <t>キニュウ</t>
    </rPh>
    <phoneticPr fontId="7"/>
  </si>
  <si>
    <t>使用日</t>
    <rPh sb="0" eb="2">
      <t>シヨウ</t>
    </rPh>
    <rPh sb="2" eb="3">
      <t>ビ</t>
    </rPh>
    <phoneticPr fontId="7"/>
  </si>
  <si>
    <t>　人数</t>
    <rPh sb="1" eb="2">
      <t>ヒト</t>
    </rPh>
    <rPh sb="2" eb="3">
      <t>スウ</t>
    </rPh>
    <phoneticPr fontId="2"/>
  </si>
  <si>
    <t>　補助　車両台数</t>
    <rPh sb="1" eb="3">
      <t>ホジョ</t>
    </rPh>
    <rPh sb="4" eb="6">
      <t>シャリョウ</t>
    </rPh>
    <rPh sb="6" eb="8">
      <t>ダイスウ</t>
    </rPh>
    <phoneticPr fontId="7"/>
  </si>
  <si>
    <t>台</t>
    <rPh sb="0" eb="1">
      <t>ダイ</t>
    </rPh>
    <phoneticPr fontId="7"/>
  </si>
  <si>
    <t>　　　　　　　　　　</t>
    <phoneticPr fontId="2"/>
  </si>
  <si>
    <t>※　補助的指導者のうちの１名を代表者としてください。
代表者も使用者名簿に氏名をご記入ください。</t>
    <rPh sb="27" eb="30">
      <t>ダイヒョウシャ</t>
    </rPh>
    <rPh sb="31" eb="34">
      <t>シヨウシャ</t>
    </rPh>
    <rPh sb="34" eb="36">
      <t>メイボ</t>
    </rPh>
    <rPh sb="37" eb="39">
      <t>シメイ</t>
    </rPh>
    <rPh sb="41" eb="43">
      <t>キニュウ</t>
    </rPh>
    <phoneticPr fontId="2"/>
  </si>
  <si>
    <t>　有料車両料金</t>
    <rPh sb="1" eb="3">
      <t>ユウリョウ</t>
    </rPh>
    <rPh sb="3" eb="5">
      <t>シャリョウ</t>
    </rPh>
    <rPh sb="5" eb="7">
      <t>リョウキン</t>
    </rPh>
    <phoneticPr fontId="7"/>
  </si>
  <si>
    <t>円</t>
    <rPh sb="0" eb="1">
      <t>エン</t>
    </rPh>
    <phoneticPr fontId="7"/>
  </si>
  <si>
    <t>住所①</t>
    <rPh sb="0" eb="2">
      <t>ジュウショ</t>
    </rPh>
    <phoneticPr fontId="2"/>
  </si>
  <si>
    <t>住所②</t>
    <rPh sb="0" eb="2">
      <t>ジュウショ</t>
    </rPh>
    <phoneticPr fontId="7"/>
  </si>
  <si>
    <t>札幌市中央区大通東</t>
    <rPh sb="0" eb="3">
      <t>サッポロシ</t>
    </rPh>
    <rPh sb="3" eb="6">
      <t>チュウオウク</t>
    </rPh>
    <rPh sb="6" eb="8">
      <t>オオドオリ</t>
    </rPh>
    <rPh sb="8" eb="9">
      <t>ヒガシ</t>
    </rPh>
    <phoneticPr fontId="2"/>
  </si>
  <si>
    <t>６丁目１２番地</t>
    <phoneticPr fontId="7"/>
  </si>
  <si>
    <t>札幌市中央区南１４条西</t>
    <rPh sb="0" eb="3">
      <t>サッポロシ</t>
    </rPh>
    <rPh sb="3" eb="6">
      <t>チュウオウク</t>
    </rPh>
    <rPh sb="6" eb="7">
      <t>ミナミ</t>
    </rPh>
    <rPh sb="9" eb="10">
      <t>ジョウ</t>
    </rPh>
    <rPh sb="10" eb="11">
      <t>ニシ</t>
    </rPh>
    <phoneticPr fontId="7"/>
  </si>
  <si>
    <t>１０丁目１番地</t>
    <phoneticPr fontId="7"/>
  </si>
  <si>
    <t>札幌市中央区南１０条西</t>
    <rPh sb="0" eb="3">
      <t>サッポロシ</t>
    </rPh>
    <rPh sb="3" eb="6">
      <t>チュウオウク</t>
    </rPh>
    <rPh sb="6" eb="7">
      <t>ミナミ</t>
    </rPh>
    <rPh sb="9" eb="10">
      <t>ジョウ</t>
    </rPh>
    <rPh sb="10" eb="11">
      <t>ニシ</t>
    </rPh>
    <phoneticPr fontId="7"/>
  </si>
  <si>
    <t>１７丁目１－１</t>
    <phoneticPr fontId="7"/>
  </si>
  <si>
    <t>札幌市中央区北8条西</t>
    <rPh sb="0" eb="3">
      <t>サッポロシ</t>
    </rPh>
    <rPh sb="3" eb="6">
      <t>チュウオウク</t>
    </rPh>
    <rPh sb="6" eb="7">
      <t>キタ</t>
    </rPh>
    <rPh sb="8" eb="9">
      <t>ジョウ</t>
    </rPh>
    <rPh sb="9" eb="10">
      <t>ニシ</t>
    </rPh>
    <phoneticPr fontId="7"/>
  </si>
  <si>
    <t>17丁目</t>
    <phoneticPr fontId="7"/>
  </si>
  <si>
    <t>札幌市中央区南２１条西</t>
    <rPh sb="0" eb="3">
      <t>サッポロシ</t>
    </rPh>
    <rPh sb="3" eb="6">
      <t>チュウオウク</t>
    </rPh>
    <rPh sb="6" eb="7">
      <t>ミナミ</t>
    </rPh>
    <rPh sb="9" eb="10">
      <t>ジョウ</t>
    </rPh>
    <rPh sb="10" eb="11">
      <t>ニシ</t>
    </rPh>
    <phoneticPr fontId="7"/>
  </si>
  <si>
    <t>５丁目１－１</t>
  </si>
  <si>
    <t>５丁目１－１</t>
    <phoneticPr fontId="7"/>
  </si>
  <si>
    <t>札幌市中央区北１条西</t>
    <rPh sb="0" eb="3">
      <t>サッポロシ</t>
    </rPh>
    <rPh sb="3" eb="6">
      <t>チュウオウク</t>
    </rPh>
    <rPh sb="6" eb="7">
      <t>キタ</t>
    </rPh>
    <rPh sb="8" eb="9">
      <t>ジョウ</t>
    </rPh>
    <rPh sb="9" eb="10">
      <t>ニシ</t>
    </rPh>
    <phoneticPr fontId="7"/>
  </si>
  <si>
    <t>２５丁目１番８号</t>
    <phoneticPr fontId="7"/>
  </si>
  <si>
    <t>札幌市中央区南</t>
    <phoneticPr fontId="7"/>
  </si>
  <si>
    <t>２条西１５丁目</t>
    <phoneticPr fontId="7"/>
  </si>
  <si>
    <t>札幌市中央区北８条西</t>
    <rPh sb="0" eb="3">
      <t>サッポロシ</t>
    </rPh>
    <rPh sb="3" eb="6">
      <t>チュウオウク</t>
    </rPh>
    <rPh sb="6" eb="7">
      <t>キタ</t>
    </rPh>
    <rPh sb="8" eb="9">
      <t>ジョウ</t>
    </rPh>
    <rPh sb="9" eb="10">
      <t>ニシ</t>
    </rPh>
    <phoneticPr fontId="7"/>
  </si>
  <si>
    <t>２５丁目２番１号</t>
    <phoneticPr fontId="7"/>
  </si>
  <si>
    <t>札幌市中央区南１０条</t>
    <rPh sb="0" eb="3">
      <t>サッポロシ</t>
    </rPh>
    <rPh sb="3" eb="6">
      <t>チュウオウク</t>
    </rPh>
    <rPh sb="6" eb="7">
      <t>ミナミ</t>
    </rPh>
    <rPh sb="9" eb="10">
      <t>ジョウ</t>
    </rPh>
    <phoneticPr fontId="7"/>
  </si>
  <si>
    <t>西２３丁目３－１</t>
    <phoneticPr fontId="7"/>
  </si>
  <si>
    <t>札幌市中央区宮の森３条</t>
    <phoneticPr fontId="7"/>
  </si>
  <si>
    <t>１３丁目６－２０</t>
    <phoneticPr fontId="7"/>
  </si>
  <si>
    <t>札幌市中央区宮の森４条</t>
    <phoneticPr fontId="7"/>
  </si>
  <si>
    <t>１１丁目４－１</t>
    <phoneticPr fontId="7"/>
  </si>
  <si>
    <t>札幌市中央区宮の森４条</t>
    <phoneticPr fontId="7"/>
  </si>
  <si>
    <t>６丁目１－１</t>
    <phoneticPr fontId="7"/>
  </si>
  <si>
    <t>札幌市中央区南１８条</t>
    <phoneticPr fontId="7"/>
  </si>
  <si>
    <t>１５丁目１－１</t>
    <phoneticPr fontId="7"/>
  </si>
  <si>
    <t>札幌市中央区南２９条西</t>
    <phoneticPr fontId="7"/>
  </si>
  <si>
    <t>１２丁目１－１</t>
    <phoneticPr fontId="7"/>
  </si>
  <si>
    <t>札幌市中央区南３条西</t>
    <phoneticPr fontId="7"/>
  </si>
  <si>
    <t>７丁目１番地</t>
    <phoneticPr fontId="7"/>
  </si>
  <si>
    <t>７丁目１－３０</t>
    <phoneticPr fontId="7"/>
  </si>
  <si>
    <t>札幌市西区山の手１条</t>
    <phoneticPr fontId="7"/>
  </si>
  <si>
    <t>９丁目６番１号</t>
    <phoneticPr fontId="7"/>
  </si>
  <si>
    <t>札幌市西区山の手５条</t>
    <phoneticPr fontId="7"/>
  </si>
  <si>
    <t>６丁目１番１号</t>
    <phoneticPr fontId="7"/>
  </si>
  <si>
    <t>札幌市西区山の手５条</t>
    <phoneticPr fontId="7"/>
  </si>
  <si>
    <t>８丁目１番３８号</t>
    <phoneticPr fontId="7"/>
  </si>
  <si>
    <t>札幌市西区西野１条</t>
    <phoneticPr fontId="7"/>
  </si>
  <si>
    <t>７丁目４－１</t>
    <phoneticPr fontId="7"/>
  </si>
  <si>
    <t>札幌市西区西野４条</t>
    <phoneticPr fontId="7"/>
  </si>
  <si>
    <t>３丁目７番１号</t>
    <phoneticPr fontId="7"/>
  </si>
  <si>
    <t>札幌市西区西野８条</t>
    <phoneticPr fontId="7"/>
  </si>
  <si>
    <t>４丁目４番１号</t>
    <phoneticPr fontId="7"/>
  </si>
  <si>
    <t>７丁目１－１</t>
    <phoneticPr fontId="7"/>
  </si>
  <si>
    <t>札幌市西区二十四軒２条</t>
    <phoneticPr fontId="7"/>
  </si>
  <si>
    <t>３丁目１－３７</t>
    <phoneticPr fontId="7"/>
  </si>
  <si>
    <t>札幌市西区八軒３条西</t>
    <phoneticPr fontId="7"/>
  </si>
  <si>
    <t>５丁目１番１号</t>
    <phoneticPr fontId="7"/>
  </si>
  <si>
    <t>札幌市西区八軒４条西</t>
    <phoneticPr fontId="7"/>
  </si>
  <si>
    <t>１丁目１－８</t>
    <phoneticPr fontId="7"/>
  </si>
  <si>
    <t>札幌市西区八軒７条東</t>
    <phoneticPr fontId="7"/>
  </si>
  <si>
    <t>１丁目１－１</t>
    <phoneticPr fontId="7"/>
  </si>
  <si>
    <t>札幌市西区八軒８条西</t>
    <phoneticPr fontId="7"/>
  </si>
  <si>
    <t>札幌市西区発寒１０条</t>
    <phoneticPr fontId="7"/>
  </si>
  <si>
    <t>４丁目１番６２号</t>
    <phoneticPr fontId="7"/>
  </si>
  <si>
    <t>札幌市西区発寒１１条</t>
    <phoneticPr fontId="7"/>
  </si>
  <si>
    <t>６丁目２番１号</t>
    <phoneticPr fontId="7"/>
  </si>
  <si>
    <t>札幌市西区発寒１５条</t>
    <phoneticPr fontId="7"/>
  </si>
  <si>
    <t>２丁目２－１</t>
    <phoneticPr fontId="7"/>
  </si>
  <si>
    <t>札幌市西区発寒２条</t>
    <phoneticPr fontId="7"/>
  </si>
  <si>
    <t>４丁目１－１</t>
    <phoneticPr fontId="7"/>
  </si>
  <si>
    <t>札幌市西区発寒５条</t>
    <phoneticPr fontId="7"/>
  </si>
  <si>
    <t>７丁目１－２</t>
    <phoneticPr fontId="7"/>
  </si>
  <si>
    <t>札幌市西区発寒７条</t>
    <phoneticPr fontId="7"/>
  </si>
  <si>
    <t>１３丁目２－１</t>
    <phoneticPr fontId="7"/>
  </si>
  <si>
    <t>札幌市西区福井</t>
    <phoneticPr fontId="7"/>
  </si>
  <si>
    <t>６丁目１１－１</t>
    <phoneticPr fontId="7"/>
  </si>
  <si>
    <t>札幌市西区平和３条</t>
    <phoneticPr fontId="7"/>
  </si>
  <si>
    <t>８丁目２－１</t>
    <phoneticPr fontId="7"/>
  </si>
  <si>
    <t>札幌市清田区清田１条</t>
    <phoneticPr fontId="7"/>
  </si>
  <si>
    <t>４丁目３番３０号</t>
    <phoneticPr fontId="7"/>
  </si>
  <si>
    <t>札幌市北区北９条西</t>
    <phoneticPr fontId="61"/>
  </si>
  <si>
    <t>１丁目１</t>
    <phoneticPr fontId="7"/>
  </si>
  <si>
    <t>札幌市清田区清田５条</t>
    <phoneticPr fontId="61"/>
  </si>
  <si>
    <t>２丁目１８－１</t>
    <phoneticPr fontId="7"/>
  </si>
  <si>
    <t>札幌市清田区清田７条</t>
    <phoneticPr fontId="7"/>
  </si>
  <si>
    <t>３丁目１２－３０</t>
    <phoneticPr fontId="7"/>
  </si>
  <si>
    <t>札幌市清田区美しが丘１条</t>
    <phoneticPr fontId="7"/>
  </si>
  <si>
    <t>１丁目１－１０</t>
    <phoneticPr fontId="7"/>
  </si>
  <si>
    <t>札幌市清田区美しが丘２条</t>
    <phoneticPr fontId="61"/>
  </si>
  <si>
    <t>５丁目１番１号</t>
    <phoneticPr fontId="7"/>
  </si>
  <si>
    <t>札幌市清田区美しが丘４条</t>
    <phoneticPr fontId="7"/>
  </si>
  <si>
    <t>５丁目８番１号</t>
    <phoneticPr fontId="7"/>
  </si>
  <si>
    <t>札幌市清田区平岡２条</t>
    <phoneticPr fontId="7"/>
  </si>
  <si>
    <t>６丁目２－１</t>
    <phoneticPr fontId="7"/>
  </si>
  <si>
    <t>札幌市清田区平岡５条</t>
    <phoneticPr fontId="7"/>
  </si>
  <si>
    <t>３丁目９番１号</t>
    <phoneticPr fontId="7"/>
  </si>
  <si>
    <t>札幌市清田区平岡９条</t>
    <phoneticPr fontId="7"/>
  </si>
  <si>
    <t>２丁目５番１号</t>
    <phoneticPr fontId="7"/>
  </si>
  <si>
    <t>札幌市清田区平岡公園東</t>
    <phoneticPr fontId="7"/>
  </si>
  <si>
    <t>５丁目９番１号</t>
    <phoneticPr fontId="7"/>
  </si>
  <si>
    <t>札幌市清田区北野２条</t>
    <phoneticPr fontId="7"/>
  </si>
  <si>
    <t>札幌市北区北３４条西</t>
    <phoneticPr fontId="7"/>
  </si>
  <si>
    <t>７丁目３番２号</t>
    <phoneticPr fontId="7"/>
  </si>
  <si>
    <t>札幌市北区北３１条西</t>
    <phoneticPr fontId="7"/>
  </si>
  <si>
    <t>９丁目２－１</t>
    <phoneticPr fontId="7"/>
  </si>
  <si>
    <t>札幌市北区北２７条西</t>
    <phoneticPr fontId="7"/>
  </si>
  <si>
    <t>１４丁目１－１</t>
    <phoneticPr fontId="7"/>
  </si>
  <si>
    <t>札幌市北区北２４条西</t>
    <phoneticPr fontId="7"/>
  </si>
  <si>
    <t>７丁目１－１</t>
    <phoneticPr fontId="7"/>
  </si>
  <si>
    <t>札幌市北区北１９条西</t>
    <phoneticPr fontId="7"/>
  </si>
  <si>
    <t>２丁目１番１号</t>
    <phoneticPr fontId="7"/>
  </si>
  <si>
    <t>札幌市北区百合が原</t>
    <phoneticPr fontId="61"/>
  </si>
  <si>
    <t>６丁目５番１号</t>
    <phoneticPr fontId="7"/>
  </si>
  <si>
    <t>札幌市北区屯田９条</t>
    <phoneticPr fontId="7"/>
  </si>
  <si>
    <t>３丁目４－１</t>
    <phoneticPr fontId="7"/>
  </si>
  <si>
    <t>札幌市北区屯田７条</t>
    <phoneticPr fontId="7"/>
  </si>
  <si>
    <t>６丁目２－２</t>
    <phoneticPr fontId="7"/>
  </si>
  <si>
    <t>札幌市北区屯田６条</t>
    <phoneticPr fontId="7"/>
  </si>
  <si>
    <t>１０丁目３番１号</t>
    <phoneticPr fontId="7"/>
  </si>
  <si>
    <t>札幌市北区屯田５条</t>
    <phoneticPr fontId="7"/>
  </si>
  <si>
    <t>４丁目６－１</t>
    <phoneticPr fontId="7"/>
  </si>
  <si>
    <t>札幌市北区東茨戸１条</t>
    <phoneticPr fontId="7"/>
  </si>
  <si>
    <t>２丁目２－１</t>
    <phoneticPr fontId="7"/>
  </si>
  <si>
    <t>札幌市北区太平１条</t>
    <phoneticPr fontId="7"/>
  </si>
  <si>
    <t>１丁目２－１</t>
    <phoneticPr fontId="7"/>
  </si>
  <si>
    <t>札幌市北区新川５条</t>
    <phoneticPr fontId="7"/>
  </si>
  <si>
    <t>１５丁目１－１</t>
    <phoneticPr fontId="7"/>
  </si>
  <si>
    <t>札幌市北区新川３条</t>
    <phoneticPr fontId="7"/>
  </si>
  <si>
    <t>３丁目２番１号</t>
    <phoneticPr fontId="7"/>
  </si>
  <si>
    <t>札幌市北区新琴似７条</t>
    <phoneticPr fontId="7"/>
  </si>
  <si>
    <t>３丁目２－１</t>
    <phoneticPr fontId="7"/>
  </si>
  <si>
    <t>札幌市北区新琴似５条</t>
    <phoneticPr fontId="7"/>
  </si>
  <si>
    <t>１１丁目４番１号</t>
    <phoneticPr fontId="7"/>
  </si>
  <si>
    <t>札幌市北区新琴似１条</t>
    <phoneticPr fontId="7"/>
  </si>
  <si>
    <t>３丁目１－１</t>
    <phoneticPr fontId="7"/>
  </si>
  <si>
    <t>１２丁目１番１号</t>
    <phoneticPr fontId="7"/>
  </si>
  <si>
    <t>札幌市北区新琴似１１条</t>
    <phoneticPr fontId="7"/>
  </si>
  <si>
    <t>６丁目１－１</t>
    <phoneticPr fontId="7"/>
  </si>
  <si>
    <t>札幌市北区新琴似１１条</t>
    <phoneticPr fontId="7"/>
  </si>
  <si>
    <t>１５丁目１番５号</t>
    <phoneticPr fontId="7"/>
  </si>
  <si>
    <t>札幌市北区新琴似１０条</t>
    <phoneticPr fontId="7"/>
  </si>
  <si>
    <t>１１丁目５－１</t>
    <phoneticPr fontId="7"/>
  </si>
  <si>
    <t>札幌市北区篠路５条</t>
    <phoneticPr fontId="7"/>
  </si>
  <si>
    <t>２丁目２番</t>
    <phoneticPr fontId="7"/>
  </si>
  <si>
    <t>札幌市北区篠路４条</t>
    <phoneticPr fontId="7"/>
  </si>
  <si>
    <t>９丁目３番１</t>
    <phoneticPr fontId="7"/>
  </si>
  <si>
    <t>札幌市北区篠路１条</t>
    <phoneticPr fontId="7"/>
  </si>
  <si>
    <t>２丁目６－２０</t>
    <phoneticPr fontId="7"/>
  </si>
  <si>
    <t>札幌市北区あいの里５条</t>
    <phoneticPr fontId="7"/>
  </si>
  <si>
    <t>３丁目１番１０号</t>
    <phoneticPr fontId="7"/>
  </si>
  <si>
    <t>札幌市北区あいの里３条</t>
    <phoneticPr fontId="61"/>
  </si>
  <si>
    <t>７丁目１１番１号</t>
    <phoneticPr fontId="7"/>
  </si>
  <si>
    <t>札幌市北区あいの里３条</t>
    <phoneticPr fontId="7"/>
  </si>
  <si>
    <t>６丁目２－１</t>
    <phoneticPr fontId="7"/>
  </si>
  <si>
    <t>札幌市北区あいの里２条</t>
    <phoneticPr fontId="61"/>
  </si>
  <si>
    <t>３丁目９－１</t>
    <phoneticPr fontId="7"/>
  </si>
  <si>
    <t>札幌市北区あいの里２条</t>
    <phoneticPr fontId="7"/>
  </si>
  <si>
    <t>１丁目２４－１</t>
    <phoneticPr fontId="7"/>
  </si>
  <si>
    <t>札幌市豊平区月寒西２条</t>
    <phoneticPr fontId="7"/>
  </si>
  <si>
    <t>札幌市豊平区月寒西４条</t>
    <phoneticPr fontId="61"/>
  </si>
  <si>
    <t>８丁目２－１</t>
    <phoneticPr fontId="7"/>
  </si>
  <si>
    <t>札幌市豊平区月寒東１条</t>
    <phoneticPr fontId="7"/>
  </si>
  <si>
    <t>１１丁目７－３２</t>
    <phoneticPr fontId="7"/>
  </si>
  <si>
    <t>１６丁目３－１</t>
    <phoneticPr fontId="7"/>
  </si>
  <si>
    <t>札幌市豊平区月寒東３条</t>
    <phoneticPr fontId="7"/>
  </si>
  <si>
    <t>１０丁目１－１</t>
    <phoneticPr fontId="7"/>
  </si>
  <si>
    <t>札幌市豊平区月寒東４条</t>
    <phoneticPr fontId="7"/>
  </si>
  <si>
    <t>１８丁目１０－４３</t>
    <phoneticPr fontId="7"/>
  </si>
  <si>
    <t>札幌市豊平区水車町</t>
    <phoneticPr fontId="7"/>
  </si>
  <si>
    <t>３丁目１－２２</t>
    <phoneticPr fontId="7"/>
  </si>
  <si>
    <t>札幌市豊平区西岡２条</t>
    <phoneticPr fontId="7"/>
  </si>
  <si>
    <t>９丁目１－１</t>
    <phoneticPr fontId="7"/>
  </si>
  <si>
    <t>札幌市豊平区西岡３条</t>
    <phoneticPr fontId="7"/>
  </si>
  <si>
    <t>６丁目７番２０号</t>
    <phoneticPr fontId="7"/>
  </si>
  <si>
    <t>札幌市豊平区西岡４条</t>
    <phoneticPr fontId="7"/>
  </si>
  <si>
    <t>１２丁目７－１</t>
    <phoneticPr fontId="7"/>
  </si>
  <si>
    <t>札幌市豊平区中の島２条</t>
    <phoneticPr fontId="7"/>
  </si>
  <si>
    <t>１丁目１番２２号</t>
    <phoneticPr fontId="7"/>
  </si>
  <si>
    <t>札幌市豊平区美園１条</t>
    <phoneticPr fontId="7"/>
  </si>
  <si>
    <t>４丁目１－１</t>
    <phoneticPr fontId="7"/>
  </si>
  <si>
    <t>札幌市豊平区美園５条</t>
    <phoneticPr fontId="7"/>
  </si>
  <si>
    <t>札幌市豊平区福住３条</t>
    <phoneticPr fontId="7"/>
  </si>
  <si>
    <t>５丁目１番１号</t>
    <phoneticPr fontId="7"/>
  </si>
  <si>
    <t>札幌市豊平区平岸１条</t>
    <phoneticPr fontId="7"/>
  </si>
  <si>
    <t>１５丁目２番</t>
    <phoneticPr fontId="7"/>
  </si>
  <si>
    <t>札幌市豊平区平岸２条</t>
    <phoneticPr fontId="7"/>
  </si>
  <si>
    <t>１４丁目１－２８</t>
    <phoneticPr fontId="7"/>
  </si>
  <si>
    <t>札幌市豊平区平岸４条</t>
    <phoneticPr fontId="7"/>
  </si>
  <si>
    <t>１１丁目６－１</t>
    <phoneticPr fontId="7"/>
  </si>
  <si>
    <t>札幌市豊平区平岸５条</t>
    <phoneticPr fontId="7"/>
  </si>
  <si>
    <t>１８丁目１－１</t>
    <phoneticPr fontId="7"/>
  </si>
  <si>
    <t>７丁目２番２１号</t>
    <phoneticPr fontId="7"/>
  </si>
  <si>
    <t>札幌市豊平区豊平１条</t>
    <phoneticPr fontId="7"/>
  </si>
  <si>
    <t>１２丁目１－１</t>
    <phoneticPr fontId="7"/>
  </si>
  <si>
    <t>札幌市豊平区豊平５条</t>
    <phoneticPr fontId="7"/>
  </si>
  <si>
    <t>札幌市白石区菊水６条</t>
    <phoneticPr fontId="7"/>
  </si>
  <si>
    <t>３丁目２－６５</t>
    <phoneticPr fontId="7"/>
  </si>
  <si>
    <t>札幌市白石区菊水８条</t>
    <phoneticPr fontId="7"/>
  </si>
  <si>
    <t>１丁目３－２５</t>
    <phoneticPr fontId="7"/>
  </si>
  <si>
    <t>札幌市白石区菊水元町２条</t>
    <phoneticPr fontId="7"/>
  </si>
  <si>
    <t>３丁目２番１４号</t>
    <phoneticPr fontId="7"/>
  </si>
  <si>
    <t>札幌市白石区菊水上町１条</t>
    <phoneticPr fontId="7"/>
  </si>
  <si>
    <t>３丁目５２</t>
    <phoneticPr fontId="7"/>
  </si>
  <si>
    <t>札幌市白石区川下４条</t>
    <phoneticPr fontId="7"/>
  </si>
  <si>
    <t>３丁目１番１号</t>
    <phoneticPr fontId="7"/>
  </si>
  <si>
    <t>札幌市白石区川北４条</t>
    <phoneticPr fontId="7"/>
  </si>
  <si>
    <t>札幌市白石区中央３条</t>
    <phoneticPr fontId="7"/>
  </si>
  <si>
    <t>５丁目２番２２号</t>
    <phoneticPr fontId="7"/>
  </si>
  <si>
    <t>札幌市白石区東札幌４条</t>
    <phoneticPr fontId="7"/>
  </si>
  <si>
    <t>５丁目４－２０</t>
    <phoneticPr fontId="7"/>
  </si>
  <si>
    <t>札幌市白石区南郷通</t>
    <phoneticPr fontId="7"/>
  </si>
  <si>
    <t>１０丁目南３－１</t>
    <phoneticPr fontId="7"/>
  </si>
  <si>
    <t>札幌市白石区南郷通</t>
    <phoneticPr fontId="7"/>
  </si>
  <si>
    <t>２丁目南６－３５</t>
    <phoneticPr fontId="7"/>
  </si>
  <si>
    <t>札幌市白石区平和通</t>
    <phoneticPr fontId="7"/>
  </si>
  <si>
    <t>９丁目南１－１</t>
    <phoneticPr fontId="7"/>
  </si>
  <si>
    <t>札幌市白石区米里１条</t>
    <phoneticPr fontId="7"/>
  </si>
  <si>
    <t>３丁目８－１</t>
    <phoneticPr fontId="7"/>
  </si>
  <si>
    <t>札幌市白石区北郷３条</t>
    <phoneticPr fontId="7"/>
  </si>
  <si>
    <t>１１丁目７－１</t>
    <phoneticPr fontId="7"/>
  </si>
  <si>
    <t>札幌市白石区北郷４条</t>
    <phoneticPr fontId="7"/>
  </si>
  <si>
    <t>５丁目１－１</t>
    <phoneticPr fontId="7"/>
  </si>
  <si>
    <t>札幌市白石区北郷６条</t>
    <phoneticPr fontId="7"/>
  </si>
  <si>
    <t>３丁目５番２号</t>
    <phoneticPr fontId="7"/>
  </si>
  <si>
    <t>札幌市白石区本郷通</t>
    <phoneticPr fontId="7"/>
  </si>
  <si>
    <t>４丁目南３－１</t>
    <phoneticPr fontId="7"/>
  </si>
  <si>
    <t>札幌市白石区本通</t>
    <phoneticPr fontId="7"/>
  </si>
  <si>
    <t>１４丁目南６番１号</t>
    <phoneticPr fontId="7"/>
  </si>
  <si>
    <t>札幌市白石区本通</t>
    <phoneticPr fontId="7"/>
  </si>
  <si>
    <t>１５丁目北３－１</t>
    <phoneticPr fontId="7"/>
  </si>
  <si>
    <t>１８丁目南１－１</t>
    <phoneticPr fontId="7"/>
  </si>
  <si>
    <t>札幌市白石区本通</t>
    <phoneticPr fontId="7"/>
  </si>
  <si>
    <t>１丁目北４番１号</t>
    <phoneticPr fontId="7"/>
  </si>
  <si>
    <t>札幌市南区簾舞１条</t>
    <phoneticPr fontId="7"/>
  </si>
  <si>
    <t>４丁目２番１号</t>
    <phoneticPr fontId="7"/>
  </si>
  <si>
    <t>札幌市南区北ノ沢</t>
    <phoneticPr fontId="7"/>
  </si>
  <si>
    <t>１７２７番地５</t>
    <phoneticPr fontId="7"/>
  </si>
  <si>
    <t>札幌市南区南沢３条</t>
    <phoneticPr fontId="7"/>
  </si>
  <si>
    <t>２丁目１８－１</t>
    <phoneticPr fontId="7"/>
  </si>
  <si>
    <t>札幌市南区南３１条西</t>
    <phoneticPr fontId="7"/>
  </si>
  <si>
    <t>９丁目２－１</t>
    <phoneticPr fontId="7"/>
  </si>
  <si>
    <t>札幌市南区南３０条西</t>
    <phoneticPr fontId="7"/>
  </si>
  <si>
    <t>８丁目１－５０</t>
    <phoneticPr fontId="7"/>
  </si>
  <si>
    <t>札幌市南区藤野４条</t>
    <phoneticPr fontId="7"/>
  </si>
  <si>
    <t>６丁目２６－１</t>
    <phoneticPr fontId="7"/>
  </si>
  <si>
    <t>札幌市南区藤野２条</t>
    <phoneticPr fontId="7"/>
  </si>
  <si>
    <t>７丁目７－１</t>
    <phoneticPr fontId="7"/>
  </si>
  <si>
    <t>札幌市南区定山渓温泉東</t>
    <phoneticPr fontId="7"/>
  </si>
  <si>
    <t>４丁目３０８番地</t>
    <phoneticPr fontId="7"/>
  </si>
  <si>
    <t>札幌市南区川沿７条</t>
    <phoneticPr fontId="7"/>
  </si>
  <si>
    <t>２丁目３－１</t>
    <phoneticPr fontId="7"/>
  </si>
  <si>
    <t>札幌市南区川沿２条</t>
    <phoneticPr fontId="7"/>
  </si>
  <si>
    <t>札幌市南区川沿１８条</t>
    <phoneticPr fontId="7"/>
  </si>
  <si>
    <t>２丁目１番１５号</t>
    <phoneticPr fontId="7"/>
  </si>
  <si>
    <t>札幌市南区石山東</t>
    <phoneticPr fontId="61"/>
  </si>
  <si>
    <t>５丁目６－１</t>
    <phoneticPr fontId="7"/>
  </si>
  <si>
    <t>札幌市南区石山</t>
    <phoneticPr fontId="7"/>
  </si>
  <si>
    <t>５２８番地</t>
    <phoneticPr fontId="7"/>
  </si>
  <si>
    <t>札幌市南区澄川５条</t>
    <phoneticPr fontId="7"/>
  </si>
  <si>
    <t>４丁目１－１</t>
    <phoneticPr fontId="7"/>
  </si>
  <si>
    <t>札幌市南区澄川５条</t>
    <phoneticPr fontId="7"/>
  </si>
  <si>
    <t>１３丁目７－１</t>
    <phoneticPr fontId="7"/>
  </si>
  <si>
    <t>札幌市南区澄川２条</t>
    <phoneticPr fontId="7"/>
  </si>
  <si>
    <t>５丁目７－２</t>
    <phoneticPr fontId="7"/>
  </si>
  <si>
    <t>札幌市南区真駒内泉町</t>
    <phoneticPr fontId="7"/>
  </si>
  <si>
    <t>３丁目１３－１</t>
    <phoneticPr fontId="7"/>
  </si>
  <si>
    <t>札幌市南区真駒内曙町</t>
    <phoneticPr fontId="7"/>
  </si>
  <si>
    <t>２丁目１－１</t>
    <phoneticPr fontId="7"/>
  </si>
  <si>
    <t>札幌市南区真駒内</t>
    <phoneticPr fontId="7"/>
  </si>
  <si>
    <t>１４３番地</t>
    <phoneticPr fontId="7"/>
  </si>
  <si>
    <t>札幌市南区常盤６条</t>
    <phoneticPr fontId="7"/>
  </si>
  <si>
    <t>２丁目１０７番地</t>
    <phoneticPr fontId="7"/>
  </si>
  <si>
    <t>札幌市清田区北野３条</t>
    <phoneticPr fontId="7"/>
  </si>
  <si>
    <t>２丁目１０－１</t>
    <phoneticPr fontId="7"/>
  </si>
  <si>
    <t>札幌市清田区北野４条</t>
    <phoneticPr fontId="7"/>
  </si>
  <si>
    <t>５丁目４番８０号</t>
    <phoneticPr fontId="7"/>
  </si>
  <si>
    <t>札幌市清田区有明</t>
    <phoneticPr fontId="61"/>
  </si>
  <si>
    <t>１４１－２</t>
    <phoneticPr fontId="7"/>
  </si>
  <si>
    <t>札幌市清田区里塚２条</t>
    <phoneticPr fontId="7"/>
  </si>
  <si>
    <t>６丁目７番１号</t>
    <phoneticPr fontId="7"/>
  </si>
  <si>
    <t>札幌市手稲区金山３条</t>
    <rPh sb="5" eb="6">
      <t>ク</t>
    </rPh>
    <phoneticPr fontId="61"/>
  </si>
  <si>
    <t>２丁目８－６０</t>
  </si>
  <si>
    <t>札幌市手稲区稲穂４条</t>
    <phoneticPr fontId="61"/>
  </si>
  <si>
    <t>５丁目１２－５</t>
    <phoneticPr fontId="7"/>
  </si>
  <si>
    <t>札幌市手稲区手稲山口</t>
    <phoneticPr fontId="7"/>
  </si>
  <si>
    <t>６５３-２</t>
    <phoneticPr fontId="7"/>
  </si>
  <si>
    <t>札幌市手稲区手稲前田２条</t>
    <phoneticPr fontId="7"/>
  </si>
  <si>
    <t>１２丁目１番２号</t>
    <phoneticPr fontId="7"/>
  </si>
  <si>
    <t>札幌市手稲区手稲本町３条</t>
    <phoneticPr fontId="7"/>
  </si>
  <si>
    <t>２丁目６番１号</t>
    <phoneticPr fontId="7"/>
  </si>
  <si>
    <t>札幌市手稲区曙１１条</t>
    <phoneticPr fontId="7"/>
  </si>
  <si>
    <t>２丁目７番１号</t>
    <phoneticPr fontId="7"/>
  </si>
  <si>
    <t>札幌市手稲区新発寒２条</t>
    <phoneticPr fontId="7"/>
  </si>
  <si>
    <t>２丁目１１１５番地３０７</t>
    <phoneticPr fontId="7"/>
  </si>
  <si>
    <t>札幌市手稲区新発寒５条</t>
    <phoneticPr fontId="7"/>
  </si>
  <si>
    <t>４丁目２番１号</t>
    <phoneticPr fontId="7"/>
  </si>
  <si>
    <t>札幌市手稲区新発寒６条</t>
    <phoneticPr fontId="7"/>
  </si>
  <si>
    <t>６丁目３番１号</t>
    <phoneticPr fontId="7"/>
  </si>
  <si>
    <t>札幌市手稲区星置２条</t>
    <phoneticPr fontId="7"/>
  </si>
  <si>
    <t>１丁目６－１</t>
    <phoneticPr fontId="7"/>
  </si>
  <si>
    <t>札幌市手稲区西宮の沢２条</t>
    <phoneticPr fontId="7"/>
  </si>
  <si>
    <t>４丁目１５番１号</t>
    <phoneticPr fontId="7"/>
  </si>
  <si>
    <t>札幌市手稲区前田１０条</t>
    <phoneticPr fontId="7"/>
  </si>
  <si>
    <t>１８丁目４－１</t>
  </si>
  <si>
    <t>札幌市手稲区前田５条</t>
    <phoneticPr fontId="61"/>
  </si>
  <si>
    <t>札幌市手稲区前田６条</t>
    <phoneticPr fontId="7"/>
  </si>
  <si>
    <t>１１丁目３－１</t>
    <phoneticPr fontId="7"/>
  </si>
  <si>
    <t>札幌市手稲区前田８条</t>
    <phoneticPr fontId="7"/>
  </si>
  <si>
    <t>１２丁目２－１</t>
    <phoneticPr fontId="7"/>
  </si>
  <si>
    <t>札幌市手稲区富丘１条</t>
    <phoneticPr fontId="7"/>
  </si>
  <si>
    <t>６丁目４番１号</t>
    <phoneticPr fontId="7"/>
  </si>
  <si>
    <t>札幌市東区本町２条</t>
    <phoneticPr fontId="7"/>
  </si>
  <si>
    <t>１丁目２番３２号</t>
    <phoneticPr fontId="7"/>
  </si>
  <si>
    <t>札幌市東区北９条東</t>
    <phoneticPr fontId="7"/>
  </si>
  <si>
    <t>１３丁目１番１号</t>
    <phoneticPr fontId="7"/>
  </si>
  <si>
    <t>札幌市東区北５１条東</t>
    <phoneticPr fontId="7"/>
  </si>
  <si>
    <t>１０丁目１番１号</t>
    <phoneticPr fontId="7"/>
  </si>
  <si>
    <t>札幌市東区北４７条東</t>
    <phoneticPr fontId="7"/>
  </si>
  <si>
    <t>札幌市東区北４６条東</t>
    <phoneticPr fontId="7"/>
  </si>
  <si>
    <t>１３丁目</t>
    <phoneticPr fontId="7"/>
  </si>
  <si>
    <t>札幌市東区北４２条東</t>
    <phoneticPr fontId="7"/>
  </si>
  <si>
    <t>１０丁目２番３号</t>
    <phoneticPr fontId="7"/>
  </si>
  <si>
    <t>札幌市東区北３９条東</t>
    <phoneticPr fontId="7"/>
  </si>
  <si>
    <t>札幌市東区北３７条東</t>
    <phoneticPr fontId="7"/>
  </si>
  <si>
    <t>２０丁目３番１号</t>
    <phoneticPr fontId="7"/>
  </si>
  <si>
    <t>札幌市東区北３６条東</t>
    <phoneticPr fontId="7"/>
  </si>
  <si>
    <t>１３丁目３－１</t>
  </si>
  <si>
    <t>札幌市東区北３３条東</t>
    <phoneticPr fontId="7"/>
  </si>
  <si>
    <t>札幌市東区北３１条東</t>
    <phoneticPr fontId="7"/>
  </si>
  <si>
    <t>１４丁目１－１</t>
    <phoneticPr fontId="7"/>
  </si>
  <si>
    <t>札幌市東区北２５条東</t>
    <phoneticPr fontId="7"/>
  </si>
  <si>
    <t>４丁目３－１</t>
    <phoneticPr fontId="7"/>
  </si>
  <si>
    <t>１７丁目１－１</t>
    <phoneticPr fontId="7"/>
  </si>
  <si>
    <t>札幌市東区北２１条東</t>
    <phoneticPr fontId="7"/>
  </si>
  <si>
    <t>２１丁目３番１号</t>
    <phoneticPr fontId="7"/>
  </si>
  <si>
    <t>札幌市東区北１９条東</t>
    <phoneticPr fontId="7"/>
  </si>
  <si>
    <t>１４丁目１番１号</t>
    <phoneticPr fontId="7"/>
  </si>
  <si>
    <t>札幌市東区北１８条東</t>
    <phoneticPr fontId="7"/>
  </si>
  <si>
    <t>６丁目１番１０号</t>
    <phoneticPr fontId="7"/>
  </si>
  <si>
    <t>札幌市東区北１２条東</t>
    <phoneticPr fontId="7"/>
  </si>
  <si>
    <t>６丁目１－１</t>
    <phoneticPr fontId="7"/>
  </si>
  <si>
    <t>札幌市東区伏古８条</t>
    <phoneticPr fontId="7"/>
  </si>
  <si>
    <t>５丁目２番１号</t>
    <phoneticPr fontId="7"/>
  </si>
  <si>
    <t>札幌市東区伏古１条</t>
    <phoneticPr fontId="7"/>
  </si>
  <si>
    <t>２丁目１－３１</t>
    <phoneticPr fontId="7"/>
  </si>
  <si>
    <t>札幌市東区伏古１１条</t>
    <phoneticPr fontId="7"/>
  </si>
  <si>
    <t>１丁目２－１０</t>
    <phoneticPr fontId="7"/>
  </si>
  <si>
    <t>札幌市東区東苗穂９条</t>
    <phoneticPr fontId="7"/>
  </si>
  <si>
    <t>３丁目２番３号</t>
    <phoneticPr fontId="7"/>
  </si>
  <si>
    <t>札幌市東区東苗穂７条</t>
    <phoneticPr fontId="7"/>
  </si>
  <si>
    <t>２丁目３番１号</t>
    <phoneticPr fontId="7"/>
  </si>
  <si>
    <t>札幌市東区東苗穂５条</t>
    <phoneticPr fontId="7"/>
  </si>
  <si>
    <t>２丁目３－１</t>
    <phoneticPr fontId="7"/>
  </si>
  <si>
    <t>札幌市東区東苗穂１３条</t>
    <phoneticPr fontId="7"/>
  </si>
  <si>
    <t>４丁目９－３０</t>
    <phoneticPr fontId="7"/>
  </si>
  <si>
    <t>札幌市東区中沼町</t>
    <phoneticPr fontId="7"/>
  </si>
  <si>
    <t>７３番地１０</t>
    <phoneticPr fontId="7"/>
  </si>
  <si>
    <t>札幌市東区中沼町</t>
    <phoneticPr fontId="7"/>
  </si>
  <si>
    <t>２４０番地</t>
    <phoneticPr fontId="7"/>
  </si>
  <si>
    <t>札幌市東区丘珠町</t>
    <phoneticPr fontId="7"/>
  </si>
  <si>
    <t>５９８番地</t>
    <phoneticPr fontId="7"/>
  </si>
  <si>
    <t>札幌市厚別区もみじ台西</t>
    <phoneticPr fontId="61"/>
  </si>
  <si>
    <t>３丁目４番１号</t>
    <phoneticPr fontId="7"/>
  </si>
  <si>
    <t>札幌市厚別区もみじ台東</t>
    <phoneticPr fontId="7"/>
  </si>
  <si>
    <t>４丁目５－１</t>
    <phoneticPr fontId="7"/>
  </si>
  <si>
    <t>札幌市厚別区厚別西３条</t>
    <phoneticPr fontId="7"/>
  </si>
  <si>
    <t>１丁目３－１</t>
    <phoneticPr fontId="7"/>
  </si>
  <si>
    <t>札幌市厚別区厚別西４条</t>
    <phoneticPr fontId="7"/>
  </si>
  <si>
    <t>３丁目１０番３０号</t>
    <phoneticPr fontId="7"/>
  </si>
  <si>
    <t>札幌市厚別区厚別中央２条</t>
    <phoneticPr fontId="7"/>
  </si>
  <si>
    <t>４丁目３番１号</t>
    <phoneticPr fontId="7"/>
  </si>
  <si>
    <t>札幌市厚別区厚別中央４条</t>
    <phoneticPr fontId="7"/>
  </si>
  <si>
    <t>３丁目６－１</t>
    <phoneticPr fontId="7"/>
  </si>
  <si>
    <t>札幌市厚別区厚別東２条</t>
    <phoneticPr fontId="7"/>
  </si>
  <si>
    <t>４丁目５番１号</t>
    <phoneticPr fontId="7"/>
  </si>
  <si>
    <t>札幌市厚別区厚別東４条</t>
    <phoneticPr fontId="7"/>
  </si>
  <si>
    <t>８丁目１番１号</t>
    <phoneticPr fontId="7"/>
  </si>
  <si>
    <t>札幌市厚別区厚別南</t>
    <phoneticPr fontId="7"/>
  </si>
  <si>
    <t>２丁目２１－２２</t>
    <phoneticPr fontId="7"/>
  </si>
  <si>
    <t>札幌市厚別区厚別北２条</t>
    <phoneticPr fontId="7"/>
  </si>
  <si>
    <t>３丁目３－１</t>
    <phoneticPr fontId="7"/>
  </si>
  <si>
    <t>札幌市厚別区大谷地東</t>
    <phoneticPr fontId="7"/>
  </si>
  <si>
    <t>５丁目８－１</t>
    <phoneticPr fontId="7"/>
  </si>
  <si>
    <t>南郷通</t>
    <phoneticPr fontId="7"/>
  </si>
  <si>
    <t>南郷通</t>
    <phoneticPr fontId="7"/>
  </si>
  <si>
    <t>平和通</t>
    <phoneticPr fontId="7"/>
  </si>
  <si>
    <t>平和通</t>
    <phoneticPr fontId="7"/>
  </si>
  <si>
    <t>本郷通</t>
    <phoneticPr fontId="7"/>
  </si>
  <si>
    <t>本郷通</t>
    <phoneticPr fontId="7"/>
  </si>
  <si>
    <t>本通</t>
    <phoneticPr fontId="7"/>
  </si>
  <si>
    <t>本通</t>
    <phoneticPr fontId="7"/>
  </si>
  <si>
    <t>南三十条西８丁目</t>
    <phoneticPr fontId="7"/>
  </si>
  <si>
    <t>011-644-3984</t>
    <phoneticPr fontId="7"/>
  </si>
  <si>
    <t>011-615-6936</t>
    <phoneticPr fontId="7"/>
  </si>
  <si>
    <t>011-261-5723</t>
    <phoneticPr fontId="7"/>
  </si>
  <si>
    <t>011-531-5295</t>
    <phoneticPr fontId="7"/>
  </si>
  <si>
    <t>011-551-6213</t>
    <phoneticPr fontId="7"/>
  </si>
  <si>
    <t xml:space="preserve">011-615-6579  </t>
    <phoneticPr fontId="7"/>
  </si>
  <si>
    <t>011-531-6754</t>
    <phoneticPr fontId="7"/>
  </si>
  <si>
    <t>011-615-6593</t>
    <phoneticPr fontId="7"/>
  </si>
  <si>
    <t>011-261-5762</t>
    <phoneticPr fontId="7"/>
  </si>
  <si>
    <t>011-615-6792</t>
    <phoneticPr fontId="7"/>
  </si>
  <si>
    <t>011-551-6178</t>
    <phoneticPr fontId="7"/>
  </si>
  <si>
    <t>011-615-7134</t>
    <phoneticPr fontId="7"/>
  </si>
  <si>
    <t>011-643-1133</t>
    <phoneticPr fontId="7"/>
  </si>
  <si>
    <t>011-631-6356</t>
    <phoneticPr fontId="7"/>
  </si>
  <si>
    <t>011-615-6895</t>
    <phoneticPr fontId="7"/>
  </si>
  <si>
    <t>011-551-2771</t>
    <phoneticPr fontId="7"/>
  </si>
  <si>
    <t>011-551-6265</t>
    <phoneticPr fontId="7"/>
  </si>
  <si>
    <t>011-532-8340</t>
    <phoneticPr fontId="7"/>
  </si>
  <si>
    <t xml:space="preserve">011-532-8341 </t>
    <phoneticPr fontId="7"/>
  </si>
  <si>
    <t xml:space="preserve">011-204-9811  </t>
    <phoneticPr fontId="7"/>
  </si>
  <si>
    <t>011-204-9815</t>
    <phoneticPr fontId="7"/>
  </si>
  <si>
    <t>011-681-3038</t>
  </si>
  <si>
    <t>011-681-7149</t>
  </si>
  <si>
    <t>011-681-2853</t>
  </si>
  <si>
    <t>011-681-7279</t>
  </si>
  <si>
    <t>011-681-4182</t>
  </si>
  <si>
    <t>011-681-7359</t>
  </si>
  <si>
    <t>011-681-2287</t>
  </si>
  <si>
    <t>011-681-7394</t>
  </si>
  <si>
    <t>011-682-8167</t>
  </si>
  <si>
    <t>011-682-2503</t>
  </si>
  <si>
    <t>011-683-3791</t>
  </si>
  <si>
    <t>011-683-4974</t>
  </si>
  <si>
    <t>011-683-3749</t>
  </si>
  <si>
    <t>011-683-6946</t>
  </si>
  <si>
    <t>011-684-0123</t>
  </si>
  <si>
    <t>011-684-3497</t>
  </si>
  <si>
    <t>011-682-8412</t>
  </si>
  <si>
    <t>011-682-8430</t>
  </si>
  <si>
    <t>011-694-4781</t>
  </si>
  <si>
    <t>011-694-0619</t>
  </si>
  <si>
    <t>011-681-4811</t>
  </si>
  <si>
    <t>011-681-7403</t>
  </si>
  <si>
    <t>011-685-3871</t>
  </si>
  <si>
    <t>011-685-2841</t>
  </si>
  <si>
    <t>011-662-7820</t>
  </si>
  <si>
    <t>011-661-9546</t>
  </si>
  <si>
    <t>011-694-4291</t>
  </si>
  <si>
    <t>011-694-0815</t>
  </si>
  <si>
    <t>011-684-3498</t>
  </si>
  <si>
    <t>011-684-5561</t>
    <phoneticPr fontId="7"/>
  </si>
  <si>
    <t>011-694-7580</t>
  </si>
  <si>
    <t>011-694-0651</t>
  </si>
  <si>
    <t>011-631-6306</t>
  </si>
  <si>
    <t>011-615-7296</t>
  </si>
  <si>
    <t>011-661-2521</t>
  </si>
  <si>
    <t>011-661-9457</t>
  </si>
  <si>
    <t>011-621-0439</t>
  </si>
  <si>
    <t>011-613-1957</t>
  </si>
  <si>
    <t>011-661-1516</t>
  </si>
  <si>
    <t>011-661-9467</t>
  </si>
  <si>
    <t>011-661-0397</t>
  </si>
  <si>
    <t>011-661-9504</t>
  </si>
  <si>
    <t>011-642-0155</t>
  </si>
  <si>
    <t>011-642-4946</t>
  </si>
  <si>
    <t>011-642-2855</t>
  </si>
  <si>
    <t>011-642-2869</t>
  </si>
  <si>
    <t>011-662-2012</t>
  </si>
  <si>
    <t>011-661-3130</t>
  </si>
  <si>
    <t>011-662-5227</t>
  </si>
  <si>
    <t>011-662-5240</t>
  </si>
  <si>
    <t>011-662-5811</t>
  </si>
  <si>
    <t>011-661-9242</t>
  </si>
  <si>
    <t>011-663-4088</t>
  </si>
  <si>
    <t>011-661-9247</t>
  </si>
  <si>
    <t>011-664-0152</t>
  </si>
  <si>
    <t>011-661-9249</t>
  </si>
  <si>
    <t>011-643-4352</t>
  </si>
  <si>
    <t>011-643-0849</t>
  </si>
  <si>
    <t>011-664-5551</t>
  </si>
  <si>
    <t>011-661-9471</t>
  </si>
  <si>
    <t>011-621-6771</t>
  </si>
  <si>
    <t>011-613-0149</t>
  </si>
  <si>
    <t>011-665-3031</t>
  </si>
  <si>
    <t>011-661-9497</t>
  </si>
  <si>
    <t>011-642-8603</t>
  </si>
  <si>
    <t>011-642-8414</t>
  </si>
  <si>
    <t>011-663-4384</t>
  </si>
  <si>
    <t>011-661-9498</t>
  </si>
  <si>
    <t>011-571-6011</t>
  </si>
  <si>
    <t>011-571-3831</t>
  </si>
  <si>
    <t>011-581-0188</t>
  </si>
  <si>
    <t>011-583-6002</t>
  </si>
  <si>
    <t>011-598-2604</t>
  </si>
  <si>
    <t>011-598-2504</t>
  </si>
  <si>
    <t>011-596-2852</t>
  </si>
  <si>
    <t>011-596-5795</t>
  </si>
  <si>
    <t>011-591-8880</t>
  </si>
  <si>
    <t>011-591-6704</t>
  </si>
  <si>
    <t>011-591-8158</t>
  </si>
  <si>
    <t>011-591-4937</t>
  </si>
  <si>
    <t>011-584-6533</t>
  </si>
  <si>
    <t>011-581-5942</t>
  </si>
  <si>
    <t>011-821-1141</t>
  </si>
  <si>
    <t>011-821-1142</t>
  </si>
  <si>
    <t>011-571-3511</t>
  </si>
  <si>
    <t>011-571-1629</t>
  </si>
  <si>
    <t>011-811-7785</t>
  </si>
  <si>
    <t>011-811-0326</t>
  </si>
  <si>
    <t>011-591-4110</t>
  </si>
  <si>
    <t>011-591-4909</t>
  </si>
  <si>
    <t>011-571-1096</t>
  </si>
  <si>
    <t>011-571-2769</t>
  </si>
  <si>
    <t>011-571-9620</t>
  </si>
  <si>
    <t>011-571-3937</t>
  </si>
  <si>
    <t>011-572-2101</t>
  </si>
  <si>
    <t>011-572-4049</t>
  </si>
  <si>
    <t>011-584-2115</t>
  </si>
  <si>
    <t>011-581-7804</t>
  </si>
  <si>
    <t>011-591-3495</t>
  </si>
  <si>
    <t>011-591-4942</t>
  </si>
  <si>
    <t>011-592-2120</t>
  </si>
  <si>
    <t>011-592-7349</t>
  </si>
  <si>
    <t>011-581-5291</t>
  </si>
  <si>
    <t>011-581-6984</t>
  </si>
  <si>
    <t>011-581-0221</t>
  </si>
  <si>
    <t>011-581-6927</t>
  </si>
  <si>
    <t>札幌市立石山緑小学校</t>
    <rPh sb="0" eb="3">
      <t>サッポロシ</t>
    </rPh>
    <rPh sb="3" eb="4">
      <t>リツ</t>
    </rPh>
    <rPh sb="4" eb="6">
      <t>イシヤマ</t>
    </rPh>
    <rPh sb="6" eb="7">
      <t>ミドリ</t>
    </rPh>
    <rPh sb="7" eb="10">
      <t>ショウガッコウ</t>
    </rPh>
    <phoneticPr fontId="7"/>
  </si>
  <si>
    <t>さっぽろしりついしやまみどりしょうがっこう</t>
    <phoneticPr fontId="7"/>
  </si>
  <si>
    <t>011-596-7505</t>
  </si>
  <si>
    <t>011-594-2210</t>
  </si>
  <si>
    <t>札幌市南区石山1条</t>
    <rPh sb="0" eb="3">
      <t>サッポロシ</t>
    </rPh>
    <rPh sb="3" eb="5">
      <t>ミナミク</t>
    </rPh>
    <phoneticPr fontId="7"/>
  </si>
  <si>
    <t>４丁目１−１</t>
    <phoneticPr fontId="7"/>
  </si>
  <si>
    <t>011-583-7810</t>
  </si>
  <si>
    <t>011-583-7774</t>
    <phoneticPr fontId="7"/>
  </si>
  <si>
    <t>011-881-2852</t>
  </si>
  <si>
    <t>011-881-6596</t>
  </si>
  <si>
    <t>011-881-2949</t>
  </si>
  <si>
    <t>011-881-9074</t>
  </si>
  <si>
    <t>011-881-2437</t>
  </si>
  <si>
    <t>011-881-3760</t>
  </si>
  <si>
    <t>011-881-8521</t>
  </si>
  <si>
    <t>011-881-9674</t>
  </si>
  <si>
    <t>011-881-1975</t>
  </si>
  <si>
    <t>011-881-9759</t>
  </si>
  <si>
    <t>011-882-5281</t>
  </si>
  <si>
    <t>011-882-2792</t>
  </si>
  <si>
    <t>011-881-8191</t>
  </si>
  <si>
    <t>011-881-4957</t>
  </si>
  <si>
    <t>011-883-3303</t>
  </si>
  <si>
    <t>011-883-0974</t>
  </si>
  <si>
    <t>011-883-7801</t>
  </si>
  <si>
    <t>011-883-9419</t>
  </si>
  <si>
    <t>011-882-7925</t>
  </si>
  <si>
    <t>011-882-2849</t>
  </si>
  <si>
    <t>011-884-1561</t>
  </si>
  <si>
    <t>011-884-0269</t>
  </si>
  <si>
    <t>011-884-6541</t>
  </si>
  <si>
    <t>011-884-0493</t>
  </si>
  <si>
    <t>011-884-9860</t>
  </si>
  <si>
    <t>011-884-0498</t>
  </si>
  <si>
    <t>011-885-9414</t>
  </si>
  <si>
    <t>011-885-9042</t>
  </si>
  <si>
    <t>011-886-5511</t>
  </si>
  <si>
    <t>011-886-5515</t>
  </si>
  <si>
    <t>011-891-2124</t>
  </si>
  <si>
    <t>011-891-0349</t>
  </si>
  <si>
    <t>011-898-0552</t>
  </si>
  <si>
    <t>011-898-2749</t>
  </si>
  <si>
    <t>011-891-4602</t>
  </si>
  <si>
    <t>011-891-0493</t>
  </si>
  <si>
    <t>011-892-4802</t>
  </si>
  <si>
    <t>011-892-4497</t>
  </si>
  <si>
    <t>011-892-5757</t>
  </si>
  <si>
    <t>011-892-5916</t>
  </si>
  <si>
    <t>011-894-3011</t>
  </si>
  <si>
    <t>011-894-1491</t>
  </si>
  <si>
    <t>011-894-7211</t>
  </si>
  <si>
    <t>011-894-1494</t>
  </si>
  <si>
    <t>011-892-7555</t>
  </si>
  <si>
    <t>011-892-7449</t>
  </si>
  <si>
    <t>011-898-4650</t>
  </si>
  <si>
    <t>011-898-6203</t>
  </si>
  <si>
    <t>011-805-1605</t>
  </si>
  <si>
    <t>011-897-0044</t>
  </si>
  <si>
    <t>011-803-7810</t>
  </si>
  <si>
    <t>011-898-3344</t>
  </si>
  <si>
    <t>011-893-5055</t>
  </si>
  <si>
    <t>011-893-3537</t>
  </si>
  <si>
    <t>011-891-2103</t>
  </si>
  <si>
    <t>011-891-0489</t>
  </si>
  <si>
    <t>ノホロの丘小学校</t>
    <rPh sb="4" eb="8">
      <t>オカショウガッコウ</t>
    </rPh>
    <phoneticPr fontId="7"/>
  </si>
  <si>
    <t>のほろのおかしょうがっこう</t>
    <phoneticPr fontId="7"/>
  </si>
  <si>
    <t>４丁目５−１</t>
    <phoneticPr fontId="7"/>
  </si>
  <si>
    <t>札幌市厚別区上野幌２条</t>
    <phoneticPr fontId="7"/>
  </si>
  <si>
    <t>004-0022</t>
    <phoneticPr fontId="7"/>
  </si>
  <si>
    <t>新札幌わかば小学校</t>
    <rPh sb="0" eb="3">
      <t>シンサッポロ</t>
    </rPh>
    <rPh sb="6" eb="9">
      <t>ショウガッコウ</t>
    </rPh>
    <phoneticPr fontId="7"/>
  </si>
  <si>
    <t>しんさっぽろわかばしょうがっこう</t>
    <phoneticPr fontId="7"/>
  </si>
  <si>
    <t>札幌市厚別区厚別南</t>
    <phoneticPr fontId="7"/>
  </si>
  <si>
    <t>７丁目９番１号</t>
    <phoneticPr fontId="7"/>
  </si>
  <si>
    <t>011-811-1218</t>
  </si>
  <si>
    <t>011-811-8138</t>
  </si>
  <si>
    <t>011-811-1330</t>
  </si>
  <si>
    <t>011-811-4148</t>
  </si>
  <si>
    <t>011-811-1382</t>
  </si>
  <si>
    <t>011-851-9348</t>
  </si>
  <si>
    <t>011-851-2358</t>
  </si>
  <si>
    <t>011-811-8128</t>
  </si>
  <si>
    <t>011-811-1521</t>
  </si>
  <si>
    <t>011-811-9558</t>
  </si>
  <si>
    <t>011-811-1534</t>
  </si>
  <si>
    <t>011-811-9485</t>
  </si>
  <si>
    <t>011-811-1557</t>
  </si>
  <si>
    <t>011-851-9673</t>
  </si>
  <si>
    <t>011-851-2564</t>
  </si>
  <si>
    <t>011-841-1561</t>
  </si>
  <si>
    <t>011-841-3479</t>
  </si>
  <si>
    <t>011-851-7924</t>
  </si>
  <si>
    <t>011-851-1619</t>
  </si>
  <si>
    <t>011-851-9353</t>
  </si>
  <si>
    <t>011-851-2723</t>
  </si>
  <si>
    <t>011-831-6530</t>
  </si>
  <si>
    <t>011-831-4803</t>
  </si>
  <si>
    <t>011-821-7971</t>
  </si>
  <si>
    <t>011-821-9937</t>
  </si>
  <si>
    <t>011-852-4090</t>
  </si>
  <si>
    <t>011-852-2379</t>
  </si>
  <si>
    <t>011-853-9314</t>
  </si>
  <si>
    <t>011-853-1378</t>
  </si>
  <si>
    <t>011-812-8164</t>
  </si>
  <si>
    <t>011-812-2165</t>
  </si>
  <si>
    <t>011-854-1318</t>
  </si>
  <si>
    <t>011-854-1428</t>
  </si>
  <si>
    <t>011-582-6350</t>
  </si>
  <si>
    <t>011-582-1590</t>
  </si>
  <si>
    <t>011-813-7751</t>
  </si>
  <si>
    <t>011-813-6205</t>
  </si>
  <si>
    <t>011-855-3406</t>
  </si>
  <si>
    <t>011-855-2319</t>
  </si>
  <si>
    <t>011-855-5456</t>
  </si>
  <si>
    <t>011-855-2357</t>
  </si>
  <si>
    <t>011-811-9588</t>
    <phoneticPr fontId="7"/>
  </si>
  <si>
    <t>011-811-8878</t>
  </si>
  <si>
    <t>011-811-1305</t>
  </si>
  <si>
    <t>011-861-9265</t>
  </si>
  <si>
    <t>011-861-2309</t>
  </si>
  <si>
    <t>011-811-2118</t>
  </si>
  <si>
    <t>011-811-2189</t>
  </si>
  <si>
    <t>011-863-5790</t>
  </si>
  <si>
    <t>011-863-0254</t>
  </si>
  <si>
    <t>011-861-4128</t>
  </si>
  <si>
    <t>011-861-2359</t>
  </si>
  <si>
    <t>011-861-9305</t>
  </si>
  <si>
    <t>011-861-9527</t>
  </si>
  <si>
    <t>011-861-8196</t>
  </si>
  <si>
    <t>011-861-8197</t>
  </si>
  <si>
    <t>011-821-6333</t>
  </si>
  <si>
    <t>011-821-6173</t>
  </si>
  <si>
    <t>011-872-6467</t>
  </si>
  <si>
    <t>011-872-4783</t>
  </si>
  <si>
    <t>011-864-0480</t>
  </si>
  <si>
    <t>011-864-5723</t>
  </si>
  <si>
    <t>011-871-1524</t>
  </si>
  <si>
    <t>011-871-3276</t>
  </si>
  <si>
    <t>011-864-2302</t>
  </si>
  <si>
    <t>011-864-5695</t>
  </si>
  <si>
    <t>011-874-3014</t>
  </si>
  <si>
    <t>011-874-4676</t>
  </si>
  <si>
    <t>011-812-2350</t>
  </si>
  <si>
    <t>011-812-2385</t>
  </si>
  <si>
    <t>011-863-0235</t>
  </si>
  <si>
    <t>011-863-0265</t>
  </si>
  <si>
    <t>011-863-0701</t>
  </si>
  <si>
    <t>011-863-0347</t>
  </si>
  <si>
    <t>011-872-3084</t>
  </si>
  <si>
    <t>011-872-4589</t>
  </si>
  <si>
    <t>011-872-5422</t>
  </si>
  <si>
    <t>011-872-4706</t>
  </si>
  <si>
    <t>011-875-7531</t>
  </si>
  <si>
    <t>011-875-4749</t>
  </si>
  <si>
    <t>011-874-8661</t>
  </si>
  <si>
    <t>011-874-4659</t>
  </si>
  <si>
    <t>011-721-5105</t>
  </si>
  <si>
    <t>011-721-5107</t>
  </si>
  <si>
    <t>011-721-0377</t>
  </si>
  <si>
    <t>011-742-7146</t>
  </si>
  <si>
    <t>011-721-5235</t>
  </si>
  <si>
    <t>011-742-6895</t>
  </si>
  <si>
    <t>011-781-5258</t>
  </si>
  <si>
    <t>011-783-8022</t>
  </si>
  <si>
    <t>011-781-7753</t>
  </si>
  <si>
    <t>011-783-8250</t>
  </si>
  <si>
    <t>011-781-2731</t>
  </si>
  <si>
    <t>011-783-8063</t>
  </si>
  <si>
    <t>011-731-2464</t>
  </si>
  <si>
    <t>011-742-7253</t>
  </si>
  <si>
    <t>011-791-4212</t>
  </si>
  <si>
    <t>011-791-8307</t>
  </si>
  <si>
    <t>011-791-0031</t>
  </si>
  <si>
    <t>011-791-8315</t>
  </si>
  <si>
    <t>011-721-5245</t>
  </si>
  <si>
    <t>011-721-5927</t>
  </si>
  <si>
    <t>011-781-8111</t>
  </si>
  <si>
    <t>011-783-8101</t>
  </si>
  <si>
    <t>011-731-8381</t>
  </si>
  <si>
    <t>011-742-7572</t>
  </si>
  <si>
    <t>011-742-6521</t>
  </si>
  <si>
    <t>011-742-9312</t>
  </si>
  <si>
    <t>011-781-8290</t>
  </si>
  <si>
    <t>011-783-5941</t>
  </si>
  <si>
    <t>011-751-1852</t>
  </si>
  <si>
    <t>011-751-0049</t>
  </si>
  <si>
    <t>011-752-7876</t>
  </si>
  <si>
    <t>011-752-0289</t>
  </si>
  <si>
    <t>011-752-5902</t>
  </si>
  <si>
    <t>011-752-0509</t>
  </si>
  <si>
    <t>011-753-2670</t>
  </si>
  <si>
    <t>011-751-0269</t>
  </si>
  <si>
    <t>011-791-3831</t>
  </si>
  <si>
    <t>011-791-8163</t>
  </si>
  <si>
    <t>011-782-8097</t>
  </si>
  <si>
    <t>011-783-5947</t>
  </si>
  <si>
    <t>011-781-1257</t>
  </si>
  <si>
    <t>011-783-5964</t>
  </si>
  <si>
    <t>011-783-5656</t>
  </si>
  <si>
    <t>011-783-8271</t>
  </si>
  <si>
    <t>011-783-4492</t>
  </si>
  <si>
    <t>011-783-5984</t>
  </si>
  <si>
    <t>011-752-4130</t>
  </si>
  <si>
    <t>011-752-0527</t>
  </si>
  <si>
    <t>011-753-5733</t>
  </si>
  <si>
    <t>011-751-0468</t>
  </si>
  <si>
    <t>011-781-9191</t>
  </si>
  <si>
    <t>011-783-7594</t>
  </si>
  <si>
    <t>011-784-3322</t>
  </si>
  <si>
    <t>011-784-2694</t>
  </si>
  <si>
    <t>011-792-2480</t>
  </si>
  <si>
    <t>011-792-4179</t>
  </si>
  <si>
    <t>北九条</t>
  </si>
  <si>
    <t>北9条西1丁目</t>
  </si>
  <si>
    <t>011-736-2564</t>
  </si>
  <si>
    <t>011-736-2565</t>
  </si>
  <si>
    <t>紺野高裕</t>
  </si>
  <si>
    <t>佐野浩志</t>
  </si>
  <si>
    <t>幌北</t>
  </si>
  <si>
    <t>北19条西2丁目</t>
  </si>
  <si>
    <t>011-726-2461</t>
  </si>
  <si>
    <t>011-716-0944</t>
  </si>
  <si>
    <t>永田明宏</t>
  </si>
  <si>
    <t>大山健一</t>
  </si>
  <si>
    <t>白楊</t>
  </si>
  <si>
    <t>北24条西7丁目</t>
  </si>
  <si>
    <t>011-726-4158</t>
  </si>
  <si>
    <t>011-716-4139</t>
  </si>
  <si>
    <t>礒島紀代恵</t>
  </si>
  <si>
    <t>照井志暢</t>
  </si>
  <si>
    <t>新琴似</t>
  </si>
  <si>
    <t>新琴似7条3丁目</t>
  </si>
  <si>
    <t>011-761-3178</t>
  </si>
  <si>
    <t>011-761-9716</t>
  </si>
  <si>
    <t>宮越政利</t>
  </si>
  <si>
    <t>鈴木秀和</t>
  </si>
  <si>
    <t>屯田</t>
  </si>
  <si>
    <t>屯田7条6丁目</t>
  </si>
  <si>
    <t>011-771-3151</t>
  </si>
  <si>
    <t>011-771-1275</t>
  </si>
  <si>
    <t>池崎恭俊</t>
  </si>
  <si>
    <t>小川央</t>
  </si>
  <si>
    <t>新川5条15丁目</t>
  </si>
  <si>
    <t>011-762-1737</t>
  </si>
  <si>
    <t>011-762-1795</t>
  </si>
  <si>
    <t>奥野晃弘</t>
  </si>
  <si>
    <t>岩清水剛志</t>
  </si>
  <si>
    <t>篠路</t>
  </si>
  <si>
    <t>篠路4条9丁目</t>
  </si>
  <si>
    <t>011-771-2221</t>
  </si>
  <si>
    <t>011-771-1290</t>
  </si>
  <si>
    <t>神谷敦</t>
  </si>
  <si>
    <t>加藤勝宏</t>
  </si>
  <si>
    <t>茨戸</t>
  </si>
  <si>
    <t>東茨戸1条2丁目</t>
  </si>
  <si>
    <t>011-771-2410</t>
  </si>
  <si>
    <t>011-771-1356</t>
  </si>
  <si>
    <t>菅野英之</t>
  </si>
  <si>
    <t>西宏</t>
  </si>
  <si>
    <t>鴻城</t>
  </si>
  <si>
    <t>あいの里3条6丁目</t>
  </si>
  <si>
    <t>011-770-5151</t>
  </si>
  <si>
    <t>011-778-3295</t>
  </si>
  <si>
    <t>石野清隆</t>
  </si>
  <si>
    <t>安友才勝</t>
  </si>
  <si>
    <t>和光</t>
  </si>
  <si>
    <t>北34条西7丁目</t>
  </si>
  <si>
    <t>011-736-7351</t>
  </si>
  <si>
    <t>011-736-7353</t>
  </si>
  <si>
    <t>高橋直之</t>
  </si>
  <si>
    <t>山口朱美</t>
  </si>
  <si>
    <t>光陽</t>
  </si>
  <si>
    <t>新琴似5条11丁目</t>
  </si>
  <si>
    <t>011-761-2521</t>
  </si>
  <si>
    <t>011-761-9612</t>
  </si>
  <si>
    <t>相内安津志</t>
  </si>
  <si>
    <t>八田博之</t>
  </si>
  <si>
    <t>新陽</t>
  </si>
  <si>
    <t>北27条西14丁目</t>
  </si>
  <si>
    <t>011-756-1538</t>
  </si>
  <si>
    <t>011-716-4357</t>
  </si>
  <si>
    <t>宮崎俊仁</t>
  </si>
  <si>
    <t>打矢伸介</t>
  </si>
  <si>
    <t>新琴似北</t>
  </si>
  <si>
    <t>新琴似11条6丁目</t>
  </si>
  <si>
    <t>011-762-1736</t>
  </si>
  <si>
    <t>011-762-1975</t>
  </si>
  <si>
    <t>久保幸範</t>
  </si>
  <si>
    <t>渡邉雅子</t>
  </si>
  <si>
    <t>新川中央</t>
  </si>
  <si>
    <t>新川3条3丁目</t>
  </si>
  <si>
    <t>011-761-1511</t>
  </si>
  <si>
    <t>011-761-9607</t>
  </si>
  <si>
    <t>三戸奉幸</t>
  </si>
  <si>
    <t>鳥丸俊郎</t>
  </si>
  <si>
    <t>新琴似西</t>
  </si>
  <si>
    <t>新琴似11条15丁目</t>
  </si>
  <si>
    <t>011-762-1127</t>
  </si>
  <si>
    <t>011-762-2975</t>
  </si>
  <si>
    <t>伊藤聡美</t>
  </si>
  <si>
    <t>小松雅征</t>
  </si>
  <si>
    <t>太平</t>
  </si>
  <si>
    <t>篠路1条2丁目</t>
  </si>
  <si>
    <t>011-771-1131</t>
  </si>
  <si>
    <t>011-771-1673</t>
  </si>
  <si>
    <t>永井智子</t>
  </si>
  <si>
    <t>大畑秀樹</t>
  </si>
  <si>
    <t>新琴似南</t>
  </si>
  <si>
    <t>新琴似1条3丁目</t>
  </si>
  <si>
    <t>011-762-3274</t>
  </si>
  <si>
    <t>011-762-1472</t>
  </si>
  <si>
    <t>川北俊哉</t>
  </si>
  <si>
    <t>星野孝英</t>
  </si>
  <si>
    <t>篠路西</t>
  </si>
  <si>
    <t>篠路5条2丁目</t>
  </si>
  <si>
    <t>011-772-0275</t>
  </si>
  <si>
    <t>011-772-5971</t>
  </si>
  <si>
    <t>高畑均</t>
  </si>
  <si>
    <t>中西研</t>
  </si>
  <si>
    <t>新光</t>
  </si>
  <si>
    <t>新琴似1条12丁目</t>
  </si>
  <si>
    <t>011-762-7990</t>
  </si>
  <si>
    <t>011-762-2619</t>
  </si>
  <si>
    <t>山本祐司</t>
  </si>
  <si>
    <t>松本昌也</t>
  </si>
  <si>
    <t>拓北</t>
  </si>
  <si>
    <t>あいの里2条1丁目</t>
  </si>
  <si>
    <t>011-772-7035</t>
  </si>
  <si>
    <t>011-772-5846</t>
  </si>
  <si>
    <t>島貫静</t>
  </si>
  <si>
    <t>南條徳一</t>
  </si>
  <si>
    <t>屯田南</t>
  </si>
  <si>
    <t>屯田5条4丁目</t>
  </si>
  <si>
    <t>011-772-0671</t>
  </si>
  <si>
    <t>011-772-5849</t>
  </si>
  <si>
    <t>中村義則</t>
  </si>
  <si>
    <t>高橋美保</t>
  </si>
  <si>
    <t>北陽</t>
  </si>
  <si>
    <t>北31条西9丁目</t>
  </si>
  <si>
    <t>011-716-1657</t>
  </si>
  <si>
    <t>011-716-4168</t>
  </si>
  <si>
    <t>松田諭知</t>
  </si>
  <si>
    <t>小野正二</t>
  </si>
  <si>
    <t>新琴似緑</t>
  </si>
  <si>
    <t>新琴似10条11丁目</t>
  </si>
  <si>
    <t>011-764-4452</t>
  </si>
  <si>
    <t>011-764-1732</t>
  </si>
  <si>
    <t>北浦亮子</t>
  </si>
  <si>
    <t>濱教文</t>
  </si>
  <si>
    <t>太平南</t>
  </si>
  <si>
    <t>太平1条1丁目</t>
  </si>
  <si>
    <t>011-772-0641</t>
  </si>
  <si>
    <t>011-772-5891</t>
  </si>
  <si>
    <t>石川篤司</t>
  </si>
  <si>
    <t>岡田光紀</t>
  </si>
  <si>
    <t>あいの里西</t>
  </si>
  <si>
    <t>あいの里2条3丁目</t>
  </si>
  <si>
    <t>011-778-2130</t>
  </si>
  <si>
    <t>011-778-3249</t>
  </si>
  <si>
    <t>冨波修</t>
  </si>
  <si>
    <t>須藤晶子</t>
  </si>
  <si>
    <t>屯田西</t>
  </si>
  <si>
    <t>屯田6条10丁目</t>
  </si>
  <si>
    <t>011-773-6105</t>
  </si>
  <si>
    <t>011-773-6149</t>
  </si>
  <si>
    <t>影山晃</t>
  </si>
  <si>
    <t>高橋新</t>
  </si>
  <si>
    <t>あいの里東</t>
  </si>
  <si>
    <t>あいの里3条7丁目</t>
  </si>
  <si>
    <t>011-778-2311</t>
  </si>
  <si>
    <t>011-778-2314</t>
  </si>
  <si>
    <t>椛澤裕子</t>
  </si>
  <si>
    <t>佐々木修治</t>
  </si>
  <si>
    <t>百合が原6丁目</t>
  </si>
  <si>
    <t>011-775-7680</t>
  </si>
  <si>
    <t>011-775-7682</t>
  </si>
  <si>
    <t>砂田宏幸</t>
  </si>
  <si>
    <t>渡邊要</t>
  </si>
  <si>
    <t>屯田北</t>
  </si>
  <si>
    <t>屯田9条3丁目</t>
  </si>
  <si>
    <t>011-776-3631</t>
  </si>
  <si>
    <t>011-776-3638</t>
  </si>
  <si>
    <t>永井敬仁</t>
  </si>
  <si>
    <t>坂野宏明</t>
  </si>
  <si>
    <t>ひまわり分校</t>
  </si>
  <si>
    <t>北14条西5丁目</t>
  </si>
  <si>
    <t>北大病院内</t>
  </si>
  <si>
    <t>011-716-5633</t>
  </si>
  <si>
    <t>011-716-5636</t>
  </si>
  <si>
    <t>島田貴弘</t>
  </si>
  <si>
    <t>011-778-0471</t>
    <phoneticPr fontId="7"/>
  </si>
  <si>
    <t>011-778-0640</t>
    <phoneticPr fontId="7"/>
  </si>
  <si>
    <t>号の規定に</t>
    <phoneticPr fontId="28"/>
  </si>
  <si>
    <t>【準】-1号　　準要保護の在籍児童生徒　※要保護は対象外</t>
    <rPh sb="1" eb="2">
      <t>ジュン</t>
    </rPh>
    <rPh sb="5" eb="6">
      <t>ゴウ</t>
    </rPh>
    <phoneticPr fontId="2"/>
  </si>
  <si>
    <t>【特】-2号　　特別支援学校・学級の在籍児童生徒</t>
    <rPh sb="1" eb="2">
      <t>トク</t>
    </rPh>
    <rPh sb="5" eb="6">
      <t>ゴウ</t>
    </rPh>
    <phoneticPr fontId="2"/>
  </si>
  <si>
    <t>【身】-3号　　身体障害者手帳所持の在籍児童生徒</t>
    <rPh sb="1" eb="2">
      <t>ミ</t>
    </rPh>
    <rPh sb="5" eb="6">
      <t>ゴウ</t>
    </rPh>
    <phoneticPr fontId="2"/>
  </si>
  <si>
    <t>【療】-4号　　療育手帳所持の在籍児童生徒</t>
    <rPh sb="1" eb="2">
      <t>リョウ</t>
    </rPh>
    <rPh sb="5" eb="6">
      <t>ゴウ</t>
    </rPh>
    <phoneticPr fontId="2"/>
  </si>
  <si>
    <t>【精】-5号　　精神障害者福祉手帳所持の在籍児童生徒</t>
    <rPh sb="1" eb="2">
      <t>セイ</t>
    </rPh>
    <rPh sb="5" eb="6">
      <t>ゴウ</t>
    </rPh>
    <phoneticPr fontId="2"/>
  </si>
  <si>
    <t>【介添】-7号　各種手帳所持者を引率する介護・介添引率者</t>
    <rPh sb="1" eb="3">
      <t>カイゾ</t>
    </rPh>
    <rPh sb="6" eb="7">
      <t>ゴウ</t>
    </rPh>
    <phoneticPr fontId="28"/>
  </si>
  <si>
    <t>準</t>
    <rPh sb="0" eb="1">
      <t>ジュン</t>
    </rPh>
    <phoneticPr fontId="28"/>
  </si>
  <si>
    <t>特</t>
    <rPh sb="0" eb="1">
      <t>トク</t>
    </rPh>
    <phoneticPr fontId="28"/>
  </si>
  <si>
    <t>身</t>
    <rPh sb="0" eb="1">
      <t>ミ</t>
    </rPh>
    <phoneticPr fontId="28"/>
  </si>
  <si>
    <t>療</t>
    <rPh sb="0" eb="1">
      <t>リョウ</t>
    </rPh>
    <phoneticPr fontId="28"/>
  </si>
  <si>
    <t>精</t>
    <rPh sb="0" eb="1">
      <t>セイ</t>
    </rPh>
    <phoneticPr fontId="28"/>
  </si>
  <si>
    <t>介添</t>
    <rPh sb="0" eb="2">
      <t>カイゾエ</t>
    </rPh>
    <phoneticPr fontId="28"/>
  </si>
  <si>
    <t>札幌市南区滝野</t>
    <rPh sb="0" eb="3">
      <t>サッポロシ</t>
    </rPh>
    <rPh sb="3" eb="5">
      <t>ミナミク</t>
    </rPh>
    <rPh sb="5" eb="7">
      <t>タキノ</t>
    </rPh>
    <phoneticPr fontId="7"/>
  </si>
  <si>
    <t>011-591-0303</t>
    <phoneticPr fontId="7"/>
  </si>
  <si>
    <t>011-591-0394</t>
    <phoneticPr fontId="7"/>
  </si>
  <si>
    <t>13</t>
    <phoneticPr fontId="2"/>
  </si>
  <si>
    <t>月</t>
    <rPh sb="0" eb="1">
      <t>ゲツ</t>
    </rPh>
    <phoneticPr fontId="2"/>
  </si>
  <si>
    <t>火</t>
    <rPh sb="0" eb="1">
      <t>ヒ</t>
    </rPh>
    <phoneticPr fontId="2"/>
  </si>
  <si>
    <t>通常食</t>
    <rPh sb="0" eb="2">
      <t>ツウジョウ</t>
    </rPh>
    <rPh sb="2" eb="3">
      <t>ショク</t>
    </rPh>
    <phoneticPr fontId="27"/>
  </si>
  <si>
    <t>朝　食</t>
    <rPh sb="0" eb="1">
      <t>アサ</t>
    </rPh>
    <rPh sb="2" eb="3">
      <t>ショク</t>
    </rPh>
    <phoneticPr fontId="27"/>
  </si>
  <si>
    <t>食堂</t>
    <rPh sb="0" eb="2">
      <t>ショクドウ</t>
    </rPh>
    <phoneticPr fontId="27"/>
  </si>
  <si>
    <t>携帯食</t>
    <rPh sb="0" eb="3">
      <t>ケイタイショク</t>
    </rPh>
    <phoneticPr fontId="27"/>
  </si>
  <si>
    <t>●</t>
    <phoneticPr fontId="27"/>
  </si>
  <si>
    <t>1名増</t>
    <rPh sb="1" eb="2">
      <t>メイ</t>
    </rPh>
    <rPh sb="2" eb="3">
      <t>ゾウ</t>
    </rPh>
    <phoneticPr fontId="27"/>
  </si>
  <si>
    <t>南区　二朗</t>
    <rPh sb="0" eb="2">
      <t>ミナミク</t>
    </rPh>
    <rPh sb="3" eb="5">
      <t>ジロウ</t>
    </rPh>
    <phoneticPr fontId="2"/>
  </si>
  <si>
    <t>12</t>
    <phoneticPr fontId="2"/>
  </si>
  <si>
    <t>引泊/介添</t>
    <rPh sb="0" eb="1">
      <t>イン</t>
    </rPh>
    <rPh sb="1" eb="2">
      <t>ハク</t>
    </rPh>
    <rPh sb="3" eb="5">
      <t>カイゾ</t>
    </rPh>
    <phoneticPr fontId="7"/>
  </si>
  <si>
    <t>小泊/準</t>
    <rPh sb="0" eb="1">
      <t>ショウ</t>
    </rPh>
    <rPh sb="1" eb="2">
      <t>ハク</t>
    </rPh>
    <rPh sb="3" eb="4">
      <t>ジュン</t>
    </rPh>
    <phoneticPr fontId="7"/>
  </si>
  <si>
    <t>※「欠席等による人数・食数の変更」は、必ず【05　利用者名簿】から修正してください</t>
    <rPh sb="2" eb="4">
      <t>ケッセキ</t>
    </rPh>
    <rPh sb="4" eb="5">
      <t>トウ</t>
    </rPh>
    <rPh sb="8" eb="10">
      <t>ニンズウ</t>
    </rPh>
    <rPh sb="11" eb="13">
      <t>ショクスウ</t>
    </rPh>
    <rPh sb="14" eb="16">
      <t>ヘンコウ</t>
    </rPh>
    <rPh sb="19" eb="20">
      <t>カナラ</t>
    </rPh>
    <rPh sb="25" eb="28">
      <t>リヨウシャ</t>
    </rPh>
    <rPh sb="28" eb="30">
      <t>メイボ</t>
    </rPh>
    <rPh sb="33" eb="35">
      <t>シュウセイ</t>
    </rPh>
    <phoneticPr fontId="2"/>
  </si>
  <si>
    <t>昼</t>
    <rPh sb="0" eb="1">
      <t>ヒル</t>
    </rPh>
    <phoneticPr fontId="2"/>
  </si>
  <si>
    <t>夕】通常食（小学生）</t>
    <rPh sb="0" eb="1">
      <t>ユウ</t>
    </rPh>
    <rPh sb="2" eb="4">
      <t>ツウジョウ</t>
    </rPh>
    <rPh sb="4" eb="5">
      <t>ショク</t>
    </rPh>
    <rPh sb="6" eb="9">
      <t>ショウガクセイ</t>
    </rPh>
    <phoneticPr fontId="2"/>
  </si>
  <si>
    <t>夕】通常食（中学生以上）</t>
    <rPh sb="0" eb="1">
      <t>ユウ</t>
    </rPh>
    <rPh sb="2" eb="4">
      <t>ツウジョウ</t>
    </rPh>
    <rPh sb="4" eb="5">
      <t>ショク</t>
    </rPh>
    <rPh sb="6" eb="9">
      <t>チュウガクセイ</t>
    </rPh>
    <rPh sb="9" eb="11">
      <t>イジョウ</t>
    </rPh>
    <phoneticPr fontId="2"/>
  </si>
  <si>
    <t>夕</t>
    <rPh sb="0" eb="1">
      <t>ユウ</t>
    </rPh>
    <phoneticPr fontId="2"/>
  </si>
  <si>
    <t>朝</t>
    <rPh sb="0" eb="1">
      <t>アサ</t>
    </rPh>
    <phoneticPr fontId="2"/>
  </si>
  <si>
    <t>朝】通常食（小学生）</t>
    <rPh sb="0" eb="1">
      <t>アサ</t>
    </rPh>
    <rPh sb="2" eb="4">
      <t>ツウジョウ</t>
    </rPh>
    <rPh sb="4" eb="5">
      <t>ショク</t>
    </rPh>
    <rPh sb="6" eb="9">
      <t>ショウガクセイ</t>
    </rPh>
    <phoneticPr fontId="2"/>
  </si>
  <si>
    <t>朝】通常食（中学生以上）</t>
    <rPh sb="0" eb="1">
      <t>アサ</t>
    </rPh>
    <rPh sb="2" eb="5">
      <t>ツウジョウショク</t>
    </rPh>
    <rPh sb="6" eb="11">
      <t>チュウガクセイイジョウ</t>
    </rPh>
    <phoneticPr fontId="2"/>
  </si>
  <si>
    <t>●</t>
    <phoneticPr fontId="28"/>
  </si>
  <si>
    <t>●</t>
    <phoneticPr fontId="28"/>
  </si>
  <si>
    <t>9</t>
    <phoneticPr fontId="2"/>
  </si>
  <si>
    <t>使　用　期　間</t>
    <rPh sb="0" eb="1">
      <t>シ</t>
    </rPh>
    <rPh sb="2" eb="3">
      <t>ヨウ</t>
    </rPh>
    <rPh sb="4" eb="5">
      <t>キ</t>
    </rPh>
    <rPh sb="6" eb="7">
      <t>アイダ</t>
    </rPh>
    <phoneticPr fontId="2"/>
  </si>
  <si>
    <t>使　用　目　的</t>
    <rPh sb="0" eb="1">
      <t>シ</t>
    </rPh>
    <rPh sb="2" eb="3">
      <t>ヨウ</t>
    </rPh>
    <rPh sb="4" eb="5">
      <t>メ</t>
    </rPh>
    <rPh sb="6" eb="7">
      <t>マト</t>
    </rPh>
    <phoneticPr fontId="2"/>
  </si>
  <si>
    <t>減 免 申 請 人 数</t>
    <rPh sb="0" eb="1">
      <t>ゲン</t>
    </rPh>
    <rPh sb="2" eb="3">
      <t>メン</t>
    </rPh>
    <rPh sb="4" eb="5">
      <t>サル</t>
    </rPh>
    <rPh sb="6" eb="7">
      <t>ショウ</t>
    </rPh>
    <rPh sb="8" eb="9">
      <t>ヒト</t>
    </rPh>
    <rPh sb="10" eb="11">
      <t>スウ</t>
    </rPh>
    <phoneticPr fontId="2"/>
  </si>
  <si>
    <t>減 免 申 請 理 由</t>
    <rPh sb="0" eb="1">
      <t>ゲン</t>
    </rPh>
    <rPh sb="2" eb="3">
      <t>メン</t>
    </rPh>
    <rPh sb="4" eb="5">
      <t>サル</t>
    </rPh>
    <rPh sb="6" eb="7">
      <t>ショウ</t>
    </rPh>
    <rPh sb="8" eb="9">
      <t>リ</t>
    </rPh>
    <rPh sb="10" eb="11">
      <t>ヨシ</t>
    </rPh>
    <phoneticPr fontId="2"/>
  </si>
  <si>
    <t>011-591-0303</t>
    <phoneticPr fontId="2"/>
  </si>
  <si>
    <t>小泊/準</t>
    <rPh sb="0" eb="1">
      <t>ショウ</t>
    </rPh>
    <rPh sb="1" eb="2">
      <t>ハク</t>
    </rPh>
    <rPh sb="3" eb="4">
      <t>ジュン</t>
    </rPh>
    <phoneticPr fontId="28"/>
  </si>
  <si>
    <t>小泊/準・特・療</t>
    <phoneticPr fontId="28"/>
  </si>
  <si>
    <t>引泊/介添</t>
    <rPh sb="0" eb="1">
      <t>イン</t>
    </rPh>
    <rPh sb="1" eb="2">
      <t>ハク</t>
    </rPh>
    <rPh sb="3" eb="5">
      <t>カイゾエ</t>
    </rPh>
    <phoneticPr fontId="28"/>
  </si>
  <si>
    <t>　　上記の申請について、札幌市青少年山の家使用料減免取扱要領　第2条　第　　</t>
    <rPh sb="2" eb="4">
      <t>ジョウキ</t>
    </rPh>
    <rPh sb="5" eb="7">
      <t>シンセイ</t>
    </rPh>
    <rPh sb="12" eb="19">
      <t>サッポロシセイショウネンヤマ</t>
    </rPh>
    <rPh sb="20" eb="21">
      <t>イエ</t>
    </rPh>
    <rPh sb="21" eb="24">
      <t>シヨウリョウ</t>
    </rPh>
    <rPh sb="24" eb="26">
      <t>ゲンメン</t>
    </rPh>
    <rPh sb="26" eb="28">
      <t>トリアツカイ</t>
    </rPh>
    <rPh sb="28" eb="30">
      <t>ヨウリョウ</t>
    </rPh>
    <rPh sb="31" eb="32">
      <t>ダイ</t>
    </rPh>
    <rPh sb="33" eb="34">
      <t>ジョウ</t>
    </rPh>
    <rPh sb="35" eb="36">
      <t>ダイ</t>
    </rPh>
    <phoneticPr fontId="2"/>
  </si>
  <si>
    <t>8</t>
    <phoneticPr fontId="2"/>
  </si>
  <si>
    <t>※　補助的指導者のうちの１名を代表者としてください。　　　　　　　　　　　　
代表者も使用者名簿に氏名をご記入ください。</t>
    <rPh sb="39" eb="42">
      <t>ダイヒョウシャ</t>
    </rPh>
    <rPh sb="43" eb="46">
      <t>シヨウシャ</t>
    </rPh>
    <rPh sb="46" eb="48">
      <t>メイボ</t>
    </rPh>
    <rPh sb="49" eb="51">
      <t>シメイ</t>
    </rPh>
    <rPh sb="53" eb="55">
      <t>キニュウ</t>
    </rPh>
    <phoneticPr fontId="2"/>
  </si>
  <si>
    <t>011-591-0303</t>
    <phoneticPr fontId="2"/>
  </si>
  <si>
    <t>炊き出し</t>
    <rPh sb="0" eb="1">
      <t>タ</t>
    </rPh>
    <rPh sb="2" eb="3">
      <t>ダ</t>
    </rPh>
    <phoneticPr fontId="2"/>
  </si>
  <si>
    <t>　　について、下記のとおり報告します。</t>
    <rPh sb="7" eb="9">
      <t>カキ</t>
    </rPh>
    <rPh sb="13" eb="15">
      <t>ホウコク</t>
    </rPh>
    <phoneticPr fontId="2"/>
  </si>
  <si>
    <t>　利用日変更</t>
    <rPh sb="1" eb="4">
      <t>リヨウビ</t>
    </rPh>
    <rPh sb="4" eb="6">
      <t>ヘンコウ</t>
    </rPh>
    <phoneticPr fontId="2"/>
  </si>
  <si>
    <t>　注意④：総食数が２０食に満たない場合は個別食となります。</t>
    <rPh sb="1" eb="3">
      <t>チュウイ</t>
    </rPh>
    <phoneticPr fontId="2"/>
  </si>
  <si>
    <r>
      <t>③　食数　（</t>
    </r>
    <r>
      <rPr>
        <b/>
        <sz val="12"/>
        <color indexed="8"/>
        <rFont val="BIZ UDPゴシック"/>
        <family val="3"/>
        <charset val="128"/>
      </rPr>
      <t>太枠内のみ記入）</t>
    </r>
    <rPh sb="2" eb="3">
      <t>ショク</t>
    </rPh>
    <rPh sb="3" eb="4">
      <t>スウ</t>
    </rPh>
    <rPh sb="6" eb="9">
      <t>フトワクナイ</t>
    </rPh>
    <rPh sb="11" eb="13">
      <t>キニュウ</t>
    </rPh>
    <phoneticPr fontId="2"/>
  </si>
  <si>
    <r>
      <t>②　特別事情による持込食の有無　（</t>
    </r>
    <r>
      <rPr>
        <b/>
        <sz val="12"/>
        <color indexed="8"/>
        <rFont val="BIZ UDPゴシック"/>
        <family val="3"/>
        <charset val="128"/>
      </rPr>
      <t>太枠内のみ記入）</t>
    </r>
    <rPh sb="2" eb="4">
      <t>トクベツ</t>
    </rPh>
    <rPh sb="4" eb="6">
      <t>ジジョウ</t>
    </rPh>
    <rPh sb="9" eb="11">
      <t>モチコミ</t>
    </rPh>
    <rPh sb="11" eb="12">
      <t>ショク</t>
    </rPh>
    <rPh sb="13" eb="15">
      <t>ウム</t>
    </rPh>
    <rPh sb="17" eb="20">
      <t>フトワクナイ</t>
    </rPh>
    <rPh sb="22" eb="24">
      <t>キニュウ</t>
    </rPh>
    <phoneticPr fontId="2"/>
  </si>
  <si>
    <t>（</t>
    <phoneticPr fontId="27"/>
  </si>
  <si>
    <t>変更</t>
    <rPh sb="0" eb="2">
      <t>ヘンコウ</t>
    </rPh>
    <phoneticPr fontId="2"/>
  </si>
  <si>
    <t>新規</t>
    <rPh sb="0" eb="2">
      <t>シンキ</t>
    </rPh>
    <phoneticPr fontId="2"/>
  </si>
  <si>
    <r>
      <t xml:space="preserve">一般利用者
</t>
    </r>
    <r>
      <rPr>
        <sz val="8"/>
        <color indexed="8"/>
        <rFont val="BIZ UDPゴシック"/>
        <family val="3"/>
        <charset val="128"/>
      </rPr>
      <t>カメラマン
保護者等</t>
    </r>
    <rPh sb="0" eb="2">
      <t>イッパン</t>
    </rPh>
    <rPh sb="2" eb="5">
      <t>リヨウシャ</t>
    </rPh>
    <rPh sb="12" eb="15">
      <t>ホゴシャ</t>
    </rPh>
    <rPh sb="15" eb="16">
      <t>トウ</t>
    </rPh>
    <phoneticPr fontId="2"/>
  </si>
  <si>
    <r>
      <rPr>
        <b/>
        <u/>
        <sz val="10"/>
        <color indexed="8"/>
        <rFont val="BIZ UDPゴシック"/>
        <family val="3"/>
        <charset val="128"/>
      </rPr>
      <t>準要保護</t>
    </r>
    <r>
      <rPr>
        <sz val="10"/>
        <color indexed="8"/>
        <rFont val="BIZ UDPゴシック"/>
        <family val="3"/>
        <charset val="128"/>
      </rPr>
      <t>の在籍児童生徒
※要保護は対
　 象外</t>
    </r>
    <rPh sb="0" eb="1">
      <t>ジュン</t>
    </rPh>
    <rPh sb="1" eb="4">
      <t>ヨウホゴ</t>
    </rPh>
    <rPh sb="5" eb="7">
      <t>ザイセキ</t>
    </rPh>
    <rPh sb="7" eb="8">
      <t>コ</t>
    </rPh>
    <rPh sb="8" eb="9">
      <t>ワラベ</t>
    </rPh>
    <rPh sb="9" eb="11">
      <t>セイト</t>
    </rPh>
    <rPh sb="13" eb="16">
      <t>ヨウホゴ</t>
    </rPh>
    <rPh sb="17" eb="18">
      <t>タイ</t>
    </rPh>
    <rPh sb="21" eb="22">
      <t>ゾウ</t>
    </rPh>
    <rPh sb="22" eb="23">
      <t>ガイ</t>
    </rPh>
    <phoneticPr fontId="2"/>
  </si>
  <si>
    <r>
      <rPr>
        <b/>
        <u/>
        <sz val="10"/>
        <color indexed="8"/>
        <rFont val="BIZ UDPゴシック"/>
        <family val="3"/>
        <charset val="128"/>
      </rPr>
      <t>特別支援学校・学級</t>
    </r>
    <r>
      <rPr>
        <sz val="10"/>
        <color indexed="8"/>
        <rFont val="BIZ UDPゴシック"/>
        <family val="3"/>
        <charset val="128"/>
      </rPr>
      <t>の在籍児童生徒</t>
    </r>
    <rPh sb="0" eb="1">
      <t>トク</t>
    </rPh>
    <rPh sb="1" eb="2">
      <t>ワカレル</t>
    </rPh>
    <rPh sb="2" eb="3">
      <t>シ</t>
    </rPh>
    <rPh sb="3" eb="4">
      <t>オン</t>
    </rPh>
    <rPh sb="4" eb="6">
      <t>ガッコウ</t>
    </rPh>
    <rPh sb="7" eb="9">
      <t>ガッキュウ</t>
    </rPh>
    <rPh sb="10" eb="12">
      <t>ザイセキ</t>
    </rPh>
    <rPh sb="12" eb="14">
      <t>ジドウ</t>
    </rPh>
    <rPh sb="14" eb="15">
      <t>ショウ</t>
    </rPh>
    <rPh sb="15" eb="16">
      <t>ト</t>
    </rPh>
    <phoneticPr fontId="2"/>
  </si>
  <si>
    <r>
      <t>身体障害者手
帳所持</t>
    </r>
    <r>
      <rPr>
        <sz val="10"/>
        <color indexed="8"/>
        <rFont val="BIZ UDPゴシック"/>
        <family val="3"/>
        <charset val="128"/>
      </rPr>
      <t>の在籍児童生徒</t>
    </r>
    <rPh sb="0" eb="2">
      <t>シンタイ</t>
    </rPh>
    <rPh sb="2" eb="5">
      <t>ショウガイシャ</t>
    </rPh>
    <rPh sb="5" eb="6">
      <t>テ</t>
    </rPh>
    <rPh sb="7" eb="8">
      <t>チョウ</t>
    </rPh>
    <rPh sb="8" eb="10">
      <t>ショジ</t>
    </rPh>
    <rPh sb="11" eb="13">
      <t>ザイセキ</t>
    </rPh>
    <rPh sb="13" eb="15">
      <t>ジドウ</t>
    </rPh>
    <rPh sb="15" eb="17">
      <t>セイト</t>
    </rPh>
    <phoneticPr fontId="2"/>
  </si>
  <si>
    <r>
      <t xml:space="preserve">療育手帳所持
</t>
    </r>
    <r>
      <rPr>
        <sz val="10"/>
        <color indexed="8"/>
        <rFont val="BIZ UDPゴシック"/>
        <family val="3"/>
        <charset val="128"/>
      </rPr>
      <t>の在籍児童生徒</t>
    </r>
    <rPh sb="0" eb="2">
      <t>リョウイク</t>
    </rPh>
    <rPh sb="2" eb="3">
      <t>テ</t>
    </rPh>
    <rPh sb="3" eb="4">
      <t>チョウ</t>
    </rPh>
    <rPh sb="4" eb="6">
      <t>ショジ</t>
    </rPh>
    <rPh sb="8" eb="10">
      <t>ザイセキ</t>
    </rPh>
    <rPh sb="10" eb="12">
      <t>ジドウ</t>
    </rPh>
    <rPh sb="12" eb="14">
      <t>セイト</t>
    </rPh>
    <phoneticPr fontId="2"/>
  </si>
  <si>
    <r>
      <rPr>
        <b/>
        <u/>
        <sz val="10"/>
        <color indexed="8"/>
        <rFont val="BIZ UDPゴシック"/>
        <family val="3"/>
        <charset val="128"/>
      </rPr>
      <t>精神障害者福
祉手帳所持</t>
    </r>
    <r>
      <rPr>
        <sz val="10"/>
        <color indexed="8"/>
        <rFont val="BIZ UDPゴシック"/>
        <family val="3"/>
        <charset val="128"/>
      </rPr>
      <t xml:space="preserve">の在籍児童生徒
</t>
    </r>
    <rPh sb="0" eb="2">
      <t>セイシン</t>
    </rPh>
    <rPh sb="2" eb="5">
      <t>ショウガイシャ</t>
    </rPh>
    <rPh sb="5" eb="6">
      <t>フク</t>
    </rPh>
    <rPh sb="7" eb="8">
      <t>シ</t>
    </rPh>
    <rPh sb="8" eb="10">
      <t>テチョウ</t>
    </rPh>
    <rPh sb="10" eb="12">
      <t>ショジ</t>
    </rPh>
    <rPh sb="13" eb="19">
      <t>ザイセキジドウセイト</t>
    </rPh>
    <phoneticPr fontId="2"/>
  </si>
  <si>
    <r>
      <t>各種手帳所持者を引率する</t>
    </r>
    <r>
      <rPr>
        <b/>
        <u/>
        <sz val="10"/>
        <color indexed="8"/>
        <rFont val="BIZ UDPゴシック"/>
        <family val="3"/>
        <charset val="128"/>
      </rPr>
      <t>介護・介添引率者</t>
    </r>
    <rPh sb="0" eb="2">
      <t>カクシュ</t>
    </rPh>
    <rPh sb="2" eb="4">
      <t>テチョウ</t>
    </rPh>
    <rPh sb="4" eb="7">
      <t>ショジシャ</t>
    </rPh>
    <rPh sb="8" eb="10">
      <t>インソツ</t>
    </rPh>
    <rPh sb="12" eb="14">
      <t>カイゴ</t>
    </rPh>
    <rPh sb="15" eb="17">
      <t>カイゾエ</t>
    </rPh>
    <rPh sb="17" eb="19">
      <t>インソツ</t>
    </rPh>
    <rPh sb="19" eb="20">
      <t>シャ</t>
    </rPh>
    <phoneticPr fontId="2"/>
  </si>
  <si>
    <r>
      <rPr>
        <b/>
        <sz val="12"/>
        <color rgb="FF000000"/>
        <rFont val="BIZ UDPゴシック"/>
        <family val="3"/>
        <charset val="128"/>
      </rPr>
      <t>注意２：</t>
    </r>
    <r>
      <rPr>
        <b/>
        <u/>
        <sz val="12"/>
        <color indexed="8"/>
        <rFont val="BIZ UDPゴシック"/>
        <family val="3"/>
        <charset val="128"/>
      </rPr>
      <t>カメラマン、児童の保護者は「一般」の料金区分</t>
    </r>
    <r>
      <rPr>
        <sz val="12"/>
        <color indexed="8"/>
        <rFont val="BIZ UDPゴシック"/>
        <family val="3"/>
        <charset val="128"/>
      </rPr>
      <t>となります。</t>
    </r>
    <rPh sb="0" eb="2">
      <t>チュウイ</t>
    </rPh>
    <rPh sb="10" eb="12">
      <t>ジドウ</t>
    </rPh>
    <rPh sb="13" eb="16">
      <t>ホゴシャ</t>
    </rPh>
    <rPh sb="18" eb="20">
      <t>イッパン</t>
    </rPh>
    <rPh sb="22" eb="24">
      <t>リョウキン</t>
    </rPh>
    <rPh sb="24" eb="26">
      <t>クブン</t>
    </rPh>
    <phoneticPr fontId="2"/>
  </si>
  <si>
    <r>
      <rPr>
        <b/>
        <sz val="12"/>
        <color theme="1"/>
        <rFont val="BIZ UDPゴシック"/>
        <family val="3"/>
        <charset val="128"/>
      </rPr>
      <t>注意１：</t>
    </r>
    <r>
      <rPr>
        <sz val="12"/>
        <color theme="1"/>
        <rFont val="BIZ UDPゴシック"/>
        <family val="3"/>
        <charset val="128"/>
      </rPr>
      <t>利用延べ日数欄には延べ数を記入・選択してください。（例：日帰り２日→日帰り欄に「２」と記入）</t>
    </r>
    <rPh sb="0" eb="2">
      <t>チュウイ</t>
    </rPh>
    <rPh sb="4" eb="6">
      <t>リヨウ</t>
    </rPh>
    <rPh sb="6" eb="7">
      <t>ノ</t>
    </rPh>
    <rPh sb="8" eb="10">
      <t>ニッスウ</t>
    </rPh>
    <rPh sb="10" eb="11">
      <t>ラン</t>
    </rPh>
    <rPh sb="13" eb="14">
      <t>ノ</t>
    </rPh>
    <rPh sb="15" eb="16">
      <t>スウ</t>
    </rPh>
    <rPh sb="17" eb="19">
      <t>キニュウ</t>
    </rPh>
    <rPh sb="20" eb="22">
      <t>センタク</t>
    </rPh>
    <rPh sb="30" eb="31">
      <t>レイ</t>
    </rPh>
    <rPh sb="32" eb="34">
      <t>ヒガエ</t>
    </rPh>
    <rPh sb="36" eb="37">
      <t>ニチ</t>
    </rPh>
    <rPh sb="38" eb="40">
      <t>ヒガエ</t>
    </rPh>
    <rPh sb="41" eb="42">
      <t>ラン</t>
    </rPh>
    <rPh sb="47" eb="49">
      <t>キニュウ</t>
    </rPh>
    <phoneticPr fontId="2"/>
  </si>
  <si>
    <t>☑</t>
    <phoneticPr fontId="7"/>
  </si>
  <si>
    <t>□</t>
    <phoneticPr fontId="7"/>
  </si>
  <si>
    <t>　　上記の申請について、札幌市青少年山の家使用料減免取扱要領　第2条　第</t>
    <rPh sb="2" eb="4">
      <t>ジョウキ</t>
    </rPh>
    <rPh sb="5" eb="7">
      <t>シンセイ</t>
    </rPh>
    <rPh sb="12" eb="19">
      <t>サッポロシセイショウネンヤマ</t>
    </rPh>
    <rPh sb="20" eb="21">
      <t>イエ</t>
    </rPh>
    <rPh sb="21" eb="24">
      <t>シヨウリョウ</t>
    </rPh>
    <rPh sb="24" eb="26">
      <t>ゲンメン</t>
    </rPh>
    <rPh sb="26" eb="28">
      <t>トリアツカイ</t>
    </rPh>
    <rPh sb="28" eb="30">
      <t>ヨウリョウ</t>
    </rPh>
    <rPh sb="31" eb="32">
      <t>ダイ</t>
    </rPh>
    <rPh sb="33" eb="34">
      <t>ジョウ</t>
    </rPh>
    <rPh sb="35" eb="36">
      <t>ダイ</t>
    </rPh>
    <phoneticPr fontId="2"/>
  </si>
  <si>
    <r>
      <t>　注意②：食事の申し込みは</t>
    </r>
    <r>
      <rPr>
        <b/>
        <u/>
        <sz val="11"/>
        <rFont val="HG丸ｺﾞｼｯｸM-PRO"/>
        <family val="3"/>
        <charset val="128"/>
      </rPr>
      <t>原則５食以上から</t>
    </r>
    <r>
      <rPr>
        <sz val="11"/>
        <rFont val="HG丸ｺﾞｼｯｸM-PRO"/>
        <family val="3"/>
        <charset val="128"/>
      </rPr>
      <t>となります。</t>
    </r>
    <rPh sb="1" eb="3">
      <t>チュウイ</t>
    </rPh>
    <rPh sb="5" eb="7">
      <t>ショクジ</t>
    </rPh>
    <rPh sb="8" eb="9">
      <t>モウ</t>
    </rPh>
    <rPh sb="10" eb="11">
      <t>コ</t>
    </rPh>
    <rPh sb="16" eb="17">
      <t>ショク</t>
    </rPh>
    <rPh sb="17" eb="19">
      <t>イジョウ</t>
    </rPh>
    <phoneticPr fontId="2"/>
  </si>
  <si>
    <t>一</t>
    <rPh sb="0" eb="1">
      <t>イチ</t>
    </rPh>
    <phoneticPr fontId="7"/>
  </si>
  <si>
    <t>料金区分</t>
    <rPh sb="0" eb="4">
      <t>リョウキンクブン</t>
    </rPh>
    <phoneticPr fontId="7"/>
  </si>
  <si>
    <t>減免区分</t>
    <rPh sb="0" eb="4">
      <t>ゲンメンクブン</t>
    </rPh>
    <phoneticPr fontId="7"/>
  </si>
  <si>
    <t>介添</t>
    <rPh sb="0" eb="2">
      <t>カイゾ</t>
    </rPh>
    <phoneticPr fontId="7"/>
  </si>
  <si>
    <t>一般日帰/２DAY</t>
    <rPh sb="0" eb="2">
      <t>イッパン</t>
    </rPh>
    <rPh sb="2" eb="4">
      <t>ヒガエ</t>
    </rPh>
    <phoneticPr fontId="7"/>
  </si>
  <si>
    <t>令和3</t>
    <rPh sb="0" eb="2">
      <t>レイワ</t>
    </rPh>
    <phoneticPr fontId="7"/>
  </si>
  <si>
    <t>令和4</t>
    <rPh sb="0" eb="2">
      <t>レイワ</t>
    </rPh>
    <phoneticPr fontId="7"/>
  </si>
  <si>
    <t>学校長氏名</t>
    <rPh sb="0" eb="3">
      <t>ガッコウチョウ</t>
    </rPh>
    <rPh sb="3" eb="5">
      <t>シメイ</t>
    </rPh>
    <phoneticPr fontId="2"/>
  </si>
  <si>
    <t>住　　所</t>
    <rPh sb="0" eb="1">
      <t>ジュウ</t>
    </rPh>
    <rPh sb="3" eb="4">
      <t>ショ</t>
    </rPh>
    <phoneticPr fontId="7"/>
  </si>
  <si>
    <t>電   　話</t>
    <rPh sb="0" eb="1">
      <t>デン</t>
    </rPh>
    <rPh sb="5" eb="6">
      <t>ハナシ</t>
    </rPh>
    <phoneticPr fontId="2"/>
  </si>
  <si>
    <t>住　　所</t>
    <rPh sb="0" eb="1">
      <t>ジュウ</t>
    </rPh>
    <rPh sb="3" eb="4">
      <t>ショ</t>
    </rPh>
    <phoneticPr fontId="2"/>
  </si>
  <si>
    <t>電  　 話</t>
    <rPh sb="0" eb="1">
      <t>デン</t>
    </rPh>
    <rPh sb="5" eb="6">
      <t>ハナシ</t>
    </rPh>
    <phoneticPr fontId="2"/>
  </si>
  <si>
    <t>札幌市南区滝野２４７番地</t>
    <rPh sb="3" eb="5">
      <t>ミナミク</t>
    </rPh>
    <rPh sb="5" eb="7">
      <t>タキノ</t>
    </rPh>
    <rPh sb="10" eb="12">
      <t>バンチ</t>
    </rPh>
    <phoneticPr fontId="2"/>
  </si>
  <si>
    <r>
      <rPr>
        <b/>
        <sz val="12"/>
        <color rgb="FF000000"/>
        <rFont val="BIZ UDPゴシック"/>
        <family val="3"/>
        <charset val="128"/>
      </rPr>
      <t>注意３：</t>
    </r>
    <r>
      <rPr>
        <b/>
        <u/>
        <sz val="12"/>
        <color indexed="8"/>
        <rFont val="BIZ UDPゴシック"/>
        <family val="3"/>
        <charset val="128"/>
      </rPr>
      <t>「引率者」の料金区分適用は、ご利用される「全生徒数」の20％まで</t>
    </r>
    <r>
      <rPr>
        <sz val="12"/>
        <color indexed="8"/>
        <rFont val="BIZ UDPゴシック"/>
        <family val="3"/>
        <charset val="128"/>
      </rPr>
      <t>（小数点以下切り捨て）の人数となっております。
　これを超えた人数は、教諭であったとしても、「一般」の料金区分でご記入ください。</t>
    </r>
    <rPh sb="0" eb="2">
      <t>チュウイ</t>
    </rPh>
    <phoneticPr fontId="7"/>
  </si>
  <si>
    <t>午後1：00
       ～午後1：00</t>
    <rPh sb="0" eb="2">
      <t>ゴゴ</t>
    </rPh>
    <rPh sb="15" eb="17">
      <t>ゴゴ</t>
    </rPh>
    <phoneticPr fontId="2"/>
  </si>
  <si>
    <t>午後1：00
      ～午後1：00</t>
    <rPh sb="0" eb="2">
      <t>ゴゴ</t>
    </rPh>
    <rPh sb="14" eb="16">
      <t>ゴゴ</t>
    </rPh>
    <phoneticPr fontId="2"/>
  </si>
  <si>
    <t xml:space="preserve"> 利用者名簿</t>
    <phoneticPr fontId="2"/>
  </si>
  <si>
    <t>01 使用承認申請書</t>
    <rPh sb="3" eb="5">
      <t>シヨウ</t>
    </rPh>
    <rPh sb="5" eb="7">
      <t>ショウニン</t>
    </rPh>
    <rPh sb="7" eb="10">
      <t>シンセイショ</t>
    </rPh>
    <phoneticPr fontId="2"/>
  </si>
  <si>
    <r>
      <t>ご入館日</t>
    </r>
    <r>
      <rPr>
        <b/>
        <u/>
        <sz val="10.5"/>
        <color theme="0"/>
        <rFont val="BIZ UDPゴシック"/>
        <family val="3"/>
        <charset val="128"/>
      </rPr>
      <t>1か月前まで</t>
    </r>
    <rPh sb="1" eb="3">
      <t>ニュウカン</t>
    </rPh>
    <rPh sb="3" eb="4">
      <t>ビ</t>
    </rPh>
    <rPh sb="6" eb="7">
      <t>ゲツ</t>
    </rPh>
    <rPh sb="7" eb="8">
      <t>マエ</t>
    </rPh>
    <phoneticPr fontId="2"/>
  </si>
  <si>
    <t>03 食事申込書</t>
    <rPh sb="3" eb="5">
      <t>ショクジ</t>
    </rPh>
    <rPh sb="5" eb="8">
      <t>モウシコミショ</t>
    </rPh>
    <phoneticPr fontId="2"/>
  </si>
  <si>
    <t xml:space="preserve"> 歩くスキー事前調査票（該当校のみ）</t>
    <rPh sb="1" eb="2">
      <t>アル</t>
    </rPh>
    <rPh sb="6" eb="11">
      <t>ジゼンチョウサヒョウ</t>
    </rPh>
    <rPh sb="12" eb="15">
      <t>ガイトウコウ</t>
    </rPh>
    <phoneticPr fontId="7"/>
  </si>
  <si>
    <t>）</t>
    <phoneticPr fontId="142"/>
  </si>
  <si>
    <t>（</t>
    <phoneticPr fontId="142"/>
  </si>
  <si>
    <t>備考</t>
    <rPh sb="0" eb="2">
      <t>ビコウ</t>
    </rPh>
    <phoneticPr fontId="142"/>
  </si>
  <si>
    <t>yama@syaa.jp</t>
    <phoneticPr fontId="4"/>
  </si>
  <si>
    <t>担当</t>
    <rPh sb="0" eb="2">
      <t>タントウ</t>
    </rPh>
    <phoneticPr fontId="2"/>
  </si>
  <si>
    <t>令和</t>
    <rPh sb="0" eb="2">
      <t>レイワ</t>
    </rPh>
    <phoneticPr fontId="7"/>
  </si>
  <si>
    <t>滝野のいきものさがし図鑑</t>
    <phoneticPr fontId="2"/>
  </si>
  <si>
    <t>札幌市青少年山の家　【人数報告用紙①】　</t>
    <rPh sb="0" eb="3">
      <t>サッポロシ</t>
    </rPh>
    <rPh sb="3" eb="7">
      <t>セイショウネンヤマ</t>
    </rPh>
    <rPh sb="8" eb="9">
      <t>イエ</t>
    </rPh>
    <rPh sb="11" eb="15">
      <t>ニンズウホウコク</t>
    </rPh>
    <rPh sb="15" eb="17">
      <t>ヨウシ</t>
    </rPh>
    <phoneticPr fontId="20"/>
  </si>
  <si>
    <t>軟石クラフト</t>
    <rPh sb="0" eb="2">
      <t>ナンセキ</t>
    </rPh>
    <phoneticPr fontId="2"/>
  </si>
  <si>
    <t>振込</t>
    <rPh sb="0" eb="2">
      <t>フリコミ</t>
    </rPh>
    <phoneticPr fontId="2"/>
  </si>
  <si>
    <t>マイ切り式火おこし</t>
    <rPh sb="2" eb="3">
      <t>ギ</t>
    </rPh>
    <rPh sb="4" eb="5">
      <t>シキ</t>
    </rPh>
    <rPh sb="5" eb="6">
      <t>ヒ</t>
    </rPh>
    <phoneticPr fontId="2"/>
  </si>
  <si>
    <t>団体名</t>
    <rPh sb="0" eb="3">
      <t>ダンタイメイ</t>
    </rPh>
    <phoneticPr fontId="142"/>
  </si>
  <si>
    <t>利用形態</t>
    <rPh sb="0" eb="4">
      <t>リヨウケイタイ</t>
    </rPh>
    <phoneticPr fontId="142"/>
  </si>
  <si>
    <t>日帰り</t>
    <rPh sb="0" eb="2">
      <t>ヒガエ</t>
    </rPh>
    <phoneticPr fontId="142"/>
  </si>
  <si>
    <t>乗用車</t>
    <rPh sb="0" eb="3">
      <t>ジョウヨウシャ</t>
    </rPh>
    <phoneticPr fontId="142"/>
  </si>
  <si>
    <t>▼選択▼</t>
    <rPh sb="1" eb="3">
      <t>センタク</t>
    </rPh>
    <phoneticPr fontId="142"/>
  </si>
  <si>
    <t>宿泊</t>
    <rPh sb="0" eb="2">
      <t>シュクハク</t>
    </rPh>
    <phoneticPr fontId="142"/>
  </si>
  <si>
    <t>バス</t>
    <phoneticPr fontId="142"/>
  </si>
  <si>
    <t>日</t>
    <rPh sb="0" eb="1">
      <t>ニチ</t>
    </rPh>
    <phoneticPr fontId="142"/>
  </si>
  <si>
    <t>月</t>
    <rPh sb="0" eb="1">
      <t>ガツ</t>
    </rPh>
    <phoneticPr fontId="142"/>
  </si>
  <si>
    <t>補助</t>
    <rPh sb="0" eb="2">
      <t>ホジョ</t>
    </rPh>
    <phoneticPr fontId="142"/>
  </si>
  <si>
    <t>マイクロ</t>
    <phoneticPr fontId="142"/>
  </si>
  <si>
    <t>00</t>
    <phoneticPr fontId="142"/>
  </si>
  <si>
    <t>日</t>
    <rPh sb="0" eb="1">
      <t>ニチ</t>
    </rPh>
    <phoneticPr fontId="27"/>
  </si>
  <si>
    <t>合計</t>
    <rPh sb="0" eb="2">
      <t>ゴウケイ</t>
    </rPh>
    <phoneticPr fontId="27"/>
  </si>
  <si>
    <t>人</t>
    <rPh sb="0" eb="1">
      <t>ニン</t>
    </rPh>
    <phoneticPr fontId="27"/>
  </si>
  <si>
    <t>班</t>
    <rPh sb="0" eb="1">
      <t>ハン</t>
    </rPh>
    <phoneticPr fontId="27"/>
  </si>
  <si>
    <t>×</t>
  </si>
  <si>
    <t>×</t>
    <phoneticPr fontId="27"/>
  </si>
  <si>
    <t>食数×班数</t>
    <rPh sb="0" eb="2">
      <t>ショクスウ</t>
    </rPh>
    <rPh sb="3" eb="4">
      <t>ハン</t>
    </rPh>
    <rPh sb="4" eb="5">
      <t>カズ</t>
    </rPh>
    <phoneticPr fontId="27"/>
  </si>
  <si>
    <t>食数×班数</t>
    <rPh sb="0" eb="2">
      <t>ショクスウ</t>
    </rPh>
    <rPh sb="3" eb="4">
      <t>ハン</t>
    </rPh>
    <rPh sb="4" eb="5">
      <t>スウ</t>
    </rPh>
    <phoneticPr fontId="2"/>
  </si>
  <si>
    <t>班</t>
    <rPh sb="0" eb="1">
      <t>ハン</t>
    </rPh>
    <phoneticPr fontId="2"/>
  </si>
  <si>
    <t>■　炊事班編成</t>
    <rPh sb="2" eb="5">
      <t>スイジハン</t>
    </rPh>
    <rPh sb="5" eb="7">
      <t>ヘンセイ</t>
    </rPh>
    <phoneticPr fontId="2"/>
  </si>
  <si>
    <t>人</t>
    <phoneticPr fontId="2"/>
  </si>
  <si>
    <t>班</t>
    <phoneticPr fontId="2"/>
  </si>
  <si>
    <t>使用者名簿
（下の表に氏名をご記入ください）</t>
    <rPh sb="0" eb="3">
      <t>シヨウシャ</t>
    </rPh>
    <rPh sb="3" eb="5">
      <t>メイボ</t>
    </rPh>
    <rPh sb="7" eb="8">
      <t>シタ</t>
    </rPh>
    <rPh sb="9" eb="10">
      <t>ヒョウ</t>
    </rPh>
    <rPh sb="11" eb="13">
      <t>シメイ</t>
    </rPh>
    <rPh sb="15" eb="17">
      <t>キニュウ</t>
    </rPh>
    <phoneticPr fontId="7"/>
  </si>
  <si>
    <t>※　提出対象は、札幌市スポーツ局に歩くスキー申し込み済の札幌市内小学校のみとなります。</t>
    <rPh sb="2" eb="4">
      <t>テイシュツ</t>
    </rPh>
    <rPh sb="4" eb="6">
      <t>タイショウ</t>
    </rPh>
    <rPh sb="17" eb="18">
      <t>アル</t>
    </rPh>
    <phoneticPr fontId="142"/>
  </si>
  <si>
    <t>その他</t>
    <rPh sb="2" eb="3">
      <t>タ</t>
    </rPh>
    <phoneticPr fontId="142"/>
  </si>
  <si>
    <t>学年でまとまって片付けを行う。</t>
    <rPh sb="0" eb="2">
      <t>ガクネン</t>
    </rPh>
    <rPh sb="8" eb="10">
      <t>カタヅ</t>
    </rPh>
    <rPh sb="12" eb="13">
      <t>オコナ</t>
    </rPh>
    <phoneticPr fontId="142"/>
  </si>
  <si>
    <t>学級ごとに片付けを行う。</t>
    <rPh sb="0" eb="2">
      <t>ガッキュウ</t>
    </rPh>
    <rPh sb="5" eb="7">
      <t>カタヅ</t>
    </rPh>
    <rPh sb="9" eb="10">
      <t>オコナ</t>
    </rPh>
    <phoneticPr fontId="142"/>
  </si>
  <si>
    <t>班ごとに片付けを行う。</t>
    <rPh sb="0" eb="1">
      <t>ハン</t>
    </rPh>
    <rPh sb="4" eb="6">
      <t>カタヅ</t>
    </rPh>
    <rPh sb="8" eb="9">
      <t>オコナ</t>
    </rPh>
    <phoneticPr fontId="142"/>
  </si>
  <si>
    <t>（４）スキー終了後の解散方法</t>
    <rPh sb="6" eb="9">
      <t>シュウリョウゴ</t>
    </rPh>
    <rPh sb="10" eb="14">
      <t>カイサンホウホウ</t>
    </rPh>
    <phoneticPr fontId="142"/>
  </si>
  <si>
    <t>※　山の家以外の休憩所等は事前予約が必要です。すずらん公園に直接ご連絡ください。（011-592-3333）</t>
    <rPh sb="2" eb="3">
      <t>ヤマ</t>
    </rPh>
    <rPh sb="4" eb="5">
      <t>イエ</t>
    </rPh>
    <rPh sb="5" eb="7">
      <t>イガイ</t>
    </rPh>
    <rPh sb="8" eb="12">
      <t>キュウケイジョトウ</t>
    </rPh>
    <rPh sb="13" eb="17">
      <t>ジゼンヨヤク</t>
    </rPh>
    <rPh sb="18" eb="20">
      <t>ヒツヨウ</t>
    </rPh>
    <rPh sb="27" eb="29">
      <t>コウエン</t>
    </rPh>
    <rPh sb="30" eb="32">
      <t>チョクセツ</t>
    </rPh>
    <rPh sb="33" eb="35">
      <t>レンラク</t>
    </rPh>
    <phoneticPr fontId="142"/>
  </si>
  <si>
    <t>分</t>
    <rPh sb="0" eb="1">
      <t>フン</t>
    </rPh>
    <phoneticPr fontId="142"/>
  </si>
  <si>
    <t>時</t>
    <rPh sb="0" eb="1">
      <t>ジ</t>
    </rPh>
    <phoneticPr fontId="142"/>
  </si>
  <si>
    <t>～</t>
    <phoneticPr fontId="142"/>
  </si>
  <si>
    <t>東口休憩所</t>
    <rPh sb="0" eb="5">
      <t>ヒガシグチキュウケイジョ</t>
    </rPh>
    <phoneticPr fontId="142"/>
  </si>
  <si>
    <t>時間</t>
    <rPh sb="0" eb="2">
      <t>ジカン</t>
    </rPh>
    <phoneticPr fontId="142"/>
  </si>
  <si>
    <t>中央口休憩所</t>
    <rPh sb="0" eb="3">
      <t>チュウオウグチ</t>
    </rPh>
    <rPh sb="3" eb="6">
      <t>キュウケイジョ</t>
    </rPh>
    <phoneticPr fontId="142"/>
  </si>
  <si>
    <t>山の家</t>
    <rPh sb="0" eb="1">
      <t>ヤマ</t>
    </rPh>
    <rPh sb="2" eb="3">
      <t>イエ</t>
    </rPh>
    <phoneticPr fontId="142"/>
  </si>
  <si>
    <t>場所</t>
    <rPh sb="0" eb="2">
      <t>バショ</t>
    </rPh>
    <phoneticPr fontId="142"/>
  </si>
  <si>
    <t>（３）昼食場所・時間</t>
    <rPh sb="3" eb="7">
      <t>チュウショクバショ</t>
    </rPh>
    <rPh sb="8" eb="10">
      <t>ジカン</t>
    </rPh>
    <phoneticPr fontId="142"/>
  </si>
  <si>
    <t>なし</t>
    <phoneticPr fontId="142"/>
  </si>
  <si>
    <t>歩くスキーの用具を受け取った後、入り口前の広場で学級写真を撮ります。</t>
    <rPh sb="0" eb="1">
      <t>アル</t>
    </rPh>
    <rPh sb="6" eb="8">
      <t>ヨウグ</t>
    </rPh>
    <rPh sb="9" eb="10">
      <t>ウ</t>
    </rPh>
    <rPh sb="11" eb="12">
      <t>ト</t>
    </rPh>
    <rPh sb="14" eb="15">
      <t>アト</t>
    </rPh>
    <rPh sb="16" eb="17">
      <t>イ</t>
    </rPh>
    <rPh sb="18" eb="20">
      <t>グチマエ</t>
    </rPh>
    <rPh sb="21" eb="23">
      <t>ヒロバ</t>
    </rPh>
    <rPh sb="24" eb="28">
      <t>ガッキュウシャシン</t>
    </rPh>
    <rPh sb="29" eb="30">
      <t>ト</t>
    </rPh>
    <phoneticPr fontId="142"/>
  </si>
  <si>
    <t>詳細</t>
    <rPh sb="0" eb="2">
      <t>ショウサイ</t>
    </rPh>
    <phoneticPr fontId="142"/>
  </si>
  <si>
    <t>あり</t>
    <phoneticPr fontId="142"/>
  </si>
  <si>
    <t>有無</t>
    <rPh sb="0" eb="2">
      <t>ウム</t>
    </rPh>
    <phoneticPr fontId="142"/>
  </si>
  <si>
    <t>（２）集合写真撮影の有無、時機、場所、方法等</t>
    <rPh sb="3" eb="9">
      <t>シュウゴウシャシンサツエイ</t>
    </rPh>
    <rPh sb="10" eb="12">
      <t>ウム</t>
    </rPh>
    <rPh sb="13" eb="15">
      <t>ジキ</t>
    </rPh>
    <rPh sb="16" eb="18">
      <t>バショ</t>
    </rPh>
    <rPh sb="19" eb="21">
      <t>ホウホウ</t>
    </rPh>
    <rPh sb="21" eb="22">
      <t>トウ</t>
    </rPh>
    <phoneticPr fontId="142"/>
  </si>
  <si>
    <t>※　班の人数にかたよりがないようにお願いします。</t>
    <rPh sb="2" eb="3">
      <t>ハン</t>
    </rPh>
    <rPh sb="4" eb="6">
      <t>ニンズウ</t>
    </rPh>
    <rPh sb="18" eb="19">
      <t>ネガ</t>
    </rPh>
    <phoneticPr fontId="142"/>
  </si>
  <si>
    <t>※　班は１学級をA・B・Cの３班に分けてください。29名以下の場合は、A・Bの２班になります。</t>
    <rPh sb="2" eb="3">
      <t>ハン</t>
    </rPh>
    <rPh sb="5" eb="7">
      <t>ガッキュウ</t>
    </rPh>
    <rPh sb="15" eb="16">
      <t>ハン</t>
    </rPh>
    <rPh sb="17" eb="18">
      <t>ワ</t>
    </rPh>
    <rPh sb="27" eb="28">
      <t>メイ</t>
    </rPh>
    <rPh sb="28" eb="30">
      <t>イカ</t>
    </rPh>
    <rPh sb="31" eb="33">
      <t>バアイ</t>
    </rPh>
    <rPh sb="40" eb="41">
      <t>ハン</t>
    </rPh>
    <phoneticPr fontId="142"/>
  </si>
  <si>
    <t>・２組のC班に配慮が必要な児童が２名いますので、先生が１名付きっきりになります。
・どのグループもレベルに差はありません。</t>
    <rPh sb="2" eb="3">
      <t>クミ</t>
    </rPh>
    <rPh sb="5" eb="6">
      <t>ハン</t>
    </rPh>
    <rPh sb="7" eb="9">
      <t>ハイリョ</t>
    </rPh>
    <rPh sb="10" eb="12">
      <t>ヒツヨウ</t>
    </rPh>
    <rPh sb="13" eb="15">
      <t>ジドウ</t>
    </rPh>
    <rPh sb="17" eb="18">
      <t>メイ</t>
    </rPh>
    <rPh sb="24" eb="26">
      <t>センセイ</t>
    </rPh>
    <rPh sb="28" eb="29">
      <t>メイ</t>
    </rPh>
    <rPh sb="29" eb="30">
      <t>ツ</t>
    </rPh>
    <rPh sb="53" eb="54">
      <t>サ</t>
    </rPh>
    <phoneticPr fontId="142"/>
  </si>
  <si>
    <t>各班の特記事項</t>
    <rPh sb="0" eb="1">
      <t>カク</t>
    </rPh>
    <rPh sb="1" eb="2">
      <t>ハン</t>
    </rPh>
    <rPh sb="3" eb="7">
      <t>トッキジコウ</t>
    </rPh>
    <phoneticPr fontId="142"/>
  </si>
  <si>
    <t>班</t>
    <rPh sb="0" eb="1">
      <t>ハン</t>
    </rPh>
    <phoneticPr fontId="142"/>
  </si>
  <si>
    <t>6組</t>
    <rPh sb="1" eb="2">
      <t>クミ</t>
    </rPh>
    <phoneticPr fontId="142"/>
  </si>
  <si>
    <t>4組</t>
    <rPh sb="1" eb="2">
      <t>クミ</t>
    </rPh>
    <phoneticPr fontId="142"/>
  </si>
  <si>
    <t>2組</t>
    <rPh sb="1" eb="2">
      <t>クミ</t>
    </rPh>
    <phoneticPr fontId="142"/>
  </si>
  <si>
    <t>合計</t>
    <rPh sb="0" eb="2">
      <t>ゴウケイ</t>
    </rPh>
    <phoneticPr fontId="142"/>
  </si>
  <si>
    <t>5組</t>
    <rPh sb="1" eb="2">
      <t>クミ</t>
    </rPh>
    <phoneticPr fontId="142"/>
  </si>
  <si>
    <t>3組</t>
    <rPh sb="1" eb="2">
      <t>クミ</t>
    </rPh>
    <phoneticPr fontId="142"/>
  </si>
  <si>
    <t>１組</t>
    <rPh sb="1" eb="2">
      <t>クミ</t>
    </rPh>
    <phoneticPr fontId="142"/>
  </si>
  <si>
    <t>名</t>
    <rPh sb="0" eb="1">
      <t>メイ</t>
    </rPh>
    <phoneticPr fontId="142"/>
  </si>
  <si>
    <t>組</t>
    <rPh sb="0" eb="1">
      <t>クミ</t>
    </rPh>
    <phoneticPr fontId="142"/>
  </si>
  <si>
    <t>各学級の班数</t>
    <rPh sb="0" eb="1">
      <t>カク</t>
    </rPh>
    <rPh sb="1" eb="3">
      <t>ガッキュウ</t>
    </rPh>
    <rPh sb="4" eb="5">
      <t>ハン</t>
    </rPh>
    <rPh sb="5" eb="6">
      <t>スウ</t>
    </rPh>
    <phoneticPr fontId="142"/>
  </si>
  <si>
    <t>引率者数</t>
    <rPh sb="0" eb="4">
      <t>インソツシャスウ</t>
    </rPh>
    <phoneticPr fontId="142"/>
  </si>
  <si>
    <t>学級総数</t>
    <rPh sb="0" eb="2">
      <t>ガッキュウ</t>
    </rPh>
    <rPh sb="2" eb="4">
      <t>ソウスウ</t>
    </rPh>
    <phoneticPr fontId="142"/>
  </si>
  <si>
    <t>（１）班分けについて</t>
    <rPh sb="3" eb="5">
      <t>ハンワ</t>
    </rPh>
    <phoneticPr fontId="142"/>
  </si>
  <si>
    <t>/</t>
    <phoneticPr fontId="142"/>
  </si>
  <si>
    <t>相談</t>
    <rPh sb="0" eb="2">
      <t>ソウダン</t>
    </rPh>
    <phoneticPr fontId="142"/>
  </si>
  <si>
    <t>札幌市立山の家小学校</t>
    <rPh sb="0" eb="4">
      <t>サッポロシリツ</t>
    </rPh>
    <rPh sb="4" eb="5">
      <t>ヤマ</t>
    </rPh>
    <rPh sb="6" eb="7">
      <t>イエ</t>
    </rPh>
    <rPh sb="7" eb="10">
      <t>ショウガッコウ</t>
    </rPh>
    <phoneticPr fontId="142"/>
  </si>
  <si>
    <t>※　提出対象は、札幌市スポーツ局に歩くスキー申し込み済の札幌市内小学校のみとなります。</t>
    <phoneticPr fontId="142"/>
  </si>
  <si>
    <t>【宿泊減免】</t>
    <rPh sb="1" eb="5">
      <t>シュクハクゲンメン</t>
    </rPh>
    <phoneticPr fontId="2"/>
  </si>
  <si>
    <t>宿泊　【減免】対象者（４歳～６歳）</t>
    <phoneticPr fontId="2"/>
  </si>
  <si>
    <t>宿泊　【減免】対象者（小～中学生）</t>
    <phoneticPr fontId="2"/>
  </si>
  <si>
    <t>宿泊　【減免】対象者（高校生）</t>
    <phoneticPr fontId="2"/>
  </si>
  <si>
    <t>宿泊　【減免】対象者（一般）</t>
    <phoneticPr fontId="2"/>
  </si>
  <si>
    <t>宿泊　【減免】対象者（引率割引４歳～中）</t>
    <phoneticPr fontId="2"/>
  </si>
  <si>
    <t>宿泊　【減免】対象者（引率割引高校生）</t>
    <phoneticPr fontId="2"/>
  </si>
  <si>
    <t>←</t>
    <phoneticPr fontId="2"/>
  </si>
  <si>
    <t>収入区分コードを入れる列</t>
    <rPh sb="0" eb="4">
      <t>シュウニュウクブン</t>
    </rPh>
    <rPh sb="8" eb="9">
      <t>イ</t>
    </rPh>
    <rPh sb="11" eb="12">
      <t>レツ</t>
    </rPh>
    <phoneticPr fontId="2"/>
  </si>
  <si>
    <t>【日帰り減免】</t>
    <rPh sb="1" eb="3">
      <t>ヒガエ</t>
    </rPh>
    <rPh sb="4" eb="6">
      <t>ゲンメン</t>
    </rPh>
    <phoneticPr fontId="2"/>
  </si>
  <si>
    <t>日帰り　【減免】対象者（４歳～６歳）</t>
    <phoneticPr fontId="2"/>
  </si>
  <si>
    <t>日帰り　【減免】対象者（小～中学生）</t>
    <phoneticPr fontId="2"/>
  </si>
  <si>
    <t>日帰り　【減免】対象者（高校生）</t>
    <phoneticPr fontId="2"/>
  </si>
  <si>
    <t>日帰り　【減免】対象者（一般）</t>
    <phoneticPr fontId="2"/>
  </si>
  <si>
    <t>日帰り【減免】対象者（引率割引4歳～中）</t>
    <phoneticPr fontId="2"/>
  </si>
  <si>
    <t>日帰り　【減免】対象者（引率割引高校生）</t>
    <phoneticPr fontId="2"/>
  </si>
  <si>
    <t>【補助的指導者】</t>
    <rPh sb="1" eb="7">
      <t>ホジョテキシドウシャ</t>
    </rPh>
    <phoneticPr fontId="2"/>
  </si>
  <si>
    <t>合計人数が入る列</t>
    <rPh sb="0" eb="4">
      <t>ゴウケイニンズウ</t>
    </rPh>
    <rPh sb="5" eb="6">
      <t>ハイ</t>
    </rPh>
    <rPh sb="7" eb="8">
      <t>レツ</t>
    </rPh>
    <phoneticPr fontId="2"/>
  </si>
  <si>
    <t>補</t>
    <rPh sb="0" eb="1">
      <t>ホ</t>
    </rPh>
    <phoneticPr fontId="7"/>
  </si>
  <si>
    <t>補助</t>
    <rPh sb="0" eb="2">
      <t>ホジョ</t>
    </rPh>
    <phoneticPr fontId="7"/>
  </si>
  <si>
    <t>短時間で補助的な指導にあたる教員</t>
    <rPh sb="0" eb="3">
      <t>タンジカン</t>
    </rPh>
    <rPh sb="4" eb="7">
      <t>ホジョテキ</t>
    </rPh>
    <rPh sb="8" eb="10">
      <t>シドウ</t>
    </rPh>
    <rPh sb="14" eb="16">
      <t>キョウイン</t>
    </rPh>
    <phoneticPr fontId="2"/>
  </si>
  <si>
    <t>補</t>
    <rPh sb="0" eb="1">
      <t>ホ</t>
    </rPh>
    <phoneticPr fontId="2"/>
  </si>
  <si>
    <t>引率者</t>
    <phoneticPr fontId="7"/>
  </si>
  <si>
    <t>中学生</t>
    <phoneticPr fontId="7"/>
  </si>
  <si>
    <t>コード</t>
    <phoneticPr fontId="2"/>
  </si>
  <si>
    <t>001103</t>
    <phoneticPr fontId="2"/>
  </si>
  <si>
    <t>001105</t>
    <phoneticPr fontId="2"/>
  </si>
  <si>
    <t>001109</t>
    <phoneticPr fontId="2"/>
  </si>
  <si>
    <t>001203</t>
    <phoneticPr fontId="2"/>
  </si>
  <si>
    <t>001205</t>
    <phoneticPr fontId="2"/>
  </si>
  <si>
    <t>001210</t>
    <phoneticPr fontId="2"/>
  </si>
  <si>
    <t>001207</t>
    <phoneticPr fontId="2"/>
  </si>
  <si>
    <t>001209</t>
    <phoneticPr fontId="2"/>
  </si>
  <si>
    <t>001211</t>
    <phoneticPr fontId="2"/>
  </si>
  <si>
    <t>001107</t>
    <phoneticPr fontId="2"/>
  </si>
  <si>
    <t>001111</t>
    <phoneticPr fontId="2"/>
  </si>
  <si>
    <t>001401</t>
    <phoneticPr fontId="2"/>
  </si>
  <si>
    <t>実利用者数</t>
    <rPh sb="0" eb="5">
      <t>ジツリヨウシャスウ</t>
    </rPh>
    <phoneticPr fontId="2"/>
  </si>
  <si>
    <t>延利用者数</t>
    <rPh sb="0" eb="1">
      <t>ノベ</t>
    </rPh>
    <rPh sb="1" eb="3">
      <t>リヨウ</t>
    </rPh>
    <rPh sb="3" eb="4">
      <t>シャ</t>
    </rPh>
    <rPh sb="4" eb="5">
      <t>スウ</t>
    </rPh>
    <phoneticPr fontId="2"/>
  </si>
  <si>
    <t>1泊</t>
    <rPh sb="1" eb="2">
      <t>ハク</t>
    </rPh>
    <phoneticPr fontId="2"/>
  </si>
  <si>
    <t>2泊</t>
    <rPh sb="1" eb="2">
      <t>ハク</t>
    </rPh>
    <phoneticPr fontId="2"/>
  </si>
  <si>
    <t>3泊</t>
    <rPh sb="1" eb="2">
      <t>ハク</t>
    </rPh>
    <phoneticPr fontId="2"/>
  </si>
  <si>
    <t>4泊</t>
    <rPh sb="1" eb="2">
      <t>ハク</t>
    </rPh>
    <phoneticPr fontId="2"/>
  </si>
  <si>
    <t>5泊</t>
    <rPh sb="1" eb="2">
      <t>ハク</t>
    </rPh>
    <phoneticPr fontId="2"/>
  </si>
  <si>
    <t>様式10　車両動向報告書</t>
    <rPh sb="0" eb="2">
      <t>ヨウシキ</t>
    </rPh>
    <rPh sb="5" eb="12">
      <t>シャリョウドウコウホウコクショ</t>
    </rPh>
    <phoneticPr fontId="142"/>
  </si>
  <si>
    <t>車両</t>
    <rPh sb="0" eb="2">
      <t>シャリョウ</t>
    </rPh>
    <phoneticPr fontId="142"/>
  </si>
  <si>
    <t>台数</t>
    <rPh sb="0" eb="2">
      <t>ダイスウ</t>
    </rPh>
    <phoneticPr fontId="142"/>
  </si>
  <si>
    <t>入園時間</t>
    <rPh sb="0" eb="4">
      <t>ニュウエンジカン</t>
    </rPh>
    <phoneticPr fontId="142"/>
  </si>
  <si>
    <t>退園時間</t>
    <rPh sb="0" eb="2">
      <t>タイエン</t>
    </rPh>
    <rPh sb="2" eb="4">
      <t>ジカン</t>
    </rPh>
    <phoneticPr fontId="142"/>
  </si>
  <si>
    <t>料金所記入欄</t>
    <rPh sb="0" eb="6">
      <t>リョウキンジョキニュウラン</t>
    </rPh>
    <phoneticPr fontId="142"/>
  </si>
  <si>
    <t>注意事項</t>
    <rPh sb="0" eb="4">
      <t>チュウイジコウ</t>
    </rPh>
    <phoneticPr fontId="142"/>
  </si>
  <si>
    <t>運転者</t>
    <rPh sb="0" eb="3">
      <t>ウンテンシャ</t>
    </rPh>
    <phoneticPr fontId="142"/>
  </si>
  <si>
    <t>（ブルー）</t>
    <phoneticPr fontId="142"/>
  </si>
  <si>
    <t>グリーン</t>
    <phoneticPr fontId="142"/>
  </si>
  <si>
    <t>（グリーン）</t>
    <phoneticPr fontId="142"/>
  </si>
  <si>
    <t>（イエロー）</t>
    <phoneticPr fontId="142"/>
  </si>
  <si>
    <t>（オレンジ）</t>
    <phoneticPr fontId="142"/>
  </si>
  <si>
    <t>（補助）</t>
    <rPh sb="1" eb="3">
      <t>ホジョ</t>
    </rPh>
    <phoneticPr fontId="142"/>
  </si>
  <si>
    <t>（ピンク）</t>
    <phoneticPr fontId="142"/>
  </si>
  <si>
    <t>（送迎）</t>
    <rPh sb="1" eb="3">
      <t>ソウゲイ</t>
    </rPh>
    <phoneticPr fontId="142"/>
  </si>
  <si>
    <t>南駐車場</t>
    <rPh sb="0" eb="4">
      <t>ミナミチュウシャジョウ</t>
    </rPh>
    <phoneticPr fontId="142"/>
  </si>
  <si>
    <t>山の家駐車場</t>
    <rPh sb="0" eb="1">
      <t>ヤマ</t>
    </rPh>
    <rPh sb="2" eb="3">
      <t>イエ</t>
    </rPh>
    <rPh sb="3" eb="6">
      <t>チュウシャジョウ</t>
    </rPh>
    <phoneticPr fontId="142"/>
  </si>
  <si>
    <t>南第２駐車場</t>
    <rPh sb="0" eb="1">
      <t>ミナミ</t>
    </rPh>
    <rPh sb="1" eb="2">
      <t>ダイ</t>
    </rPh>
    <rPh sb="3" eb="6">
      <t>チュウシャジョウ</t>
    </rPh>
    <phoneticPr fontId="142"/>
  </si>
  <si>
    <t>団体記入欄（送迎バス、教員・カメラマン・保護者の車　など）</t>
    <rPh sb="0" eb="5">
      <t>ダンタイキニュウラン</t>
    </rPh>
    <rPh sb="6" eb="8">
      <t>ソウゲイ</t>
    </rPh>
    <rPh sb="11" eb="13">
      <t>キョウイン</t>
    </rPh>
    <rPh sb="20" eb="23">
      <t>ホゴシャ</t>
    </rPh>
    <rPh sb="24" eb="25">
      <t>クルマ</t>
    </rPh>
    <phoneticPr fontId="142"/>
  </si>
  <si>
    <t>団体記入欄（補助的指導者分）</t>
    <rPh sb="0" eb="5">
      <t>ダンタイキニュウラン</t>
    </rPh>
    <rPh sb="6" eb="12">
      <t>ホジョテキシドウシャ</t>
    </rPh>
    <rPh sb="12" eb="13">
      <t>ブン</t>
    </rPh>
    <phoneticPr fontId="142"/>
  </si>
  <si>
    <t>駐停車位置
（カード）</t>
    <rPh sb="0" eb="5">
      <t>チュウテイシャイチ</t>
    </rPh>
    <phoneticPr fontId="142"/>
  </si>
  <si>
    <t>補助
（超過分）</t>
    <rPh sb="0" eb="2">
      <t>ホジョ</t>
    </rPh>
    <rPh sb="4" eb="7">
      <t>チョウカブン</t>
    </rPh>
    <phoneticPr fontId="142"/>
  </si>
  <si>
    <t>ブルー</t>
    <phoneticPr fontId="142"/>
  </si>
  <si>
    <t>オレンジ</t>
    <phoneticPr fontId="142"/>
  </si>
  <si>
    <t>イエロー</t>
    <phoneticPr fontId="142"/>
  </si>
  <si>
    <t>ピンク</t>
    <phoneticPr fontId="142"/>
  </si>
  <si>
    <t>送迎（乗用）</t>
    <rPh sb="0" eb="2">
      <t>ソウゲイ</t>
    </rPh>
    <rPh sb="3" eb="5">
      <t>ジョウヨウ</t>
    </rPh>
    <phoneticPr fontId="142"/>
  </si>
  <si>
    <t>送迎（バス）</t>
    <rPh sb="0" eb="2">
      <t>ソウゲイ</t>
    </rPh>
    <phoneticPr fontId="142"/>
  </si>
  <si>
    <t>15時小計</t>
    <rPh sb="2" eb="3">
      <t>ジ</t>
    </rPh>
    <rPh sb="3" eb="5">
      <t>ショウケイ</t>
    </rPh>
    <phoneticPr fontId="142"/>
  </si>
  <si>
    <t>最終合計</t>
    <rPh sb="0" eb="4">
      <t>サイシュウゴウケイ</t>
    </rPh>
    <phoneticPr fontId="142"/>
  </si>
  <si>
    <t/>
  </si>
  <si>
    <t>送信</t>
    <rPh sb="0" eb="2">
      <t>ソウシン</t>
    </rPh>
    <phoneticPr fontId="142"/>
  </si>
  <si>
    <t>調整</t>
    <rPh sb="0" eb="2">
      <t>チョウセイ</t>
    </rPh>
    <phoneticPr fontId="142"/>
  </si>
  <si>
    <t>日にち</t>
    <rPh sb="0" eb="1">
      <t>ヒ</t>
    </rPh>
    <phoneticPr fontId="142"/>
  </si>
  <si>
    <t>04 利用者名簿</t>
    <rPh sb="3" eb="6">
      <t>リヨウシャ</t>
    </rPh>
    <rPh sb="6" eb="8">
      <t>メイボ</t>
    </rPh>
    <phoneticPr fontId="2"/>
  </si>
  <si>
    <t>05 人数報告用紙</t>
    <rPh sb="3" eb="5">
      <t>ニンズウ</t>
    </rPh>
    <rPh sb="5" eb="7">
      <t>ホウコク</t>
    </rPh>
    <rPh sb="7" eb="9">
      <t>ヨウシ</t>
    </rPh>
    <phoneticPr fontId="2"/>
  </si>
  <si>
    <t>06 使用料減免申請書</t>
    <rPh sb="3" eb="6">
      <t>シヨウリョウ</t>
    </rPh>
    <rPh sb="6" eb="8">
      <t>ゲンメン</t>
    </rPh>
    <rPh sb="8" eb="11">
      <t>シンセイショ</t>
    </rPh>
    <phoneticPr fontId="2"/>
  </si>
  <si>
    <t>07 補助的指導者使用申込書</t>
    <rPh sb="3" eb="6">
      <t>ホジョテキ</t>
    </rPh>
    <rPh sb="6" eb="9">
      <t>シドウシャ</t>
    </rPh>
    <rPh sb="9" eb="11">
      <t>シヨウ</t>
    </rPh>
    <rPh sb="11" eb="14">
      <t>モウシコミショ</t>
    </rPh>
    <phoneticPr fontId="2"/>
  </si>
  <si>
    <t>08 車両動向報告書</t>
    <rPh sb="3" eb="5">
      <t>シャリョウ</t>
    </rPh>
    <rPh sb="5" eb="7">
      <t>ドウコウ</t>
    </rPh>
    <rPh sb="7" eb="10">
      <t>ホウコクショ</t>
    </rPh>
    <phoneticPr fontId="2"/>
  </si>
  <si>
    <t>09 利用日変更(取消)報告書</t>
    <rPh sb="3" eb="5">
      <t>リヨウ</t>
    </rPh>
    <rPh sb="5" eb="6">
      <t>ビ</t>
    </rPh>
    <rPh sb="6" eb="8">
      <t>ヘンコウ</t>
    </rPh>
    <rPh sb="9" eb="11">
      <t>トリケシ</t>
    </rPh>
    <rPh sb="12" eb="15">
      <t>ホウコクショ</t>
    </rPh>
    <phoneticPr fontId="2"/>
  </si>
  <si>
    <t>色付きの枠</t>
    <rPh sb="0" eb="2">
      <t>イロツ</t>
    </rPh>
    <rPh sb="4" eb="5">
      <t>ワク</t>
    </rPh>
    <phoneticPr fontId="4"/>
  </si>
  <si>
    <t>1０ 歩くスキー事前調査</t>
    <rPh sb="3" eb="4">
      <t>アル</t>
    </rPh>
    <rPh sb="8" eb="12">
      <t>ジゼンチョウサ</t>
    </rPh>
    <phoneticPr fontId="4"/>
  </si>
  <si>
    <r>
      <t>ご入館日</t>
    </r>
    <r>
      <rPr>
        <b/>
        <u/>
        <sz val="10.5"/>
        <color theme="1"/>
        <rFont val="BIZ UDPゴシック"/>
        <family val="3"/>
        <charset val="128"/>
      </rPr>
      <t>２週間前まで</t>
    </r>
    <r>
      <rPr>
        <sz val="10.5"/>
        <color theme="1"/>
        <rFont val="BIZ UDPゴシック"/>
        <family val="3"/>
        <charset val="128"/>
      </rPr>
      <t xml:space="preserve">
※該当校のみ</t>
    </r>
    <rPh sb="1" eb="3">
      <t>ニュウカン</t>
    </rPh>
    <rPh sb="3" eb="4">
      <t>ヒ</t>
    </rPh>
    <rPh sb="5" eb="7">
      <t>シュウカン</t>
    </rPh>
    <rPh sb="7" eb="8">
      <t>マエ</t>
    </rPh>
    <rPh sb="12" eb="15">
      <t>ガイトウコウ</t>
    </rPh>
    <phoneticPr fontId="2"/>
  </si>
  <si>
    <r>
      <rPr>
        <b/>
        <sz val="8.5"/>
        <color theme="1"/>
        <rFont val="BIZ UDPゴシック"/>
        <family val="3"/>
        <charset val="128"/>
      </rPr>
      <t>注１：</t>
    </r>
    <r>
      <rPr>
        <sz val="8.5"/>
        <color theme="1"/>
        <rFont val="BIZ UDPゴシック"/>
        <family val="3"/>
        <charset val="128"/>
      </rPr>
      <t xml:space="preserve">入館日の1か月前から部屋割り等の調整をしますのでそれまでに申請書類を提出ください。提出が遅れた場合、先に提出した団体を優先的に調整します。
</t>
    </r>
    <r>
      <rPr>
        <b/>
        <sz val="8.5"/>
        <color theme="1"/>
        <rFont val="BIZ UDPゴシック"/>
        <family val="3"/>
        <charset val="128"/>
      </rPr>
      <t>注２：</t>
    </r>
    <r>
      <rPr>
        <sz val="8.5"/>
        <color theme="1"/>
        <rFont val="BIZ UDPゴシック"/>
        <family val="3"/>
        <charset val="128"/>
      </rPr>
      <t xml:space="preserve">入館日の2週間前までに、すべての申請書類をご提出ください。
</t>
    </r>
    <r>
      <rPr>
        <b/>
        <sz val="8.5"/>
        <color theme="1"/>
        <rFont val="BIZ UDPゴシック"/>
        <family val="3"/>
        <charset val="128"/>
      </rPr>
      <t>注３：</t>
    </r>
    <r>
      <rPr>
        <sz val="8.5"/>
        <color theme="1"/>
        <rFont val="BIZ UDPゴシック"/>
        <family val="3"/>
        <charset val="128"/>
      </rPr>
      <t>長期（夏・冬季）休業直後利用の学校団体は、次の期限までに提出してください。
 　　　夏季：8月中旬～9月中旬利用の学校団体
 　　　　　　→　7月1日（17時）が提出期限
 　　　冬季：1月中旬～2月中旬利用の学校団体
 　　　　　　→　12月1日（17時）が提出期限</t>
    </r>
    <rPh sb="0" eb="1">
      <t>チュウ</t>
    </rPh>
    <rPh sb="13" eb="16">
      <t>ヘヤワ</t>
    </rPh>
    <rPh sb="17" eb="18">
      <t>トウ</t>
    </rPh>
    <rPh sb="19" eb="21">
      <t>チョウセイ</t>
    </rPh>
    <rPh sb="44" eb="46">
      <t>テイシュツ</t>
    </rPh>
    <rPh sb="47" eb="48">
      <t>オク</t>
    </rPh>
    <rPh sb="53" eb="54">
      <t>サキ</t>
    </rPh>
    <rPh sb="55" eb="57">
      <t>テイシュツ</t>
    </rPh>
    <rPh sb="59" eb="61">
      <t>ダンタイ</t>
    </rPh>
    <rPh sb="62" eb="65">
      <t>ユウセンテキ</t>
    </rPh>
    <rPh sb="66" eb="68">
      <t>チョウセイ</t>
    </rPh>
    <rPh sb="74" eb="75">
      <t>チュウ</t>
    </rPh>
    <rPh sb="77" eb="79">
      <t>ニュウカン</t>
    </rPh>
    <rPh sb="79" eb="80">
      <t>ビ</t>
    </rPh>
    <rPh sb="93" eb="97">
      <t>シンセイショルイ</t>
    </rPh>
    <rPh sb="99" eb="101">
      <t>テイシュツ</t>
    </rPh>
    <rPh sb="108" eb="109">
      <t>チュウ</t>
    </rPh>
    <rPh sb="116" eb="118">
      <t>トウキ</t>
    </rPh>
    <rPh sb="126" eb="128">
      <t>ガッコウ</t>
    </rPh>
    <rPh sb="128" eb="130">
      <t>ダンタイ</t>
    </rPh>
    <rPh sb="153" eb="155">
      <t>カキ</t>
    </rPh>
    <rPh sb="158" eb="160">
      <t>チュウジュン</t>
    </rPh>
    <rPh sb="163" eb="165">
      <t>チュウジュン</t>
    </rPh>
    <rPh sb="168" eb="170">
      <t>ガッコウ</t>
    </rPh>
    <rPh sb="170" eb="172">
      <t>ダンタイ</t>
    </rPh>
    <rPh sb="189" eb="190">
      <t>ジ</t>
    </rPh>
    <rPh sb="201" eb="203">
      <t>トウキ</t>
    </rPh>
    <rPh sb="206" eb="208">
      <t>チュウジュン</t>
    </rPh>
    <rPh sb="211" eb="213">
      <t>チュウジュン</t>
    </rPh>
    <rPh sb="213" eb="215">
      <t>リヨウ</t>
    </rPh>
    <rPh sb="216" eb="218">
      <t>ガッコウ</t>
    </rPh>
    <rPh sb="218" eb="220">
      <t>ダンタイ</t>
    </rPh>
    <rPh sb="238" eb="239">
      <t>ジ</t>
    </rPh>
    <phoneticPr fontId="2"/>
  </si>
  <si>
    <t>その他</t>
    <rPh sb="2" eb="3">
      <t>タ</t>
    </rPh>
    <phoneticPr fontId="7"/>
  </si>
  <si>
    <t>（</t>
    <phoneticPr fontId="7"/>
  </si>
  <si>
    <t>）</t>
    <phoneticPr fontId="7"/>
  </si>
  <si>
    <t xml:space="preserve"> 補助的指導者使用申込書（該当校のみ）</t>
    <rPh sb="1" eb="4">
      <t>ホジョテキ</t>
    </rPh>
    <rPh sb="4" eb="7">
      <t>シドウシャ</t>
    </rPh>
    <rPh sb="7" eb="9">
      <t>シヨウ</t>
    </rPh>
    <rPh sb="9" eb="12">
      <t>モウシコミショ</t>
    </rPh>
    <rPh sb="13" eb="16">
      <t>ガイトウコウ</t>
    </rPh>
    <phoneticPr fontId="2"/>
  </si>
  <si>
    <r>
      <rPr>
        <b/>
        <sz val="12"/>
        <color indexed="8"/>
        <rFont val="BIZ UDPゴシック"/>
        <family val="3"/>
        <charset val="128"/>
      </rPr>
      <t>①</t>
    </r>
    <r>
      <rPr>
        <b/>
        <sz val="11"/>
        <color theme="1"/>
        <rFont val="BIZ UDPゴシック"/>
        <family val="3"/>
        <charset val="128"/>
      </rPr>
      <t>　アレルギー対応について</t>
    </r>
    <rPh sb="7" eb="9">
      <t>タイオウ</t>
    </rPh>
    <phoneticPr fontId="2"/>
  </si>
  <si>
    <t>特別な事情により、食事をお持ち込みになる方はいますか。</t>
    <rPh sb="9" eb="11">
      <t>ショクジ</t>
    </rPh>
    <phoneticPr fontId="2"/>
  </si>
  <si>
    <r>
      <t>　注意①：</t>
    </r>
    <r>
      <rPr>
        <b/>
        <u/>
        <sz val="11"/>
        <rFont val="HG丸ｺﾞｼｯｸM-PRO"/>
        <family val="3"/>
        <charset val="128"/>
      </rPr>
      <t>食事・食材・飲料を食堂内に持ち込むことは原則禁止</t>
    </r>
    <r>
      <rPr>
        <sz val="11"/>
        <rFont val="HG丸ｺﾞｼｯｸM-PRO"/>
        <family val="3"/>
        <charset val="128"/>
      </rPr>
      <t>です。</t>
    </r>
    <rPh sb="1" eb="3">
      <t>チュウイ</t>
    </rPh>
    <rPh sb="5" eb="7">
      <t>ショクジ</t>
    </rPh>
    <rPh sb="8" eb="10">
      <t>ショクザイ</t>
    </rPh>
    <rPh sb="11" eb="13">
      <t>インリョウ</t>
    </rPh>
    <rPh sb="14" eb="17">
      <t>ショクドウナイ</t>
    </rPh>
    <rPh sb="18" eb="19">
      <t>モ</t>
    </rPh>
    <rPh sb="20" eb="21">
      <t>コ</t>
    </rPh>
    <rPh sb="25" eb="27">
      <t>ゲンソク</t>
    </rPh>
    <rPh sb="27" eb="29">
      <t>キンシ</t>
    </rPh>
    <phoneticPr fontId="2"/>
  </si>
  <si>
    <t>札幌市青少年山の家　【人数報告用紙】</t>
    <rPh sb="0" eb="3">
      <t>サッポロシ</t>
    </rPh>
    <rPh sb="3" eb="7">
      <t>セイショウネンヤマ</t>
    </rPh>
    <rPh sb="8" eb="9">
      <t>イエ</t>
    </rPh>
    <rPh sb="11" eb="15">
      <t>ニンズウホウコク</t>
    </rPh>
    <rPh sb="15" eb="17">
      <t>ヨウシ</t>
    </rPh>
    <phoneticPr fontId="20"/>
  </si>
  <si>
    <t>02 利用計画書</t>
    <rPh sb="3" eb="5">
      <t>リヨウ</t>
    </rPh>
    <rPh sb="5" eb="7">
      <t>ケイカク</t>
    </rPh>
    <rPh sb="7" eb="8">
      <t>ショ</t>
    </rPh>
    <phoneticPr fontId="2"/>
  </si>
  <si>
    <t>必要時に提出</t>
    <rPh sb="0" eb="2">
      <t>ヒツヨウ</t>
    </rPh>
    <rPh sb="2" eb="3">
      <t>ジ</t>
    </rPh>
    <rPh sb="4" eb="6">
      <t>テイシュツ</t>
    </rPh>
    <phoneticPr fontId="2"/>
  </si>
  <si>
    <t>バス</t>
  </si>
  <si>
    <t>佐々木、高橋、佐藤、山田</t>
    <rPh sb="0" eb="3">
      <t>ササキ</t>
    </rPh>
    <rPh sb="4" eb="6">
      <t>タカハシ</t>
    </rPh>
    <rPh sb="7" eb="9">
      <t>サトウ</t>
    </rPh>
    <rPh sb="10" eb="12">
      <t>ヤマダ</t>
    </rPh>
    <phoneticPr fontId="142"/>
  </si>
  <si>
    <t>鈴木</t>
    <rPh sb="0" eb="2">
      <t>スズキ</t>
    </rPh>
    <phoneticPr fontId="142"/>
  </si>
  <si>
    <t>人（宿泊学習の学校団体様式では不要）</t>
    <rPh sb="0" eb="1">
      <t>ニン</t>
    </rPh>
    <rPh sb="2" eb="6">
      <t>シュクハクガクシュウ</t>
    </rPh>
    <rPh sb="7" eb="11">
      <t>ガッコウダンタイ</t>
    </rPh>
    <rPh sb="11" eb="13">
      <t>ヨウシキ</t>
    </rPh>
    <rPh sb="15" eb="17">
      <t>フヨウ</t>
    </rPh>
    <phoneticPr fontId="2"/>
  </si>
  <si>
    <r>
      <t>ご入館日</t>
    </r>
    <r>
      <rPr>
        <b/>
        <u/>
        <sz val="10.5"/>
        <color theme="1"/>
        <rFont val="BIZ UDPゴシック"/>
        <family val="3"/>
        <charset val="128"/>
      </rPr>
      <t>２週間前まで</t>
    </r>
    <rPh sb="1" eb="3">
      <t>ニュウカン</t>
    </rPh>
    <rPh sb="3" eb="4">
      <t>ヒ</t>
    </rPh>
    <rPh sb="5" eb="7">
      <t>シュウカン</t>
    </rPh>
    <rPh sb="7" eb="8">
      <t>マエ</t>
    </rPh>
    <phoneticPr fontId="2"/>
  </si>
  <si>
    <t>（紙パック）麦茶</t>
    <rPh sb="1" eb="2">
      <t>カミ</t>
    </rPh>
    <rPh sb="6" eb="8">
      <t>ムギチャ</t>
    </rPh>
    <phoneticPr fontId="27"/>
  </si>
  <si>
    <t>（紙パック）りんご</t>
    <rPh sb="1" eb="2">
      <t>カミ</t>
    </rPh>
    <phoneticPr fontId="27"/>
  </si>
  <si>
    <t>（紙パック）オレンジ</t>
    <rPh sb="1" eb="2">
      <t>カミ</t>
    </rPh>
    <phoneticPr fontId="27"/>
  </si>
  <si>
    <t>（PET）麦茶</t>
    <rPh sb="5" eb="7">
      <t>ムギチャ</t>
    </rPh>
    <phoneticPr fontId="27"/>
  </si>
  <si>
    <t>（PET）スポーツドリンク</t>
    <phoneticPr fontId="27"/>
  </si>
  <si>
    <t>（PET）水</t>
    <rPh sb="5" eb="6">
      <t>ミズ</t>
    </rPh>
    <phoneticPr fontId="27"/>
  </si>
  <si>
    <t xml:space="preserve"> 炊事班名簿（該当校のみ）</t>
    <rPh sb="1" eb="6">
      <t>スイジハンメイボ</t>
    </rPh>
    <rPh sb="7" eb="10">
      <t>ガイトウコウ</t>
    </rPh>
    <phoneticPr fontId="7"/>
  </si>
  <si>
    <t>7</t>
    <phoneticPr fontId="2"/>
  </si>
  <si>
    <t>月</t>
    <rPh sb="0" eb="1">
      <t>ゲツ</t>
    </rPh>
    <phoneticPr fontId="142"/>
  </si>
  <si>
    <t>28</t>
    <phoneticPr fontId="2"/>
  </si>
  <si>
    <t>29</t>
    <phoneticPr fontId="2"/>
  </si>
  <si>
    <t>木</t>
    <rPh sb="0" eb="1">
      <t>モク</t>
    </rPh>
    <phoneticPr fontId="142"/>
  </si>
  <si>
    <t>金</t>
    <rPh sb="0" eb="1">
      <t>キン</t>
    </rPh>
    <phoneticPr fontId="142"/>
  </si>
  <si>
    <t>令和7</t>
    <rPh sb="0" eb="2">
      <t>レイワ</t>
    </rPh>
    <phoneticPr fontId="7"/>
  </si>
  <si>
    <r>
      <t>④　炊事班編成　（</t>
    </r>
    <r>
      <rPr>
        <b/>
        <sz val="12"/>
        <color indexed="8"/>
        <rFont val="BIZ UDPゴシック"/>
        <family val="3"/>
        <charset val="128"/>
      </rPr>
      <t>太枠内のみ記入）</t>
    </r>
    <r>
      <rPr>
        <b/>
        <sz val="12"/>
        <color theme="1"/>
        <rFont val="BIZ UDPゴシック"/>
        <family val="3"/>
        <charset val="128"/>
      </rPr>
      <t>※１班あたりの目安は7～８人となります。</t>
    </r>
    <rPh sb="2" eb="5">
      <t>スイジハン</t>
    </rPh>
    <rPh sb="5" eb="7">
      <t>ヘンセイ</t>
    </rPh>
    <rPh sb="9" eb="12">
      <t>フトワクナイ</t>
    </rPh>
    <rPh sb="14" eb="16">
      <t>キニュウ</t>
    </rPh>
    <rPh sb="19" eb="20">
      <t>ハン</t>
    </rPh>
    <rPh sb="24" eb="26">
      <t>メヤス</t>
    </rPh>
    <rPh sb="30" eb="31">
      <t>ニン</t>
    </rPh>
    <phoneticPr fontId="2"/>
  </si>
  <si>
    <t>　通常食における8大アレルゲン（小麦・乳・卵・えび・落花生・かに・そば・くるみ）の提供はありません。８大アレルゲン以外のアレルギー成分が含まれるものについては、団体の判断で自己除去をお願いします。なお、携帯弁当のみ８大アレルゲンが含まれます（小麦のみ）ので、該当する方は「アレルギー対応弁当」を選択してください。</t>
    <rPh sb="121" eb="123">
      <t>コムギ</t>
    </rPh>
    <phoneticPr fontId="27"/>
  </si>
  <si>
    <t>午前9：00
　　　～午後5：00</t>
    <rPh sb="0" eb="2">
      <t>ゴゼン</t>
    </rPh>
    <rPh sb="11" eb="13">
      <t>ゴゴ</t>
    </rPh>
    <phoneticPr fontId="2"/>
  </si>
  <si>
    <t>（PET）
スポーツドリンク</t>
    <phoneticPr fontId="27"/>
  </si>
  <si>
    <t>（紙パック）
麦茶</t>
    <rPh sb="1" eb="2">
      <t>カミ</t>
    </rPh>
    <rPh sb="7" eb="9">
      <t>ムギチャ</t>
    </rPh>
    <phoneticPr fontId="27"/>
  </si>
  <si>
    <t>　肉野菜炒め（材料、米0.6合）</t>
    <phoneticPr fontId="2"/>
  </si>
  <si>
    <t>　カレーライス（材料、米0.6合）</t>
    <phoneticPr fontId="2"/>
  </si>
  <si>
    <t>教材費</t>
    <rPh sb="0" eb="3">
      <t>キョウザイヒ</t>
    </rPh>
    <phoneticPr fontId="2"/>
  </si>
  <si>
    <t>炊事薪割（防災・マシュ・ポップ））</t>
    <rPh sb="0" eb="2">
      <t>スイジ</t>
    </rPh>
    <rPh sb="2" eb="4">
      <t>マキワリ</t>
    </rPh>
    <rPh sb="5" eb="7">
      <t>ボウサイ</t>
    </rPh>
    <phoneticPr fontId="2"/>
  </si>
  <si>
    <t>炊事薪割（カレー・豚汁・肉野菜・丸太）</t>
    <rPh sb="0" eb="2">
      <t>スイジ</t>
    </rPh>
    <rPh sb="2" eb="3">
      <t>マキ</t>
    </rPh>
    <rPh sb="3" eb="4">
      <t>ワリ</t>
    </rPh>
    <rPh sb="9" eb="11">
      <t>ブタジル</t>
    </rPh>
    <rPh sb="12" eb="15">
      <t>ニクヤサイ</t>
    </rPh>
    <rPh sb="16" eb="18">
      <t>マルタ</t>
    </rPh>
    <phoneticPr fontId="2"/>
  </si>
  <si>
    <t>丸太から薪づくり</t>
    <rPh sb="0" eb="2">
      <t>マルタ</t>
    </rPh>
    <rPh sb="4" eb="5">
      <t>マキ</t>
    </rPh>
    <phoneticPr fontId="2"/>
  </si>
  <si>
    <t>塩おにぎり（おにぎり2個のみ）</t>
    <phoneticPr fontId="27"/>
  </si>
  <si>
    <t>塩おにぎり（おにぎり2個のみ）</t>
    <phoneticPr fontId="2"/>
  </si>
  <si>
    <t>入園料【現金のみ】</t>
    <rPh sb="0" eb="3">
      <t>ニュウエンリョウ</t>
    </rPh>
    <rPh sb="4" eb="6">
      <t>ゲンキン</t>
    </rPh>
    <phoneticPr fontId="20"/>
  </si>
  <si>
    <r>
      <t>　注意③：</t>
    </r>
    <r>
      <rPr>
        <b/>
        <u/>
        <sz val="14"/>
        <color rgb="FFFF0000"/>
        <rFont val="HG丸ｺﾞｼｯｸM-PRO"/>
        <family val="3"/>
        <charset val="128"/>
      </rPr>
      <t>食数変更は入館日5日前17：00まで</t>
    </r>
    <r>
      <rPr>
        <sz val="11"/>
        <rFont val="HG丸ｺﾞｼｯｸM-PRO"/>
        <family val="3"/>
        <charset val="128"/>
      </rPr>
      <t>、</t>
    </r>
    <r>
      <rPr>
        <b/>
        <u/>
        <sz val="11"/>
        <rFont val="HG丸ｺﾞｼｯｸM-PRO"/>
        <family val="3"/>
        <charset val="128"/>
      </rPr>
      <t>メニュー変更は入館日２週間前まで</t>
    </r>
    <r>
      <rPr>
        <sz val="11"/>
        <rFont val="HG丸ｺﾞｼｯｸM-PRO"/>
        <family val="3"/>
        <charset val="128"/>
      </rPr>
      <t>です。
　　　　　　変更の際は、変更したい食事の「変更」欄をチェックして本書を再提出ください。</t>
    </r>
    <rPh sb="1" eb="3">
      <t>チュウイ</t>
    </rPh>
    <rPh sb="5" eb="7">
      <t>ショクスウ</t>
    </rPh>
    <rPh sb="7" eb="9">
      <t>ヘンコウ</t>
    </rPh>
    <rPh sb="10" eb="12">
      <t>ニュウカン</t>
    </rPh>
    <rPh sb="12" eb="13">
      <t>ビ</t>
    </rPh>
    <rPh sb="14" eb="16">
      <t>ニチマエ</t>
    </rPh>
    <rPh sb="28" eb="30">
      <t>ヘンコウ</t>
    </rPh>
    <rPh sb="31" eb="33">
      <t>ニュウカン</t>
    </rPh>
    <rPh sb="33" eb="34">
      <t>ビ</t>
    </rPh>
    <rPh sb="35" eb="37">
      <t>シュウカン</t>
    </rPh>
    <rPh sb="37" eb="38">
      <t>マエ</t>
    </rPh>
    <phoneticPr fontId="2"/>
  </si>
  <si>
    <t>変更締切日:当日午前9時</t>
    <phoneticPr fontId="2"/>
  </si>
  <si>
    <t>　■　領収・請求書を分割する場合は、領収・請求書を振り分けて宛名（※30文字上限）を記入してください。
　　　　※官公庁の学校団体のみ後納が可能です。後納の手数料は団体負担となります。
　■　各領収・請求書に該当する数値を、下表以降の太枠内に記入してください。
　■　冬季（11/11～4/19）における入園料の記載は不要です。
　■　当日、午前8：45～9：00の間に、欠席の有無に関わらず、人数確定のお電話をお願いします。（011-591-0303）</t>
    <rPh sb="57" eb="60">
      <t>カンコウチョウ</t>
    </rPh>
    <rPh sb="61" eb="63">
      <t>ガッコウ</t>
    </rPh>
    <rPh sb="63" eb="65">
      <t>ダンタイ</t>
    </rPh>
    <rPh sb="67" eb="69">
      <t>コウノウ</t>
    </rPh>
    <rPh sb="70" eb="72">
      <t>カノウ</t>
    </rPh>
    <rPh sb="75" eb="77">
      <t>コウノウ</t>
    </rPh>
    <rPh sb="78" eb="81">
      <t>テスウリョウ</t>
    </rPh>
    <rPh sb="82" eb="86">
      <t>ダンタイフタン</t>
    </rPh>
    <rPh sb="134" eb="136">
      <t>トウキ</t>
    </rPh>
    <rPh sb="152" eb="155">
      <t>ニュウエンリョウ</t>
    </rPh>
    <rPh sb="156" eb="158">
      <t>キサイ</t>
    </rPh>
    <rPh sb="159" eb="161">
      <t>フヨウ</t>
    </rPh>
    <phoneticPr fontId="2"/>
  </si>
  <si>
    <t>領収・請求書1</t>
    <rPh sb="0" eb="2">
      <t>リョウシュウ</t>
    </rPh>
    <rPh sb="3" eb="6">
      <t>セイキュウショ</t>
    </rPh>
    <phoneticPr fontId="20"/>
  </si>
  <si>
    <t>領収・請求書2</t>
    <rPh sb="0" eb="2">
      <t>リョウシュウ</t>
    </rPh>
    <rPh sb="3" eb="6">
      <t>セイキュウショ</t>
    </rPh>
    <phoneticPr fontId="20"/>
  </si>
  <si>
    <t>領収・請求書5</t>
    <rPh sb="0" eb="2">
      <t>リョウシュウ</t>
    </rPh>
    <rPh sb="3" eb="6">
      <t>セイキュウショ</t>
    </rPh>
    <phoneticPr fontId="20"/>
  </si>
  <si>
    <t>領収・請求書3</t>
    <rPh sb="0" eb="2">
      <t>リョウシュウ</t>
    </rPh>
    <rPh sb="3" eb="6">
      <t>セイキュウショ</t>
    </rPh>
    <phoneticPr fontId="20"/>
  </si>
  <si>
    <t>領収・請求書4</t>
    <rPh sb="0" eb="2">
      <t>リョウシュウ</t>
    </rPh>
    <rPh sb="3" eb="6">
      <t>セイキュウショ</t>
    </rPh>
    <phoneticPr fontId="20"/>
  </si>
  <si>
    <t>変更締切:当日午前9時</t>
    <rPh sb="0" eb="2">
      <t>ヘンコウ</t>
    </rPh>
    <rPh sb="2" eb="4">
      <t>シメキリ</t>
    </rPh>
    <rPh sb="5" eb="7">
      <t>トウジツ</t>
    </rPh>
    <rPh sb="7" eb="9">
      <t>ゴゼン</t>
    </rPh>
    <rPh sb="10" eb="11">
      <t>ジ</t>
    </rPh>
    <phoneticPr fontId="2"/>
  </si>
  <si>
    <t>変更締切:利用日5日前午後5時</t>
    <rPh sb="0" eb="2">
      <t>ヘンコウ</t>
    </rPh>
    <rPh sb="2" eb="4">
      <t>シメキリ</t>
    </rPh>
    <rPh sb="5" eb="8">
      <t>リヨウビ</t>
    </rPh>
    <rPh sb="9" eb="10">
      <t>ニチ</t>
    </rPh>
    <rPh sb="10" eb="11">
      <t>マエ</t>
    </rPh>
    <rPh sb="11" eb="13">
      <t>ゴゴ</t>
    </rPh>
    <rPh sb="14" eb="15">
      <t>ジ</t>
    </rPh>
    <phoneticPr fontId="2"/>
  </si>
  <si>
    <t>変更締切:利用日5日前午後5時</t>
    <rPh sb="0" eb="2">
      <t>ヘンコウ</t>
    </rPh>
    <rPh sb="2" eb="4">
      <t>シメキリ</t>
    </rPh>
    <rPh sb="5" eb="8">
      <t>リヨウビ</t>
    </rPh>
    <rPh sb="9" eb="11">
      <t>ニチマエ</t>
    </rPh>
    <rPh sb="11" eb="13">
      <t>ゴゴ</t>
    </rPh>
    <rPh sb="14" eb="15">
      <t>ジ</t>
    </rPh>
    <phoneticPr fontId="20"/>
  </si>
  <si>
    <t>施設使用料・食事代</t>
    <rPh sb="0" eb="5">
      <t>シセツシヨウリョウ</t>
    </rPh>
    <rPh sb="6" eb="9">
      <t>ショクジダイ</t>
    </rPh>
    <phoneticPr fontId="2"/>
  </si>
  <si>
    <t>利用日の5日前午後5時締切</t>
    <rPh sb="0" eb="3">
      <t>リヨウビ</t>
    </rPh>
    <rPh sb="5" eb="7">
      <t>ニチマエ</t>
    </rPh>
    <rPh sb="7" eb="9">
      <t>ゴゴ</t>
    </rPh>
    <rPh sb="10" eb="11">
      <t>ジ</t>
    </rPh>
    <rPh sb="11" eb="13">
      <t>シメキリ</t>
    </rPh>
    <phoneticPr fontId="2"/>
  </si>
  <si>
    <t>入園料・その他</t>
    <rPh sb="0" eb="3">
      <t>ニュウエンリョウ</t>
    </rPh>
    <rPh sb="6" eb="7">
      <t>タ</t>
    </rPh>
    <phoneticPr fontId="2"/>
  </si>
  <si>
    <t>利用日の午前９時締切</t>
    <rPh sb="0" eb="3">
      <t>リヨウビ</t>
    </rPh>
    <rPh sb="4" eb="6">
      <t>ゴゼン</t>
    </rPh>
    <rPh sb="7" eb="8">
      <t>ジ</t>
    </rPh>
    <rPh sb="8" eb="10">
      <t>シメキリ</t>
    </rPh>
    <phoneticPr fontId="2"/>
  </si>
  <si>
    <r>
      <rPr>
        <sz val="20"/>
        <rFont val="BIZ UDPゴシック"/>
        <family val="3"/>
        <charset val="128"/>
      </rPr>
      <t>官公庁の学校団体は</t>
    </r>
    <r>
      <rPr>
        <sz val="20"/>
        <rFont val="Segoe UI Symbol"/>
        <family val="3"/>
      </rPr>
      <t>☑</t>
    </r>
    <r>
      <rPr>
        <sz val="20"/>
        <rFont val="BIZ UDPゴシック"/>
        <family val="3"/>
        <charset val="128"/>
      </rPr>
      <t>を付けてください。（都道府県立および市町村立の学校団体）</t>
    </r>
    <r>
      <rPr>
        <sz val="16"/>
        <rFont val="BIZ UDPゴシック"/>
        <family val="3"/>
        <charset val="128"/>
      </rPr>
      <t xml:space="preserve">
</t>
    </r>
    <r>
      <rPr>
        <sz val="14"/>
        <rFont val="BIZ UDPゴシック"/>
        <family val="3"/>
        <charset val="128"/>
      </rPr>
      <t>　※山の家における『学校団体』:学校教育法第1条及び認定こども園法による教育施設、保育所並びに専門学校・外国人学校等</t>
    </r>
    <rPh sb="0" eb="3">
      <t>カンコウチョウ</t>
    </rPh>
    <rPh sb="4" eb="6">
      <t>ガッコウ</t>
    </rPh>
    <rPh sb="6" eb="8">
      <t>ダンタイ</t>
    </rPh>
    <rPh sb="11" eb="12">
      <t>ツ</t>
    </rPh>
    <rPh sb="20" eb="24">
      <t>トドウフケン</t>
    </rPh>
    <rPh sb="24" eb="25">
      <t>リツ</t>
    </rPh>
    <rPh sb="28" eb="32">
      <t>シチョウソンリツ</t>
    </rPh>
    <rPh sb="33" eb="37">
      <t>ガッコウダンタイ</t>
    </rPh>
    <rPh sb="41" eb="42">
      <t>ヤマ</t>
    </rPh>
    <rPh sb="43" eb="44">
      <t>イエ</t>
    </rPh>
    <rPh sb="49" eb="53">
      <t>ガッコウダンタイ</t>
    </rPh>
    <rPh sb="55" eb="57">
      <t>ガッコウ</t>
    </rPh>
    <rPh sb="57" eb="60">
      <t>キョウイクホウ</t>
    </rPh>
    <rPh sb="60" eb="61">
      <t>ダイ</t>
    </rPh>
    <rPh sb="62" eb="63">
      <t>ジョウ</t>
    </rPh>
    <rPh sb="63" eb="64">
      <t>オヨ</t>
    </rPh>
    <rPh sb="65" eb="67">
      <t>ニンテイ</t>
    </rPh>
    <rPh sb="70" eb="71">
      <t>エン</t>
    </rPh>
    <rPh sb="71" eb="72">
      <t>ホウ</t>
    </rPh>
    <rPh sb="75" eb="77">
      <t>キョウイク</t>
    </rPh>
    <rPh sb="77" eb="79">
      <t>シセツ</t>
    </rPh>
    <rPh sb="80" eb="82">
      <t>ホイク</t>
    </rPh>
    <rPh sb="82" eb="83">
      <t>ジョ</t>
    </rPh>
    <rPh sb="83" eb="84">
      <t>ナラ</t>
    </rPh>
    <rPh sb="86" eb="88">
      <t>センモン</t>
    </rPh>
    <rPh sb="88" eb="90">
      <t>ガッコウ</t>
    </rPh>
    <rPh sb="91" eb="93">
      <t>ガイコク</t>
    </rPh>
    <rPh sb="93" eb="94">
      <t>ジン</t>
    </rPh>
    <rPh sb="94" eb="96">
      <t>ガッコウ</t>
    </rPh>
    <rPh sb="96" eb="97">
      <t>トウ</t>
    </rPh>
    <phoneticPr fontId="2"/>
  </si>
  <si>
    <t>食数変更
締切日</t>
    <rPh sb="0" eb="2">
      <t>ショクスウ</t>
    </rPh>
    <rPh sb="2" eb="4">
      <t>ヘンコウ</t>
    </rPh>
    <rPh sb="5" eb="7">
      <t>シメキリ</t>
    </rPh>
    <rPh sb="7" eb="8">
      <t>ビ</t>
    </rPh>
    <phoneticPr fontId="27"/>
  </si>
  <si>
    <r>
      <t>　注意③：</t>
    </r>
    <r>
      <rPr>
        <b/>
        <u/>
        <sz val="14"/>
        <color rgb="FFFF0000"/>
        <rFont val="HG丸ｺﾞｼｯｸM-PRO"/>
        <family val="3"/>
        <charset val="128"/>
      </rPr>
      <t>食数変更は入館日5日前17：00まで</t>
    </r>
    <r>
      <rPr>
        <sz val="11"/>
        <rFont val="HG丸ｺﾞｼｯｸM-PRO"/>
        <family val="3"/>
        <charset val="128"/>
      </rPr>
      <t>、</t>
    </r>
    <r>
      <rPr>
        <b/>
        <u/>
        <sz val="11"/>
        <rFont val="HG丸ｺﾞｼｯｸM-PRO"/>
        <family val="3"/>
        <charset val="128"/>
      </rPr>
      <t>メニュー変更は入館日２週間前17：00まで</t>
    </r>
    <r>
      <rPr>
        <sz val="11"/>
        <rFont val="HG丸ｺﾞｼｯｸM-PRO"/>
        <family val="3"/>
        <charset val="128"/>
      </rPr>
      <t>です。
　　　　　　変更の際は、変更したい食事の「変更」欄をチェックして本書を再提出ください。</t>
    </r>
    <rPh sb="1" eb="3">
      <t>チュウイ</t>
    </rPh>
    <rPh sb="5" eb="7">
      <t>ショクスウ</t>
    </rPh>
    <rPh sb="7" eb="9">
      <t>ヘンコウ</t>
    </rPh>
    <rPh sb="10" eb="12">
      <t>ニュウカン</t>
    </rPh>
    <rPh sb="12" eb="13">
      <t>ビ</t>
    </rPh>
    <rPh sb="14" eb="16">
      <t>ニチマエ</t>
    </rPh>
    <rPh sb="28" eb="30">
      <t>ヘンコウ</t>
    </rPh>
    <rPh sb="31" eb="33">
      <t>ニュウカン</t>
    </rPh>
    <rPh sb="33" eb="34">
      <t>ビ</t>
    </rPh>
    <rPh sb="35" eb="37">
      <t>シュウカン</t>
    </rPh>
    <rPh sb="37" eb="38">
      <t>マエ</t>
    </rPh>
    <phoneticPr fontId="2"/>
  </si>
  <si>
    <t>メニュー変更
締切日</t>
    <rPh sb="4" eb="6">
      <t>ヘンコウ</t>
    </rPh>
    <rPh sb="7" eb="9">
      <t>シメキリ</t>
    </rPh>
    <rPh sb="9" eb="10">
      <t>ビ</t>
    </rPh>
    <phoneticPr fontId="27"/>
  </si>
  <si>
    <t>お弁当（おにぎり2、おかず）※小麦含む</t>
    <rPh sb="1" eb="3">
      <t>ベントウ</t>
    </rPh>
    <rPh sb="15" eb="17">
      <t>コムギ</t>
    </rPh>
    <rPh sb="17" eb="18">
      <t>フク</t>
    </rPh>
    <phoneticPr fontId="27"/>
  </si>
  <si>
    <t>お弁当（おにぎり2、おかず）※小麦含む</t>
    <rPh sb="1" eb="3">
      <t>ベントウ</t>
    </rPh>
    <rPh sb="15" eb="17">
      <t>コムギ</t>
    </rPh>
    <rPh sb="17" eb="18">
      <t>フク</t>
    </rPh>
    <phoneticPr fontId="2"/>
  </si>
  <si>
    <t>アレルギー弁当(8大対応)</t>
    <rPh sb="5" eb="7">
      <t>ベントウ</t>
    </rPh>
    <rPh sb="9" eb="10">
      <t>ダイ</t>
    </rPh>
    <rPh sb="10" eb="12">
      <t>タイオウ</t>
    </rPh>
    <phoneticPr fontId="27"/>
  </si>
  <si>
    <t>アレルギー弁当(8大対応)</t>
    <phoneticPr fontId="2"/>
  </si>
  <si>
    <t>令和8</t>
    <rPh sb="0" eb="2">
      <t>レイワ</t>
    </rPh>
    <phoneticPr fontId="7"/>
  </si>
  <si>
    <t>お弁当</t>
    <rPh sb="1" eb="3">
      <t>ベントウ</t>
    </rPh>
    <phoneticPr fontId="27"/>
  </si>
  <si>
    <t>令和7</t>
    <rPh sb="0" eb="2">
      <t>レイワ</t>
    </rPh>
    <phoneticPr fontId="2"/>
  </si>
  <si>
    <t>キャンプファイヤーセット</t>
    <phoneticPr fontId="20"/>
  </si>
  <si>
    <t>20</t>
    <phoneticPr fontId="7"/>
  </si>
  <si>
    <t>令和7年度　歩くスキー出前授業　事前調査票</t>
    <rPh sb="0" eb="2">
      <t>レイワ</t>
    </rPh>
    <rPh sb="3" eb="5">
      <t>ネンド</t>
    </rPh>
    <rPh sb="6" eb="7">
      <t>アル</t>
    </rPh>
    <rPh sb="11" eb="15">
      <t>デマエジュギョウ</t>
    </rPh>
    <rPh sb="16" eb="21">
      <t>ジゼンチョウサヒョウ</t>
    </rPh>
    <phoneticPr fontId="142"/>
  </si>
  <si>
    <t>令和8</t>
    <rPh sb="0" eb="2">
      <t>レイワ</t>
    </rPh>
    <phoneticPr fontId="28"/>
  </si>
  <si>
    <t>009924</t>
    <phoneticPr fontId="2"/>
  </si>
  <si>
    <t>005101</t>
    <phoneticPr fontId="2"/>
  </si>
  <si>
    <t>005102</t>
    <phoneticPr fontId="2"/>
  </si>
  <si>
    <t>005103</t>
    <phoneticPr fontId="2"/>
  </si>
  <si>
    <t>005104</t>
    <phoneticPr fontId="2"/>
  </si>
  <si>
    <t>009925</t>
    <phoneticPr fontId="2"/>
  </si>
  <si>
    <t>002237</t>
    <phoneticPr fontId="2"/>
  </si>
  <si>
    <t>002238</t>
    <phoneticPr fontId="2"/>
  </si>
  <si>
    <t>002239</t>
    <phoneticPr fontId="2"/>
  </si>
  <si>
    <t>002327</t>
    <phoneticPr fontId="2"/>
  </si>
  <si>
    <t>002328</t>
    <phoneticPr fontId="2"/>
  </si>
  <si>
    <t>002329</t>
    <phoneticPr fontId="2"/>
  </si>
  <si>
    <t>002127</t>
    <phoneticPr fontId="2"/>
  </si>
  <si>
    <t>002128</t>
    <phoneticPr fontId="2"/>
  </si>
  <si>
    <t>002129</t>
    <phoneticPr fontId="2"/>
  </si>
  <si>
    <t>002758</t>
    <phoneticPr fontId="2"/>
  </si>
  <si>
    <t>002760</t>
    <phoneticPr fontId="2"/>
  </si>
  <si>
    <t>002759</t>
    <phoneticPr fontId="2"/>
  </si>
  <si>
    <t>002953</t>
    <phoneticPr fontId="2"/>
  </si>
  <si>
    <t>002955</t>
    <phoneticPr fontId="2"/>
  </si>
  <si>
    <t>002954</t>
    <phoneticPr fontId="2"/>
  </si>
  <si>
    <t>002956</t>
    <phoneticPr fontId="2"/>
  </si>
  <si>
    <t>002957</t>
    <phoneticPr fontId="2"/>
  </si>
  <si>
    <t>002958</t>
    <phoneticPr fontId="2"/>
  </si>
  <si>
    <t>009929</t>
    <phoneticPr fontId="2"/>
  </si>
  <si>
    <t>009926</t>
    <phoneticPr fontId="2"/>
  </si>
  <si>
    <t>009928</t>
    <phoneticPr fontId="2"/>
  </si>
  <si>
    <t>009927</t>
    <phoneticPr fontId="2"/>
  </si>
  <si>
    <t>キャンプファイヤー薪セット</t>
    <rPh sb="9" eb="10">
      <t>マキ</t>
    </rPh>
    <phoneticPr fontId="20"/>
  </si>
  <si>
    <t>まいぎり式火おこし</t>
    <rPh sb="4" eb="5">
      <t>シキ</t>
    </rPh>
    <rPh sb="5" eb="6">
      <t>ヒ</t>
    </rPh>
    <phoneticPr fontId="2"/>
  </si>
  <si>
    <r>
      <t>■領収書又は請求書は、当日会計手続き時にお渡しいたします。なお、</t>
    </r>
    <r>
      <rPr>
        <b/>
        <u/>
        <sz val="14"/>
        <rFont val="BIZ UDPゴシック"/>
        <family val="3"/>
        <charset val="128"/>
      </rPr>
      <t>領収書及び請求書は再発行できません</t>
    </r>
    <r>
      <rPr>
        <sz val="14"/>
        <rFont val="BIZ UDPゴシック"/>
        <family val="3"/>
        <charset val="128"/>
      </rPr>
      <t>ので、記入内容を十分に確認してください。
■利用者名簿の人数と本紙は関連付けされております。</t>
    </r>
    <r>
      <rPr>
        <b/>
        <u/>
        <sz val="14"/>
        <rFont val="BIZ UDPゴシック"/>
        <family val="3"/>
        <charset val="128"/>
      </rPr>
      <t>人数の変更があった場合は、必ず【利用者名簿】の修正から</t>
    </r>
    <r>
      <rPr>
        <sz val="14"/>
        <rFont val="BIZ UDPゴシック"/>
        <family val="3"/>
        <charset val="128"/>
      </rPr>
      <t>おこなってください。</t>
    </r>
    <rPh sb="3" eb="4">
      <t>マタ</t>
    </rPh>
    <rPh sb="5" eb="8">
      <t>セイキュウショ</t>
    </rPh>
    <rPh sb="10" eb="12">
      <t>トウジツ</t>
    </rPh>
    <rPh sb="12" eb="14">
      <t>カイケイ</t>
    </rPh>
    <rPh sb="14" eb="16">
      <t>テツヅ</t>
    </rPh>
    <rPh sb="17" eb="18">
      <t>ジ</t>
    </rPh>
    <rPh sb="20" eb="21">
      <t>ワタ</t>
    </rPh>
    <rPh sb="33" eb="34">
      <t>ショ</t>
    </rPh>
    <rPh sb="34" eb="35">
      <t>オヨ</t>
    </rPh>
    <rPh sb="56" eb="58">
      <t>ジュウブン</t>
    </rPh>
    <rPh sb="59" eb="61">
      <t>カクニン</t>
    </rPh>
    <rPh sb="73" eb="75">
      <t>メイボ</t>
    </rPh>
    <rPh sb="76" eb="78">
      <t>ニンズウ</t>
    </rPh>
    <rPh sb="79" eb="81">
      <t>ホンシ</t>
    </rPh>
    <rPh sb="82" eb="84">
      <t>カンレン</t>
    </rPh>
    <rPh sb="84" eb="85">
      <t>ヅ</t>
    </rPh>
    <rPh sb="97" eb="99">
      <t>ヘンコウ</t>
    </rPh>
    <rPh sb="103" eb="105">
      <t>バアイ</t>
    </rPh>
    <rPh sb="107" eb="108">
      <t>カナラ</t>
    </rPh>
    <rPh sb="110" eb="113">
      <t>リヨウシャ</t>
    </rPh>
    <rPh sb="113" eb="115">
      <t>メイボ</t>
    </rPh>
    <rPh sb="117" eb="119">
      <t>シュウセイ</t>
    </rPh>
    <phoneticPr fontId="2"/>
  </si>
  <si>
    <t>小中人数内訳</t>
    <rPh sb="0" eb="2">
      <t>ショウチュウ</t>
    </rPh>
    <rPh sb="2" eb="4">
      <t>ニンズウ</t>
    </rPh>
    <rPh sb="4" eb="6">
      <t>ウチワケ</t>
    </rPh>
    <phoneticPr fontId="2"/>
  </si>
  <si>
    <t>キャンプファイヤー用トーチ棒</t>
    <rPh sb="9" eb="10">
      <t>ヨウ</t>
    </rPh>
    <rPh sb="13" eb="14">
      <t>ボウ</t>
    </rPh>
    <phoneticPr fontId="2"/>
  </si>
  <si>
    <t>009932</t>
    <phoneticPr fontId="2"/>
  </si>
  <si>
    <t>令和８</t>
    <rPh sb="0" eb="2">
      <t>レイワ</t>
    </rPh>
    <phoneticPr fontId="7"/>
  </si>
  <si>
    <t>令和9</t>
    <rPh sb="0" eb="2">
      <t>レイワ</t>
    </rPh>
    <phoneticPr fontId="7"/>
  </si>
  <si>
    <t>令和9</t>
    <rPh sb="0" eb="2">
      <t>レイワ</t>
    </rPh>
    <phoneticPr fontId="28"/>
  </si>
  <si>
    <t>令和8</t>
    <rPh sb="0" eb="2">
      <t>レイワ</t>
    </rPh>
    <phoneticPr fontId="2"/>
  </si>
  <si>
    <t>令和7</t>
    <rPh sb="0" eb="2">
      <t>レイワ</t>
    </rPh>
    <phoneticPr fontId="28"/>
  </si>
  <si>
    <t>006100</t>
    <phoneticPr fontId="2"/>
  </si>
  <si>
    <t>札幌市青少年山の家【利用計画書】</t>
  </si>
  <si>
    <t>団体名：</t>
  </si>
  <si>
    <t>人数：</t>
  </si>
  <si>
    <t>※当公園及び当施設利用上のきまりに沿って、利用計画（いつ・どこで・なにを）を立ててください（晴天・荒天共に）。</t>
    <phoneticPr fontId="142"/>
  </si>
  <si>
    <t>特記事項
備考</t>
    <rPh sb="0" eb="2">
      <t>トッキ</t>
    </rPh>
    <rPh sb="2" eb="4">
      <t>ジコウ</t>
    </rPh>
    <phoneticPr fontId="142"/>
  </si>
  <si>
    <t>※複数団体の利用調整により、計画どおりにならない場合があります。</t>
    <phoneticPr fontId="142"/>
  </si>
  <si>
    <t>利用日</t>
  </si>
  <si>
    <t>月</t>
  </si>
  <si>
    <t>日（</t>
    <phoneticPr fontId="142"/>
  </si>
  <si>
    <t>火</t>
    <rPh sb="0" eb="1">
      <t>カ</t>
    </rPh>
    <phoneticPr fontId="142"/>
  </si>
  <si>
    <t>）</t>
  </si>
  <si>
    <t>水</t>
    <rPh sb="0" eb="1">
      <t>スイ</t>
    </rPh>
    <phoneticPr fontId="142"/>
  </si>
  <si>
    <r>
      <rPr>
        <sz val="15"/>
        <color rgb="FF000000"/>
        <rFont val="ＭＳ Ｐゴシック"/>
        <family val="3"/>
        <charset val="128"/>
        <scheme val="major"/>
      </rPr>
      <t>晴天時プログラム</t>
    </r>
  </si>
  <si>
    <r>
      <rPr>
        <sz val="15"/>
        <color rgb="FF000000"/>
        <rFont val="ＭＳ Ｐゴシック"/>
        <family val="3"/>
        <charset val="128"/>
        <scheme val="major"/>
      </rPr>
      <t>荒天時プログラム</t>
    </r>
  </si>
  <si>
    <r>
      <rPr>
        <b/>
        <sz val="14"/>
        <color rgb="FF000000"/>
        <rFont val="ＭＳ Ｐゴシック"/>
        <family val="3"/>
        <charset val="128"/>
        <scheme val="major"/>
      </rPr>
      <t>消灯</t>
    </r>
  </si>
  <si>
    <t>消灯・就寝</t>
    <rPh sb="0" eb="2">
      <t>ショウトウ</t>
    </rPh>
    <rPh sb="3" eb="5">
      <t>シュウシン</t>
    </rPh>
    <phoneticPr fontId="142"/>
  </si>
  <si>
    <t>起床</t>
    <rPh sb="0" eb="2">
      <t>キショウ</t>
    </rPh>
    <phoneticPr fontId="142"/>
  </si>
  <si>
    <r>
      <rPr>
        <b/>
        <sz val="12"/>
        <color rgb="FF000000"/>
        <rFont val="ＭＳ Ｐゴシック"/>
        <family val="3"/>
        <charset val="128"/>
        <scheme val="major"/>
      </rPr>
      <t>食堂利用可能時間</t>
    </r>
  </si>
  <si>
    <t>通常食（食堂）</t>
    <rPh sb="0" eb="3">
      <t>ツウジョウショク</t>
    </rPh>
    <rPh sb="4" eb="6">
      <t>ショクドウ</t>
    </rPh>
    <phoneticPr fontId="142"/>
  </si>
  <si>
    <t>荷物整理</t>
    <rPh sb="0" eb="4">
      <t>ニモツセイリ</t>
    </rPh>
    <phoneticPr fontId="142"/>
  </si>
  <si>
    <r>
      <rPr>
        <b/>
        <sz val="12"/>
        <color rgb="FF000000"/>
        <rFont val="ＭＳ Ｐゴシック"/>
        <family val="3"/>
        <charset val="128"/>
        <scheme val="major"/>
      </rPr>
      <t>入浴可能時間</t>
    </r>
  </si>
  <si>
    <t>入浴</t>
    <rPh sb="0" eb="2">
      <t>ニュウヨク</t>
    </rPh>
    <phoneticPr fontId="142"/>
  </si>
  <si>
    <t>就寝準備・就寝</t>
    <rPh sb="0" eb="2">
      <t>シュウシン</t>
    </rPh>
    <rPh sb="2" eb="4">
      <t>ジュンビ</t>
    </rPh>
    <rPh sb="5" eb="7">
      <t>シュウシン</t>
    </rPh>
    <phoneticPr fontId="142"/>
  </si>
  <si>
    <t>ご飯大盛</t>
    <rPh sb="1" eb="2">
      <t>ハン</t>
    </rPh>
    <rPh sb="2" eb="4">
      <t>オオモリ</t>
    </rPh>
    <phoneticPr fontId="2"/>
  </si>
  <si>
    <t>（紙パック）麦茶</t>
    <rPh sb="1" eb="2">
      <t>カミ</t>
    </rPh>
    <rPh sb="6" eb="8">
      <t>ムギチャ</t>
    </rPh>
    <phoneticPr fontId="2"/>
  </si>
  <si>
    <t>（紙パック）りんご</t>
    <rPh sb="1" eb="2">
      <t>カミ</t>
    </rPh>
    <phoneticPr fontId="2"/>
  </si>
  <si>
    <t>（紙パック）オレンジ</t>
    <rPh sb="1" eb="2">
      <t>カミ</t>
    </rPh>
    <phoneticPr fontId="2"/>
  </si>
  <si>
    <t>（PET）麦茶</t>
    <rPh sb="5" eb="7">
      <t>ムギチャ</t>
    </rPh>
    <phoneticPr fontId="2"/>
  </si>
  <si>
    <t>（PET）スポドリ</t>
    <phoneticPr fontId="2"/>
  </si>
  <si>
    <t>（PET）水</t>
    <rPh sb="5" eb="6">
      <t>ミズ</t>
    </rPh>
    <phoneticPr fontId="2"/>
  </si>
  <si>
    <t>通常食ボリュームアップ
（うす味チヂミ）</t>
    <rPh sb="0" eb="3">
      <t>ツウジョウショク</t>
    </rPh>
    <rPh sb="15" eb="16">
      <t>アジ</t>
    </rPh>
    <phoneticPr fontId="2"/>
  </si>
  <si>
    <t>通常食ボリュームアップ
（うす味たれ付肉団子）</t>
    <rPh sb="0" eb="3">
      <t>ツウジョウショク</t>
    </rPh>
    <rPh sb="15" eb="16">
      <t>アジ</t>
    </rPh>
    <rPh sb="18" eb="19">
      <t>ツキ</t>
    </rPh>
    <rPh sb="19" eb="22">
      <t>ニクダンゴ</t>
    </rPh>
    <phoneticPr fontId="2"/>
  </si>
  <si>
    <t>通常食ボリュームアップ
（チキンナゲット）</t>
    <rPh sb="0" eb="3">
      <t>ツウジョウショク</t>
    </rPh>
    <phoneticPr fontId="2"/>
  </si>
  <si>
    <t>通常食ボリュームアップ
（豆腐包み焼き）</t>
    <rPh sb="0" eb="3">
      <t>ツウジョウショク</t>
    </rPh>
    <rPh sb="13" eb="16">
      <t>トウフツツ</t>
    </rPh>
    <rPh sb="17" eb="18">
      <t>ヤ</t>
    </rPh>
    <phoneticPr fontId="2"/>
  </si>
  <si>
    <t>マシュマロ（1人5個程度）</t>
    <rPh sb="7" eb="8">
      <t>ニン</t>
    </rPh>
    <rPh sb="9" eb="10">
      <t>コ</t>
    </rPh>
    <rPh sb="10" eb="12">
      <t>テイド</t>
    </rPh>
    <phoneticPr fontId="2"/>
  </si>
  <si>
    <t>ふくろ炊飯+レトルトカレー（米0.6合、レトルトカレー、袋、スプーン）</t>
    <rPh sb="3" eb="5">
      <t>スイハン</t>
    </rPh>
    <rPh sb="14" eb="15">
      <t>コメ</t>
    </rPh>
    <rPh sb="18" eb="19">
      <t>ゴウ</t>
    </rPh>
    <rPh sb="28" eb="29">
      <t>フクロ</t>
    </rPh>
    <phoneticPr fontId="2"/>
  </si>
  <si>
    <t>炊飯+レトルトカレー（米0.6合、レトルトカレー）</t>
    <rPh sb="0" eb="2">
      <t>スイハン</t>
    </rPh>
    <rPh sb="11" eb="12">
      <t>コメ</t>
    </rPh>
    <rPh sb="15" eb="16">
      <t>ゴウ</t>
    </rPh>
    <phoneticPr fontId="2"/>
  </si>
  <si>
    <t>肉野菜炒め（材料、米0.6合）</t>
    <rPh sb="0" eb="4">
      <t>ニクヤサイイタ</t>
    </rPh>
    <rPh sb="6" eb="8">
      <t>ザイリョウ</t>
    </rPh>
    <rPh sb="9" eb="10">
      <t>コメ</t>
    </rPh>
    <rPh sb="13" eb="14">
      <t>ゴウ</t>
    </rPh>
    <phoneticPr fontId="2"/>
  </si>
  <si>
    <t>肉野菜炒め（材料、米0.6合おまかせ炊飯）</t>
    <rPh sb="0" eb="4">
      <t>ニクヤサイイタ</t>
    </rPh>
    <rPh sb="6" eb="8">
      <t>ザイリョウ</t>
    </rPh>
    <rPh sb="9" eb="10">
      <t>コメ</t>
    </rPh>
    <rPh sb="13" eb="14">
      <t>ゴウ</t>
    </rPh>
    <rPh sb="18" eb="20">
      <t>スイハン</t>
    </rPh>
    <phoneticPr fontId="2"/>
  </si>
  <si>
    <t>豚汁（材料、米0.6合）</t>
    <rPh sb="0" eb="2">
      <t>ブタジル</t>
    </rPh>
    <rPh sb="3" eb="5">
      <t>ザイリョウ</t>
    </rPh>
    <rPh sb="6" eb="7">
      <t>コメ</t>
    </rPh>
    <rPh sb="10" eb="11">
      <t>ゴウ</t>
    </rPh>
    <phoneticPr fontId="2"/>
  </si>
  <si>
    <t>豚汁（材料、米0.6合おまかせ炊飯）</t>
    <rPh sb="0" eb="2">
      <t>ブタジル</t>
    </rPh>
    <rPh sb="3" eb="5">
      <t>ザイリョウ</t>
    </rPh>
    <rPh sb="6" eb="7">
      <t>コメ</t>
    </rPh>
    <rPh sb="10" eb="11">
      <t>ゴウ</t>
    </rPh>
    <rPh sb="15" eb="17">
      <t>スイハン</t>
    </rPh>
    <phoneticPr fontId="2"/>
  </si>
  <si>
    <t>豚汁（材料、米なし）</t>
    <rPh sb="0" eb="2">
      <t>ブタジル</t>
    </rPh>
    <rPh sb="3" eb="5">
      <t>ザイリョウ</t>
    </rPh>
    <rPh sb="6" eb="7">
      <t>コメ</t>
    </rPh>
    <phoneticPr fontId="2"/>
  </si>
  <si>
    <t>カレーライス（材料、米0.6合）</t>
    <rPh sb="7" eb="9">
      <t>ザイリョウ</t>
    </rPh>
    <rPh sb="10" eb="11">
      <t>コメ</t>
    </rPh>
    <rPh sb="14" eb="15">
      <t>ゴウ</t>
    </rPh>
    <phoneticPr fontId="2"/>
  </si>
  <si>
    <t>カレーライス（材料、米0.6合おまかせ炊飯）</t>
    <rPh sb="7" eb="9">
      <t>ザイリョウ</t>
    </rPh>
    <rPh sb="10" eb="11">
      <t>コメ</t>
    </rPh>
    <rPh sb="14" eb="15">
      <t>ゴウ</t>
    </rPh>
    <rPh sb="19" eb="21">
      <t>スイハン</t>
    </rPh>
    <phoneticPr fontId="2"/>
  </si>
  <si>
    <t>塩おにぎり（おにぎり2個のみ）</t>
    <rPh sb="0" eb="1">
      <t>シオ</t>
    </rPh>
    <rPh sb="11" eb="12">
      <t>コ</t>
    </rPh>
    <phoneticPr fontId="2"/>
  </si>
  <si>
    <t>アレルギー弁当(8大対応)</t>
    <rPh sb="5" eb="7">
      <t>ベントウ</t>
    </rPh>
    <rPh sb="9" eb="10">
      <t>ダイ</t>
    </rPh>
    <rPh sb="10" eb="12">
      <t>タイオウ</t>
    </rPh>
    <phoneticPr fontId="2"/>
  </si>
  <si>
    <t>マシュマロ</t>
    <phoneticPr fontId="27"/>
  </si>
  <si>
    <t>炊飯</t>
    <rPh sb="0" eb="2">
      <t>スイハン</t>
    </rPh>
    <phoneticPr fontId="27"/>
  </si>
  <si>
    <t>肉野菜</t>
    <rPh sb="0" eb="3">
      <t>ニクヤサイ</t>
    </rPh>
    <phoneticPr fontId="27"/>
  </si>
  <si>
    <t>豚汁</t>
    <rPh sb="0" eb="2">
      <t>トンジル</t>
    </rPh>
    <phoneticPr fontId="27"/>
  </si>
  <si>
    <t>カレー</t>
    <phoneticPr fontId="27"/>
  </si>
  <si>
    <t>カレーライス（材料、米0.6合）</t>
    <phoneticPr fontId="2"/>
  </si>
  <si>
    <t>　豚汁（材料、米0.6合）</t>
    <rPh sb="1" eb="3">
      <t>ブタジル</t>
    </rPh>
    <rPh sb="4" eb="6">
      <t>ザイリョウ</t>
    </rPh>
    <rPh sb="7" eb="8">
      <t>コメ</t>
    </rPh>
    <rPh sb="11" eb="12">
      <t>ゴウ</t>
    </rPh>
    <phoneticPr fontId="2"/>
  </si>
  <si>
    <t>炊飯+レトルトカレー（米0.6合、レトルトカレー）</t>
    <phoneticPr fontId="2"/>
  </si>
  <si>
    <t>肉野菜炒め（材料、米0.6合）</t>
    <phoneticPr fontId="2"/>
  </si>
  <si>
    <t>　マシュマロ（1人5個程度）</t>
    <rPh sb="8" eb="9">
      <t>ニン</t>
    </rPh>
    <rPh sb="10" eb="11">
      <t>コ</t>
    </rPh>
    <rPh sb="11" eb="13">
      <t>テイド</t>
    </rPh>
    <phoneticPr fontId="2"/>
  </si>
  <si>
    <t>カレーライス（材料、米0.6合おまかせ炊飯）</t>
  </si>
  <si>
    <t>肉野菜炒め（材料、米0.6合食堂炊飯）</t>
    <rPh sb="0" eb="4">
      <t>ニクヤサイイタ</t>
    </rPh>
    <rPh sb="6" eb="8">
      <t>ザイリョウ</t>
    </rPh>
    <rPh sb="9" eb="10">
      <t>コメ</t>
    </rPh>
    <rPh sb="13" eb="14">
      <t>ゴウ</t>
    </rPh>
    <rPh sb="14" eb="16">
      <t>ショクドウ</t>
    </rPh>
    <rPh sb="16" eb="18">
      <t>スイハン</t>
    </rPh>
    <phoneticPr fontId="2"/>
  </si>
  <si>
    <t>豚汁（材料、米0.6合食堂炊飯）</t>
    <rPh sb="0" eb="2">
      <t>ブタジル</t>
    </rPh>
    <rPh sb="3" eb="5">
      <t>ザイリョウ</t>
    </rPh>
    <rPh sb="6" eb="7">
      <t>コメ</t>
    </rPh>
    <rPh sb="10" eb="11">
      <t>ゴウ</t>
    </rPh>
    <rPh sb="11" eb="13">
      <t>ショクドウ</t>
    </rPh>
    <rPh sb="13" eb="15">
      <t>スイハン</t>
    </rPh>
    <phoneticPr fontId="2"/>
  </si>
  <si>
    <r>
      <t>炊事体験料※薪４本</t>
    </r>
    <r>
      <rPr>
        <sz val="9"/>
        <rFont val="BIZ UDPゴシック"/>
        <family val="3"/>
        <charset val="128"/>
      </rPr>
      <t xml:space="preserve">
（おまかせ、マシュマロなど）</t>
    </r>
    <rPh sb="0" eb="2">
      <t>スイジ</t>
    </rPh>
    <rPh sb="2" eb="5">
      <t>タイケンリョウ</t>
    </rPh>
    <rPh sb="6" eb="7">
      <t>マキ</t>
    </rPh>
    <rPh sb="8" eb="9">
      <t>ホン</t>
    </rPh>
    <phoneticPr fontId="2"/>
  </si>
  <si>
    <r>
      <t>炊事体験料※薪７本</t>
    </r>
    <r>
      <rPr>
        <sz val="9"/>
        <rFont val="BIZ UDPゴシック"/>
        <family val="3"/>
        <charset val="128"/>
      </rPr>
      <t xml:space="preserve">
（ごはんとおかずどちらも調理）</t>
    </r>
    <rPh sb="0" eb="2">
      <t>スイジ</t>
    </rPh>
    <rPh sb="2" eb="4">
      <t>タイケン</t>
    </rPh>
    <rPh sb="4" eb="5">
      <t>リョウ</t>
    </rPh>
    <rPh sb="6" eb="7">
      <t>マキ</t>
    </rPh>
    <rPh sb="8" eb="9">
      <t>ホン</t>
    </rPh>
    <rPh sb="22" eb="24">
      <t>チョウリ</t>
    </rPh>
    <phoneticPr fontId="2"/>
  </si>
  <si>
    <t>ベースボールスクール山の家</t>
    <rPh sb="10" eb="11">
      <t>ヤマ</t>
    </rPh>
    <rPh sb="12" eb="13">
      <t>イエ</t>
    </rPh>
    <phoneticPr fontId="142"/>
  </si>
  <si>
    <t>●　事前報告のあった車両のみ入・退園することができます。
●　滝野の森口（通称：森口）通行可能時間は、緊急時を除き、原則7：00～19：00です。
●　入・退園及び荷物積込の際、マイクロバス以外の大型バス駐・停車場所は、南駐車場です。
●　乗用車の駐車台数が５台を超えた場合、南駐車場への駐車をお願いします。（6台目から駐車料金(1台500円)は各団体の負担となります）
●　送迎車は30分以内の入退園のみ無料です。</t>
    <rPh sb="120" eb="123">
      <t>ジョウヨウシャ</t>
    </rPh>
    <rPh sb="124" eb="128">
      <t>チュウシャダイスウ</t>
    </rPh>
    <rPh sb="130" eb="131">
      <t>ダイ</t>
    </rPh>
    <rPh sb="132" eb="133">
      <t>コ</t>
    </rPh>
    <rPh sb="135" eb="137">
      <t>バアイ</t>
    </rPh>
    <rPh sb="138" eb="142">
      <t>ミナミチュウシャジョウ</t>
    </rPh>
    <rPh sb="144" eb="146">
      <t>チュウシャ</t>
    </rPh>
    <rPh sb="148" eb="149">
      <t>ネガ</t>
    </rPh>
    <rPh sb="156" eb="158">
      <t>ダイメ</t>
    </rPh>
    <rPh sb="160" eb="164">
      <t>チュウシャリョウキン</t>
    </rPh>
    <rPh sb="166" eb="167">
      <t>ダイ</t>
    </rPh>
    <rPh sb="170" eb="171">
      <t>エン</t>
    </rPh>
    <rPh sb="173" eb="176">
      <t>カクダンタイ</t>
    </rPh>
    <rPh sb="188" eb="191">
      <t>ソウゲイシャ</t>
    </rPh>
    <rPh sb="194" eb="195">
      <t>フン</t>
    </rPh>
    <rPh sb="195" eb="197">
      <t>イナイ</t>
    </rPh>
    <phoneticPr fontId="142"/>
  </si>
  <si>
    <t>●　事前報告のあった車両のみ入・退園することができます。
●　滝野の森口（通称：森口）通行可能時間は、緊急時を除き、原則7：00～19：00です。
●　入・退園及び荷物積込の際、マイクロバス以外の大型バス駐・停車場所は、南駐車場です。
●　乗用車の駐車台数が５台を超えた場合、南駐車場への駐車をお願いします。
　　　　　　　　　　　　　　　　　　　　　　　　　　　　　　　　（6台目から駐車料金は各団体の負担となります）
●　送迎車は30分以内の入退園のみ無料です。</t>
    <rPh sb="120" eb="123">
      <t>ジョウヨウシャ</t>
    </rPh>
    <rPh sb="124" eb="128">
      <t>チュウシャダイスウ</t>
    </rPh>
    <rPh sb="130" eb="131">
      <t>ダイ</t>
    </rPh>
    <rPh sb="132" eb="133">
      <t>コ</t>
    </rPh>
    <rPh sb="135" eb="137">
      <t>バアイ</t>
    </rPh>
    <rPh sb="138" eb="142">
      <t>ミナミチュウシャジョウ</t>
    </rPh>
    <rPh sb="144" eb="146">
      <t>チュウシャ</t>
    </rPh>
    <rPh sb="148" eb="149">
      <t>ネガ</t>
    </rPh>
    <rPh sb="189" eb="191">
      <t>ダイメ</t>
    </rPh>
    <rPh sb="193" eb="197">
      <t>チュウシャリョウキン</t>
    </rPh>
    <rPh sb="198" eb="201">
      <t>カクダンタイ</t>
    </rPh>
    <rPh sb="213" eb="216">
      <t>ソウゲイシャ</t>
    </rPh>
    <rPh sb="219" eb="220">
      <t>フン</t>
    </rPh>
    <rPh sb="220" eb="222">
      <t>イナイ</t>
    </rPh>
    <phoneticPr fontId="142"/>
  </si>
  <si>
    <t>駐車
料金</t>
    <rPh sb="0" eb="2">
      <t>チュウシャ</t>
    </rPh>
    <rPh sb="3" eb="5">
      <t>リョウキン</t>
    </rPh>
    <phoneticPr fontId="142"/>
  </si>
  <si>
    <t>滝野</t>
    <rPh sb="0" eb="2">
      <t>タキノ</t>
    </rPh>
    <phoneticPr fontId="142"/>
  </si>
  <si>
    <t>マイクロ</t>
  </si>
  <si>
    <t>山家</t>
    <rPh sb="0" eb="2">
      <t>ヤマイエ</t>
    </rPh>
    <phoneticPr fontId="142"/>
  </si>
  <si>
    <t>札幌</t>
    <rPh sb="0" eb="2">
      <t>サッポロ</t>
    </rPh>
    <phoneticPr fontId="142"/>
  </si>
  <si>
    <t>南</t>
    <rPh sb="0" eb="1">
      <t>ミナミ</t>
    </rPh>
    <phoneticPr fontId="142"/>
  </si>
  <si>
    <t>道民</t>
    <rPh sb="0" eb="1">
      <t>ミチ</t>
    </rPh>
    <rPh sb="1" eb="2">
      <t>ミン</t>
    </rPh>
    <phoneticPr fontId="142"/>
  </si>
  <si>
    <t>北</t>
    <rPh sb="0" eb="1">
      <t>キタ</t>
    </rPh>
    <phoneticPr fontId="142"/>
  </si>
  <si>
    <t>（実費支払）</t>
    <rPh sb="1" eb="6">
      <t>ジッピ</t>
    </rPh>
    <phoneticPr fontId="142"/>
  </si>
  <si>
    <t>送迎</t>
  </si>
  <si>
    <t>バス運転手</t>
    <rPh sb="2" eb="5">
      <t>ウンテンシュ</t>
    </rPh>
    <phoneticPr fontId="142"/>
  </si>
  <si>
    <t>保護者</t>
    <rPh sb="0" eb="3">
      <t>ホゴシャ</t>
    </rPh>
    <phoneticPr fontId="142"/>
  </si>
  <si>
    <t>山の家駐車場</t>
    <phoneticPr fontId="142"/>
  </si>
  <si>
    <t>ブラウン</t>
    <phoneticPr fontId="142"/>
  </si>
  <si>
    <t>レッド</t>
    <phoneticPr fontId="142"/>
  </si>
  <si>
    <t>荷物準備</t>
    <rPh sb="0" eb="4">
      <t>ニモツジュンビ</t>
    </rPh>
    <phoneticPr fontId="142"/>
  </si>
  <si>
    <t>荷物準備</t>
    <rPh sb="0" eb="2">
      <t>ニモツ</t>
    </rPh>
    <rPh sb="2" eb="4">
      <t>ジュンビ</t>
    </rPh>
    <phoneticPr fontId="142"/>
  </si>
  <si>
    <t>ダニチェック</t>
    <phoneticPr fontId="142"/>
  </si>
  <si>
    <t>シーツ準備、休憩</t>
    <rPh sb="3" eb="5">
      <t>ジュンビ</t>
    </rPh>
    <rPh sb="6" eb="8">
      <t>キュウケイ</t>
    </rPh>
    <phoneticPr fontId="142"/>
  </si>
  <si>
    <t>休憩、振り返り</t>
    <rPh sb="0" eb="2">
      <t>キュウケイ</t>
    </rPh>
    <rPh sb="3" eb="4">
      <t>フ</t>
    </rPh>
    <rPh sb="5" eb="6">
      <t>カエ</t>
    </rPh>
    <phoneticPr fontId="142"/>
  </si>
  <si>
    <t>キャンプファイヤー（どんぐり広場）</t>
    <rPh sb="14" eb="16">
      <t>ヒロバ</t>
    </rPh>
    <phoneticPr fontId="142"/>
  </si>
  <si>
    <t>キャンプファイヤー（多目的ホール）</t>
    <rPh sb="10" eb="13">
      <t>タモクテキ</t>
    </rPh>
    <phoneticPr fontId="142"/>
  </si>
  <si>
    <t>ふりかえり（宿泊棟）</t>
    <rPh sb="6" eb="9">
      <t>シュクハクトウ</t>
    </rPh>
    <phoneticPr fontId="142"/>
  </si>
  <si>
    <t>山の家　小学校</t>
    <rPh sb="0" eb="1">
      <t>ヤマ</t>
    </rPh>
    <rPh sb="2" eb="3">
      <t>イエ</t>
    </rPh>
    <rPh sb="4" eb="7">
      <t>ショウガッコウ</t>
    </rPh>
    <phoneticPr fontId="142"/>
  </si>
  <si>
    <t>朝の集い（あおぞら広場）</t>
    <rPh sb="0" eb="1">
      <t>アサ</t>
    </rPh>
    <rPh sb="2" eb="3">
      <t>ツド</t>
    </rPh>
    <rPh sb="9" eb="11">
      <t>ヒロバ</t>
    </rPh>
    <phoneticPr fontId="142"/>
  </si>
  <si>
    <t>111人</t>
    <rPh sb="3" eb="4">
      <t>ニン</t>
    </rPh>
    <phoneticPr fontId="142"/>
  </si>
  <si>
    <t>清掃自主チェック</t>
    <rPh sb="0" eb="2">
      <t>セイソウ</t>
    </rPh>
    <rPh sb="2" eb="4">
      <t>ジシュ</t>
    </rPh>
    <phoneticPr fontId="142"/>
  </si>
  <si>
    <t>退館式（あおぞら広場）</t>
    <rPh sb="0" eb="3">
      <t>タイカンシキ</t>
    </rPh>
    <rPh sb="8" eb="10">
      <t>ヒロバ</t>
    </rPh>
    <phoneticPr fontId="142"/>
  </si>
  <si>
    <t>入館式（あおぞら広場）</t>
    <rPh sb="0" eb="2">
      <t>ニュウカン</t>
    </rPh>
    <rPh sb="2" eb="3">
      <t>シキ</t>
    </rPh>
    <phoneticPr fontId="142"/>
  </si>
  <si>
    <t>移動、準備</t>
    <rPh sb="0" eb="2">
      <t>イドウ</t>
    </rPh>
    <rPh sb="3" eb="5">
      <t>ジュンビ</t>
    </rPh>
    <phoneticPr fontId="142"/>
  </si>
  <si>
    <t>レクレーション（多目的ホール）</t>
    <rPh sb="8" eb="11">
      <t>タモクテキ</t>
    </rPh>
    <phoneticPr fontId="142"/>
  </si>
  <si>
    <t>入館式（多目的ホール）</t>
    <rPh sb="0" eb="2">
      <t>ニュウカン</t>
    </rPh>
    <rPh sb="2" eb="3">
      <t>シキ</t>
    </rPh>
    <rPh sb="4" eb="7">
      <t>タモクテキ</t>
    </rPh>
    <phoneticPr fontId="142"/>
  </si>
  <si>
    <t>雨天時は、多目的ホールのボールとモルックを借りたいです。</t>
    <rPh sb="0" eb="3">
      <t>ウテンジ</t>
    </rPh>
    <rPh sb="5" eb="8">
      <t>タモクテキ</t>
    </rPh>
    <rPh sb="21" eb="22">
      <t>カ</t>
    </rPh>
    <phoneticPr fontId="142"/>
  </si>
  <si>
    <t>移動</t>
    <rPh sb="0" eb="2">
      <t>イドウ</t>
    </rPh>
    <phoneticPr fontId="142"/>
  </si>
  <si>
    <t>宿泊税についての詳細やお問い合わ先は、リンクをご覧ください。
宿泊税について：　https://www.city.sapporo.jp/citytax/shukuhakuzei/index.html</t>
    <rPh sb="31" eb="34">
      <t>シュクハクゼイ</t>
    </rPh>
    <phoneticPr fontId="4"/>
  </si>
  <si>
    <t>ver.2026．4．15</t>
    <phoneticPr fontId="4"/>
  </si>
  <si>
    <r>
      <rPr>
        <u/>
        <sz val="14"/>
        <color theme="1"/>
        <rFont val="ＭＳ Ｐゴシック"/>
        <family val="3"/>
        <charset val="128"/>
        <scheme val="minor"/>
      </rPr>
      <t>課税免除と　</t>
    </r>
    <r>
      <rPr>
        <b/>
        <u/>
        <sz val="14"/>
        <color theme="1"/>
        <rFont val="ＭＳ Ｐゴシック"/>
        <family val="3"/>
        <charset val="128"/>
        <scheme val="minor"/>
      </rPr>
      <t>【修学旅行等であることの証明書】</t>
    </r>
    <r>
      <rPr>
        <u/>
        <sz val="14"/>
        <color theme="1"/>
        <rFont val="ＭＳ Ｐゴシック"/>
        <family val="3"/>
        <charset val="128"/>
        <scheme val="minor"/>
      </rPr>
      <t>　のダウンロードはこちらから</t>
    </r>
    <r>
      <rPr>
        <u/>
        <sz val="16"/>
        <color theme="1"/>
        <rFont val="ＭＳ Ｐゴシック"/>
        <family val="3"/>
        <charset val="128"/>
        <scheme val="minor"/>
      </rPr>
      <t>　</t>
    </r>
    <r>
      <rPr>
        <u/>
        <sz val="12"/>
        <color theme="1"/>
        <rFont val="ＭＳ Ｐゴシック"/>
        <family val="3"/>
        <charset val="128"/>
        <scheme val="minor"/>
      </rPr>
      <t>https://www.city.sapporo.jp/citytax/shukuhakuzei/kazeimenjyo.html</t>
    </r>
    <rPh sb="0" eb="2">
      <t>カゼイ</t>
    </rPh>
    <rPh sb="2" eb="4">
      <t>メンジョ</t>
    </rPh>
    <rPh sb="7" eb="11">
      <t>シュウガクリョコウ</t>
    </rPh>
    <rPh sb="11" eb="12">
      <t>トウ</t>
    </rPh>
    <rPh sb="18" eb="21">
      <t>ショウメイショ</t>
    </rPh>
    <phoneticPr fontId="4"/>
  </si>
  <si>
    <t>【修学旅行等であることの証明書】</t>
    <rPh sb="1" eb="6">
      <t>シュウガクリョコウトウ</t>
    </rPh>
    <rPh sb="12" eb="15">
      <t>ショウメイショ</t>
    </rPh>
    <phoneticPr fontId="4"/>
  </si>
  <si>
    <t>書類をダウンロードし、作成し、当日持参。
人数の欄は当日の実人数のため、空欄で当日会計時にご記入ください。下記のリンクから、書類をダウンロードしてください。</t>
    <rPh sb="0" eb="2">
      <t>ショルイ</t>
    </rPh>
    <rPh sb="11" eb="13">
      <t>サクセイ</t>
    </rPh>
    <rPh sb="15" eb="17">
      <t>トウジツ</t>
    </rPh>
    <rPh sb="17" eb="19">
      <t>ジサン</t>
    </rPh>
    <rPh sb="21" eb="23">
      <t>ニンズウ</t>
    </rPh>
    <rPh sb="24" eb="25">
      <t>ラン</t>
    </rPh>
    <rPh sb="26" eb="28">
      <t>トウジツ</t>
    </rPh>
    <rPh sb="29" eb="32">
      <t>ジツニンズウ</t>
    </rPh>
    <rPh sb="36" eb="38">
      <t>クウラン</t>
    </rPh>
    <rPh sb="39" eb="41">
      <t>トウジツ</t>
    </rPh>
    <rPh sb="41" eb="44">
      <t>カイケイジ</t>
    </rPh>
    <rPh sb="46" eb="48">
      <t>キニュウ</t>
    </rPh>
    <rPh sb="53" eb="55">
      <t>カキ</t>
    </rPh>
    <rPh sb="62" eb="64">
      <t>ショルイ</t>
    </rPh>
    <phoneticPr fontId="4"/>
  </si>
  <si>
    <t>宿泊税</t>
    <rPh sb="0" eb="3">
      <t>シュクハクゼイ</t>
    </rPh>
    <phoneticPr fontId="2"/>
  </si>
  <si>
    <t>1日目</t>
    <rPh sb="1" eb="3">
      <t>ニチメ</t>
    </rPh>
    <phoneticPr fontId="142"/>
  </si>
  <si>
    <t>2日目</t>
    <rPh sb="0" eb="3">
      <t>フツカメ</t>
    </rPh>
    <phoneticPr fontId="142"/>
  </si>
  <si>
    <t>3日目</t>
    <rPh sb="1" eb="3">
      <t>ニチメ</t>
    </rPh>
    <phoneticPr fontId="142"/>
  </si>
  <si>
    <t>4日目</t>
    <rPh sb="1" eb="3">
      <t>ニチメ</t>
    </rPh>
    <phoneticPr fontId="142"/>
  </si>
  <si>
    <t>メニュー変更
追加、締切日</t>
    <rPh sb="4" eb="6">
      <t>ヘンコウ</t>
    </rPh>
    <rPh sb="7" eb="9">
      <t>ツイカ</t>
    </rPh>
    <rPh sb="10" eb="12">
      <t>シメキリ</t>
    </rPh>
    <rPh sb="12" eb="13">
      <t>ビ</t>
    </rPh>
    <phoneticPr fontId="27"/>
  </si>
  <si>
    <t>日付</t>
    <rPh sb="0" eb="2">
      <t>ヒヅケ</t>
    </rPh>
    <phoneticPr fontId="7"/>
  </si>
  <si>
    <t>入館日</t>
    <rPh sb="0" eb="3">
      <t>ニュウカンビ</t>
    </rPh>
    <phoneticPr fontId="7"/>
  </si>
  <si>
    <t>退館日</t>
    <rPh sb="0" eb="3">
      <t>タイカンビ</t>
    </rPh>
    <phoneticPr fontId="7"/>
  </si>
  <si>
    <t>1日目</t>
    <rPh sb="1" eb="2">
      <t>ニチ</t>
    </rPh>
    <rPh sb="2" eb="3">
      <t>メ</t>
    </rPh>
    <phoneticPr fontId="142"/>
  </si>
  <si>
    <t>2日目</t>
    <rPh sb="1" eb="3">
      <t>ニチメ</t>
    </rPh>
    <phoneticPr fontId="142"/>
  </si>
  <si>
    <t>西暦</t>
    <rPh sb="0" eb="2">
      <t>セイレキ</t>
    </rPh>
    <phoneticPr fontId="7"/>
  </si>
  <si>
    <t>和暦</t>
    <rPh sb="0" eb="2">
      <t>ワレキ</t>
    </rPh>
    <phoneticPr fontId="7"/>
  </si>
  <si>
    <t>令和</t>
    <rPh sb="0" eb="2">
      <t>レイワ</t>
    </rPh>
    <phoneticPr fontId="2"/>
  </si>
  <si>
    <t>令和</t>
    <rPh sb="0" eb="2">
      <t>レイワ</t>
    </rPh>
    <phoneticPr fontId="28"/>
  </si>
  <si>
    <t>年</t>
    <rPh sb="0" eb="1">
      <t>ネン</t>
    </rPh>
    <phoneticPr fontId="28"/>
  </si>
  <si>
    <t>炊飯+レトルトカレー（米0.6合、レトルトカレー）</t>
    <rPh sb="0" eb="2">
      <t>スイハン</t>
    </rPh>
    <rPh sb="11" eb="12">
      <t>コメ</t>
    </rPh>
    <rPh sb="15" eb="16">
      <t>ゴウ</t>
    </rPh>
    <phoneticPr fontId="27"/>
  </si>
  <si>
    <t>アレルギー弁当</t>
    <rPh sb="5" eb="7">
      <t>ベントウ</t>
    </rPh>
    <phoneticPr fontId="27"/>
  </si>
  <si>
    <t>公園入園料領収書</t>
    <rPh sb="0" eb="5">
      <t>コウエンニュウエンリョウ</t>
    </rPh>
    <rPh sb="5" eb="8">
      <t>リョウシュウショ</t>
    </rPh>
    <phoneticPr fontId="20"/>
  </si>
  <si>
    <t>■　領収・請求書を分割する場合は、領収・請求書を振り分けて宛名（※30文字上限）を記入してください。
　　　　※官公庁の学校団体のみ後納が可能です。後納の手数料は団体負担となります。
　■　各領収・請求書に該当する数値を、下表以降の太枠内に記入してください。
　■　冬季（11/11～4/19）における入園料の記載は不要です。
　■　当日、午前8：45～9：00の間に、欠席の有無に関わらず、人数確定のお電話をお願いします。（011-591-0303）</t>
    <phoneticPr fontId="2"/>
  </si>
  <si>
    <t>札幌市立青少年山の家小学校（児童）</t>
    <rPh sb="0" eb="4">
      <t>サッポロシリツ</t>
    </rPh>
    <rPh sb="4" eb="8">
      <t>セイショウネンヤマ</t>
    </rPh>
    <rPh sb="9" eb="10">
      <t>イエ</t>
    </rPh>
    <rPh sb="10" eb="13">
      <t>ショウガッコウ</t>
    </rPh>
    <rPh sb="14" eb="16">
      <t>ジドウ</t>
    </rPh>
    <phoneticPr fontId="2"/>
  </si>
  <si>
    <t>札幌市立青少年山の家小学校（教員）</t>
    <rPh sb="0" eb="4">
      <t>サッポロシリツ</t>
    </rPh>
    <rPh sb="4" eb="8">
      <t>セイショウネンヤマ</t>
    </rPh>
    <rPh sb="9" eb="10">
      <t>イエ</t>
    </rPh>
    <rPh sb="10" eb="13">
      <t>ショウガッコウ</t>
    </rPh>
    <rPh sb="14" eb="16">
      <t>キョウイン</t>
    </rPh>
    <phoneticPr fontId="2"/>
  </si>
  <si>
    <t>公園入園料
領収書</t>
    <rPh sb="0" eb="2">
      <t>コウエン</t>
    </rPh>
    <rPh sb="2" eb="5">
      <t>ニュウエンリョウ</t>
    </rPh>
    <rPh sb="6" eb="9">
      <t>リョウシュウショ</t>
    </rPh>
    <phoneticPr fontId="20"/>
  </si>
  <si>
    <t>一般日帰/2day</t>
    <rPh sb="0" eb="2">
      <t>イッパン</t>
    </rPh>
    <rPh sb="2" eb="4">
      <t>ヒガエ</t>
    </rPh>
    <phoneticPr fontId="7"/>
  </si>
  <si>
    <t>フォト滝野</t>
    <rPh sb="3" eb="5">
      <t>タキノ</t>
    </rPh>
    <phoneticPr fontId="2"/>
  </si>
  <si>
    <t>麦茶（PET)</t>
    <rPh sb="0" eb="2">
      <t>ムギチャ</t>
    </rPh>
    <phoneticPr fontId="2"/>
  </si>
  <si>
    <t>スポドリ（PET)</t>
    <phoneticPr fontId="2"/>
  </si>
  <si>
    <t>お弁当</t>
    <rPh sb="1" eb="3">
      <t>ベントウ</t>
    </rPh>
    <phoneticPr fontId="2"/>
  </si>
  <si>
    <t>アレルギー弁当</t>
    <rPh sb="5" eb="7">
      <t>ベントウ</t>
    </rPh>
    <phoneticPr fontId="2"/>
  </si>
  <si>
    <t>午前10：00
    ～午前10:00</t>
    <rPh sb="0" eb="2">
      <t>ゴゼン</t>
    </rPh>
    <rPh sb="13" eb="15">
      <t>ゴゼン</t>
    </rPh>
    <phoneticPr fontId="2"/>
  </si>
  <si>
    <t xml:space="preserve"> 午前10:00
    ～午前10:00</t>
    <rPh sb="1" eb="3">
      <t>ゴゼン</t>
    </rPh>
    <rPh sb="14" eb="16">
      <t>ゴゼン</t>
    </rPh>
    <phoneticPr fontId="2"/>
  </si>
  <si>
    <t xml:space="preserve"> 午前10:00
      ～午後5:00</t>
    <rPh sb="1" eb="3">
      <t>ゴゼン</t>
    </rPh>
    <rPh sb="16" eb="18">
      <t>ゴゴ</t>
    </rPh>
    <phoneticPr fontId="2"/>
  </si>
  <si>
    <t>11</t>
    <phoneticPr fontId="2"/>
  </si>
  <si>
    <t>炊事時機</t>
    <rPh sb="0" eb="2">
      <t>スイジ</t>
    </rPh>
    <rPh sb="2" eb="4">
      <t>ジキ</t>
    </rPh>
    <phoneticPr fontId="27"/>
  </si>
  <si>
    <t>島　恵永</t>
    <rPh sb="0" eb="1">
      <t>シマ</t>
    </rPh>
    <rPh sb="2" eb="3">
      <t>メグミ</t>
    </rPh>
    <rPh sb="3" eb="4">
      <t>ナガ</t>
    </rPh>
    <phoneticPr fontId="2"/>
  </si>
  <si>
    <t>荒井　来真</t>
    <rPh sb="0" eb="2">
      <t>アライ</t>
    </rPh>
    <rPh sb="3" eb="4">
      <t>ライ</t>
    </rPh>
    <rPh sb="4" eb="5">
      <t>マ</t>
    </rPh>
    <phoneticPr fontId="2"/>
  </si>
  <si>
    <t>北木　恒</t>
    <rPh sb="0" eb="1">
      <t>キタ</t>
    </rPh>
    <rPh sb="1" eb="2">
      <t>キ</t>
    </rPh>
    <rPh sb="3" eb="4">
      <t>ツネ</t>
    </rPh>
    <phoneticPr fontId="2"/>
  </si>
  <si>
    <t>白根　葵</t>
    <rPh sb="0" eb="2">
      <t>シラネ</t>
    </rPh>
    <rPh sb="3" eb="4">
      <t>アオイ</t>
    </rPh>
    <phoneticPr fontId="2"/>
  </si>
  <si>
    <t>四十　加羅</t>
    <rPh sb="0" eb="1">
      <t>ヨン</t>
    </rPh>
    <rPh sb="1" eb="2">
      <t>ジュウ</t>
    </rPh>
    <rPh sb="3" eb="5">
      <t>カラ</t>
    </rPh>
    <phoneticPr fontId="2"/>
  </si>
  <si>
    <t>枝曽　詩歌</t>
    <rPh sb="0" eb="1">
      <t>エダ</t>
    </rPh>
    <rPh sb="1" eb="2">
      <t>ゾ</t>
    </rPh>
    <rPh sb="3" eb="4">
      <t>シ</t>
    </rPh>
    <rPh sb="4" eb="5">
      <t>ウタ</t>
    </rPh>
    <phoneticPr fontId="7"/>
  </si>
  <si>
    <t>深山　駈栖</t>
    <rPh sb="0" eb="2">
      <t>ミヤマ</t>
    </rPh>
    <rPh sb="3" eb="4">
      <t>カ</t>
    </rPh>
    <rPh sb="4" eb="5">
      <t>ス</t>
    </rPh>
    <phoneticPr fontId="2"/>
  </si>
  <si>
    <t>青田　偉匠</t>
    <rPh sb="0" eb="1">
      <t>アオ</t>
    </rPh>
    <rPh sb="1" eb="2">
      <t>タ</t>
    </rPh>
    <rPh sb="3" eb="4">
      <t>イ</t>
    </rPh>
    <rPh sb="4" eb="5">
      <t>タクミ</t>
    </rPh>
    <phoneticPr fontId="2"/>
  </si>
  <si>
    <t>滝野　華</t>
    <rPh sb="0" eb="2">
      <t>タキノ</t>
    </rPh>
    <rPh sb="3" eb="4">
      <t>ハナ</t>
    </rPh>
    <phoneticPr fontId="2"/>
  </si>
  <si>
    <t>滝野　花子（保護者）</t>
    <rPh sb="0" eb="2">
      <t>タキノ</t>
    </rPh>
    <rPh sb="3" eb="5">
      <t>ハナコ</t>
    </rPh>
    <rPh sb="6" eb="9">
      <t>ホゴシャ</t>
    </rPh>
    <phoneticPr fontId="2"/>
  </si>
  <si>
    <t>山野　衣江（カメラマン）</t>
    <rPh sb="0" eb="2">
      <t>ヤマノ</t>
    </rPh>
    <rPh sb="3" eb="4">
      <t>コロモ</t>
    </rPh>
    <rPh sb="4" eb="5">
      <t>エ</t>
    </rPh>
    <phoneticPr fontId="2"/>
  </si>
  <si>
    <t>炊事時機</t>
    <rPh sb="0" eb="2">
      <t>スイジ</t>
    </rPh>
    <rPh sb="2" eb="3">
      <t>ジ</t>
    </rPh>
    <rPh sb="3" eb="4">
      <t>キ</t>
    </rPh>
    <phoneticPr fontId="2"/>
  </si>
  <si>
    <t>滝野 花子（保護者）</t>
    <rPh sb="0" eb="2">
      <t>タキノ</t>
    </rPh>
    <rPh sb="3" eb="5">
      <t>ハナコ</t>
    </rPh>
    <rPh sb="6" eb="9">
      <t>ホゴシャ</t>
    </rPh>
    <phoneticPr fontId="2"/>
  </si>
  <si>
    <t xml:space="preserve">学校資金前渡職員青少年山の家小学校長 白樺 椴松 </t>
    <rPh sb="0" eb="6">
      <t>ガッコウシキンゼント</t>
    </rPh>
    <rPh sb="6" eb="8">
      <t>ショクイン</t>
    </rPh>
    <rPh sb="8" eb="11">
      <t>セイショウネン</t>
    </rPh>
    <rPh sb="11" eb="12">
      <t>ヤマ</t>
    </rPh>
    <rPh sb="13" eb="14">
      <t>イエ</t>
    </rPh>
    <rPh sb="14" eb="17">
      <t>ショウガッコウ</t>
    </rPh>
    <rPh sb="17" eb="18">
      <t>チョウ</t>
    </rPh>
    <rPh sb="19" eb="21">
      <t>シラカバ</t>
    </rPh>
    <rPh sb="22" eb="24">
      <t>トドマツ</t>
    </rPh>
    <phoneticPr fontId="2"/>
  </si>
  <si>
    <t>野滝　すずらん</t>
    <rPh sb="0" eb="1">
      <t>ノ</t>
    </rPh>
    <rPh sb="1" eb="2">
      <t>タキ</t>
    </rPh>
    <phoneticPr fontId="2"/>
  </si>
  <si>
    <t>滝野　功燕</t>
    <rPh sb="0" eb="2">
      <t>タキノ</t>
    </rPh>
    <rPh sb="3" eb="4">
      <t>コウ</t>
    </rPh>
    <rPh sb="4" eb="5">
      <t>エン</t>
    </rPh>
    <phoneticPr fontId="2"/>
  </si>
  <si>
    <t>南区　二湖</t>
    <rPh sb="0" eb="2">
      <t>ミナミク</t>
    </rPh>
    <rPh sb="3" eb="4">
      <t>フタ</t>
    </rPh>
    <rPh sb="4" eb="5">
      <t>コ</t>
    </rPh>
    <phoneticPr fontId="2"/>
  </si>
  <si>
    <t>川　世未</t>
    <rPh sb="0" eb="1">
      <t>カワ</t>
    </rPh>
    <rPh sb="2" eb="3">
      <t>セ</t>
    </rPh>
    <rPh sb="3" eb="4">
      <t>ミ</t>
    </rPh>
    <phoneticPr fontId="2"/>
  </si>
  <si>
    <t>辺見　佳奈</t>
    <rPh sb="0" eb="2">
      <t>ヘンミ</t>
    </rPh>
    <rPh sb="3" eb="5">
      <t>カナ</t>
    </rPh>
    <phoneticPr fontId="2"/>
  </si>
  <si>
    <t>多岐　埜</t>
    <rPh sb="0" eb="2">
      <t>タキ</t>
    </rPh>
    <rPh sb="3" eb="4">
      <t>ノ</t>
    </rPh>
    <phoneticPr fontId="2"/>
  </si>
  <si>
    <t>阿尾　翔念</t>
    <rPh sb="0" eb="2">
      <t>アオ</t>
    </rPh>
    <rPh sb="3" eb="4">
      <t>ショウ</t>
    </rPh>
    <rPh sb="4" eb="5">
      <t>ネン</t>
    </rPh>
    <phoneticPr fontId="2"/>
  </si>
  <si>
    <t>鹿目　夢志</t>
    <rPh sb="0" eb="2">
      <t>カメ</t>
    </rPh>
    <rPh sb="3" eb="4">
      <t>ム</t>
    </rPh>
    <rPh sb="4" eb="5">
      <t>シ</t>
    </rPh>
    <phoneticPr fontId="2"/>
  </si>
  <si>
    <t>送迎</t>
    <rPh sb="0" eb="2">
      <t>ソウゲイ</t>
    </rPh>
    <phoneticPr fontId="142"/>
  </si>
  <si>
    <r>
      <t>駐車料金</t>
    </r>
    <r>
      <rPr>
        <b/>
        <sz val="12"/>
        <color theme="1"/>
        <rFont val="BIZ UDPゴシック"/>
        <family val="3"/>
        <charset val="128"/>
      </rPr>
      <t>無料</t>
    </r>
    <r>
      <rPr>
        <sz val="12"/>
        <color theme="1"/>
        <rFont val="BIZ UDPゴシック"/>
        <family val="3"/>
        <charset val="128"/>
      </rPr>
      <t xml:space="preserve">
</t>
    </r>
    <r>
      <rPr>
        <sz val="10"/>
        <color theme="1"/>
        <rFont val="BIZ UDPゴシック"/>
        <family val="3"/>
        <charset val="128"/>
      </rPr>
      <t>※日帰り・宿泊5台分まで</t>
    </r>
    <rPh sb="0" eb="4">
      <t>チュウシャリョウキン</t>
    </rPh>
    <rPh sb="4" eb="6">
      <t>ムリョウ</t>
    </rPh>
    <rPh sb="8" eb="10">
      <t>ヒガエ</t>
    </rPh>
    <rPh sb="12" eb="14">
      <t>シュクハク</t>
    </rPh>
    <rPh sb="15" eb="16">
      <t>ダイ</t>
    </rPh>
    <rPh sb="16" eb="17">
      <t>ブン</t>
    </rPh>
    <phoneticPr fontId="142"/>
  </si>
  <si>
    <r>
      <t>送迎（無料）、</t>
    </r>
    <r>
      <rPr>
        <b/>
        <sz val="11"/>
        <color theme="1"/>
        <rFont val="BIZ UDPゴシック"/>
        <family val="3"/>
        <charset val="128"/>
      </rPr>
      <t xml:space="preserve">
日帰り宿泊6台目以降有料</t>
    </r>
    <rPh sb="0" eb="2">
      <t>ソウゲイ</t>
    </rPh>
    <rPh sb="3" eb="5">
      <t>ムリョウ</t>
    </rPh>
    <rPh sb="8" eb="10">
      <t>ヒガエ</t>
    </rPh>
    <rPh sb="11" eb="13">
      <t>シュクハク</t>
    </rPh>
    <rPh sb="14" eb="16">
      <t>ダイメ</t>
    </rPh>
    <rPh sb="16" eb="18">
      <t>イコウ</t>
    </rPh>
    <rPh sb="18" eb="20">
      <t>ユウリョウ</t>
    </rPh>
    <phoneticPr fontId="142"/>
  </si>
  <si>
    <t>別途：宿泊税　ひとり一泊/300円　かかります。課税免除を申請される方は、証明書を作成印刷し、当日施設へ提出してください。　エクセルのシート【　※必ずはじめにお読みください　】をご覧ください。</t>
    <rPh sb="3" eb="6">
      <t>シュクハクゼイ</t>
    </rPh>
    <rPh sb="43" eb="45">
      <t>インサツ</t>
    </rPh>
    <rPh sb="47" eb="49">
      <t>トウジツ</t>
    </rPh>
    <phoneticPr fontId="2"/>
  </si>
  <si>
    <t>【野外炊事】
ふくろ炊飯（レトルトカレー）
●班</t>
    <rPh sb="1" eb="5">
      <t>ヤガイスイジ</t>
    </rPh>
    <rPh sb="10" eb="12">
      <t>スイハン</t>
    </rPh>
    <rPh sb="23" eb="24">
      <t>ハン</t>
    </rPh>
    <phoneticPr fontId="142"/>
  </si>
  <si>
    <t>食事</t>
    <rPh sb="0" eb="2">
      <t>ショクジ</t>
    </rPh>
    <phoneticPr fontId="142"/>
  </si>
  <si>
    <t>片付け、点検、鍋チェック</t>
    <rPh sb="0" eb="2">
      <t>カタヅ</t>
    </rPh>
    <rPh sb="4" eb="6">
      <t>テンケン</t>
    </rPh>
    <rPh sb="7" eb="8">
      <t>ナベ</t>
    </rPh>
    <phoneticPr fontId="142"/>
  </si>
  <si>
    <t>【野外炊事】
カレー（おまかせ炊飯）
●班</t>
    <rPh sb="1" eb="5">
      <t>ヤガイスイジ</t>
    </rPh>
    <rPh sb="15" eb="17">
      <t>スイハン</t>
    </rPh>
    <rPh sb="20" eb="21">
      <t>ハン</t>
    </rPh>
    <phoneticPr fontId="142"/>
  </si>
  <si>
    <t>【野外炊事】
肉野菜炒め+炊飯
豚汁+炊飯
●班</t>
    <rPh sb="1" eb="5">
      <t>ヤガイスイジ</t>
    </rPh>
    <rPh sb="7" eb="10">
      <t>ニクヤサイ</t>
    </rPh>
    <rPh sb="10" eb="11">
      <t>イタ</t>
    </rPh>
    <rPh sb="13" eb="15">
      <t>スイハン</t>
    </rPh>
    <rPh sb="16" eb="18">
      <t>トンジル</t>
    </rPh>
    <rPh sb="19" eb="21">
      <t>スイハン</t>
    </rPh>
    <rPh sb="23" eb="24">
      <t>ハン</t>
    </rPh>
    <phoneticPr fontId="142"/>
  </si>
  <si>
    <t>【野外炊事】
肉野菜炒め（おまかせ炊飯）
豚汁（おまかせ炊飯）
●班</t>
    <rPh sb="1" eb="5">
      <t>ヤガイスイジ</t>
    </rPh>
    <rPh sb="7" eb="11">
      <t>ニクヤサイイタ</t>
    </rPh>
    <rPh sb="17" eb="19">
      <t>スイハン</t>
    </rPh>
    <rPh sb="21" eb="23">
      <t>トンジル</t>
    </rPh>
    <rPh sb="28" eb="30">
      <t>スイハン</t>
    </rPh>
    <rPh sb="33" eb="34">
      <t>ハン</t>
    </rPh>
    <phoneticPr fontId="142"/>
  </si>
  <si>
    <t>【野外炊事】
炊飯（レトルトカレー）
豚汁（米なし）
●班</t>
    <rPh sb="1" eb="5">
      <t>ヤガイスイジ</t>
    </rPh>
    <rPh sb="7" eb="9">
      <t>スイハン</t>
    </rPh>
    <rPh sb="19" eb="21">
      <t>トンジル</t>
    </rPh>
    <rPh sb="22" eb="23">
      <t>コメ</t>
    </rPh>
    <rPh sb="28" eb="29">
      <t>ハン</t>
    </rPh>
    <phoneticPr fontId="142"/>
  </si>
  <si>
    <t>【野外炊事】
カレー+炊飯
●班</t>
    <rPh sb="1" eb="5">
      <t>ヤガイスイジ</t>
    </rPh>
    <rPh sb="11" eb="13">
      <t>スイハン</t>
    </rPh>
    <rPh sb="15" eb="16">
      <t>ハン</t>
    </rPh>
    <phoneticPr fontId="142"/>
  </si>
  <si>
    <t>片付け、点検</t>
    <rPh sb="0" eb="2">
      <t>カタヅ</t>
    </rPh>
    <rPh sb="4" eb="6">
      <t>テンケン</t>
    </rPh>
    <phoneticPr fontId="142"/>
  </si>
  <si>
    <t>【野外炊事】
マシュマロ焼き
●班</t>
    <rPh sb="12" eb="13">
      <t>ヤ</t>
    </rPh>
    <rPh sb="16" eb="17">
      <t>ハン</t>
    </rPh>
    <phoneticPr fontId="142"/>
  </si>
  <si>
    <t>野外炊事（昼　食）</t>
    <rPh sb="0" eb="4">
      <t>ヤガイスイジ</t>
    </rPh>
    <rPh sb="5" eb="6">
      <t>ヒル</t>
    </rPh>
    <rPh sb="7" eb="8">
      <t>ショク</t>
    </rPh>
    <phoneticPr fontId="27"/>
  </si>
  <si>
    <t>準備</t>
    <rPh sb="0" eb="2">
      <t>ジュンビ</t>
    </rPh>
    <phoneticPr fontId="142"/>
  </si>
  <si>
    <t>ハイキング
（滝野の森）
交流・教室・森見の塔</t>
    <rPh sb="7" eb="9">
      <t>タキノ</t>
    </rPh>
    <rPh sb="10" eb="11">
      <t>モリ</t>
    </rPh>
    <rPh sb="13" eb="15">
      <t>コウリュウ</t>
    </rPh>
    <rPh sb="16" eb="18">
      <t>キョウシツ</t>
    </rPh>
    <rPh sb="19" eb="21">
      <t>モリミ</t>
    </rPh>
    <rPh sb="22" eb="23">
      <t>トウ</t>
    </rPh>
    <phoneticPr fontId="142"/>
  </si>
  <si>
    <t xml:space="preserve">ハイキング
（くまげら）
</t>
    <phoneticPr fontId="142"/>
  </si>
  <si>
    <t xml:space="preserve">ハイキング
（こどもの森・教室）
</t>
    <rPh sb="11" eb="12">
      <t>モリ</t>
    </rPh>
    <rPh sb="13" eb="15">
      <t>キョウシツ</t>
    </rPh>
    <phoneticPr fontId="142"/>
  </si>
  <si>
    <t xml:space="preserve">ハイキング
（せせらぎ・情報）
</t>
    <rPh sb="12" eb="14">
      <t>ジョウホウ</t>
    </rPh>
    <phoneticPr fontId="142"/>
  </si>
  <si>
    <t>館内WR・OL
（館内）</t>
    <rPh sb="0" eb="2">
      <t>カンナイ</t>
    </rPh>
    <rPh sb="9" eb="11">
      <t>カンナイ</t>
    </rPh>
    <phoneticPr fontId="142"/>
  </si>
  <si>
    <t>クラフト
軟石・木マグ・マイ箸</t>
    <rPh sb="5" eb="7">
      <t>ナンセキ</t>
    </rPh>
    <rPh sb="8" eb="9">
      <t>キ</t>
    </rPh>
    <rPh sb="14" eb="15">
      <t>ハシ</t>
    </rPh>
    <phoneticPr fontId="142"/>
  </si>
  <si>
    <t>キャンプファイヤー</t>
    <phoneticPr fontId="142"/>
  </si>
  <si>
    <t>CF</t>
    <phoneticPr fontId="142"/>
  </si>
  <si>
    <t>歩くスキー（エゾリス）
昼食場所：山の家・東口休憩所・集いの森</t>
    <phoneticPr fontId="142"/>
  </si>
  <si>
    <t>スノーシュー
（周辺）</t>
    <phoneticPr fontId="142"/>
  </si>
  <si>
    <t>片付け</t>
    <phoneticPr fontId="142"/>
  </si>
  <si>
    <t>装着、準備</t>
    <phoneticPr fontId="142"/>
  </si>
  <si>
    <t>入館式</t>
    <rPh sb="0" eb="3">
      <t>ニュウカンシキ</t>
    </rPh>
    <phoneticPr fontId="142"/>
  </si>
  <si>
    <t>集合写真撮影</t>
    <rPh sb="0" eb="4">
      <t>シュウゴウシャシン</t>
    </rPh>
    <rPh sb="4" eb="6">
      <t>サツエイ</t>
    </rPh>
    <phoneticPr fontId="142"/>
  </si>
  <si>
    <t>退館式</t>
    <rPh sb="0" eb="3">
      <t>タイカンシキ</t>
    </rPh>
    <phoneticPr fontId="142"/>
  </si>
  <si>
    <t>朝の集い</t>
    <rPh sb="0" eb="1">
      <t>アサ</t>
    </rPh>
    <rPh sb="2" eb="3">
      <t>ツド</t>
    </rPh>
    <phoneticPr fontId="142"/>
  </si>
  <si>
    <t>就寝準備</t>
    <rPh sb="0" eb="4">
      <t>シュウシンジュンビ</t>
    </rPh>
    <phoneticPr fontId="142"/>
  </si>
  <si>
    <t>就寝</t>
    <rPh sb="0" eb="2">
      <t>シュウシン</t>
    </rPh>
    <phoneticPr fontId="142"/>
  </si>
  <si>
    <t>準備、移動</t>
    <rPh sb="0" eb="2">
      <t>ジュンビ</t>
    </rPh>
    <rPh sb="3" eb="5">
      <t>イドウ</t>
    </rPh>
    <phoneticPr fontId="142"/>
  </si>
  <si>
    <t>振り返り</t>
    <rPh sb="0" eb="1">
      <t>フ</t>
    </rPh>
    <rPh sb="2" eb="3">
      <t>カエ</t>
    </rPh>
    <phoneticPr fontId="142"/>
  </si>
  <si>
    <t>休憩</t>
    <rPh sb="0" eb="2">
      <t>キュウケイ</t>
    </rPh>
    <phoneticPr fontId="142"/>
  </si>
  <si>
    <t>集合写真撮影（あおぞら広場）</t>
    <rPh sb="0" eb="2">
      <t>シュウゴウ</t>
    </rPh>
    <rPh sb="2" eb="6">
      <t>シャシンサツエイ</t>
    </rPh>
    <rPh sb="11" eb="13">
      <t>ヒロバ</t>
    </rPh>
    <phoneticPr fontId="142"/>
  </si>
  <si>
    <t>80名規模　人数や事前学習の状況により、15～30分程度前後</t>
    <rPh sb="2" eb="3">
      <t>メイ</t>
    </rPh>
    <rPh sb="3" eb="5">
      <t>キボ</t>
    </rPh>
    <rPh sb="6" eb="8">
      <t>ニンズウ</t>
    </rPh>
    <rPh sb="9" eb="13">
      <t>ジゼンガクシュウ</t>
    </rPh>
    <rPh sb="14" eb="16">
      <t>ジョウキョウ</t>
    </rPh>
    <rPh sb="25" eb="28">
      <t>フンテイド</t>
    </rPh>
    <rPh sb="28" eb="30">
      <t>ゼンゴ</t>
    </rPh>
    <phoneticPr fontId="142"/>
  </si>
  <si>
    <t>公園入園料領収書</t>
    <phoneticPr fontId="2"/>
  </si>
  <si>
    <t>人　　数</t>
  </si>
  <si>
    <t>焚火体験</t>
    <rPh sb="0" eb="4">
      <t>タキビタイケン</t>
    </rPh>
    <phoneticPr fontId="142"/>
  </si>
  <si>
    <t>片付け</t>
    <rPh sb="0" eb="2">
      <t>カタヅ</t>
    </rPh>
    <phoneticPr fontId="142"/>
  </si>
  <si>
    <t>誠に恐縮ですが、事務手続きを円滑に進めるため、メールの件名およびファイル名には、以下の通り**「学校名」と「利用日」**をご記入いただけますでしょうか。　　例：R8_〇〇小学校_0414.xlsx</t>
    <phoneticPr fontId="4"/>
  </si>
  <si>
    <t>夕　食</t>
    <rPh sb="0" eb="1">
      <t>ユウ</t>
    </rPh>
    <rPh sb="2" eb="3">
      <t>ショク</t>
    </rPh>
    <phoneticPr fontId="27"/>
  </si>
  <si>
    <t>野外炊事（昼食）</t>
    <rPh sb="0" eb="4">
      <t>ヤガイスイジ</t>
    </rPh>
    <rPh sb="5" eb="7">
      <t>チュウショク</t>
    </rPh>
    <phoneticPr fontId="27"/>
  </si>
  <si>
    <t>野外炊事（夕食）</t>
    <rPh sb="0" eb="4">
      <t>ヤガイスイジ</t>
    </rPh>
    <rPh sb="5" eb="7">
      <t>ユウショク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</si>
</sst>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176" formatCode="#,##0_ "/>
    <numFmt numFmtId="177" formatCode="0_ "/>
    <numFmt numFmtId="178" formatCode="0;0;"/>
    <numFmt numFmtId="179" formatCode="#,##0_ ;[Red]\-#,##0\ "/>
    <numFmt numFmtId="180" formatCode="#,##0_);[Red]\(#,##0\)"/>
    <numFmt numFmtId="181" formatCode="0_);[Red]\(0\)"/>
    <numFmt numFmtId="182" formatCode="#;;"/>
    <numFmt numFmtId="183" formatCode="0_);\(0\)"/>
    <numFmt numFmtId="184" formatCode="&quot;¥&quot;#,##0_);[Red]\(&quot;¥&quot;#,##0\)"/>
    <numFmt numFmtId="185" formatCode="0;\-0;0"/>
    <numFmt numFmtId="186" formatCode="000000#"/>
    <numFmt numFmtId="187" formatCode="[&lt;=999]000;[&lt;=9999]000\-00;000\-0000"/>
    <numFmt numFmtId="188" formatCode="[&lt;=99999999]####\-####;\(00\)\ ####\-####"/>
    <numFmt numFmtId="189" formatCode="#;\0;0"/>
    <numFmt numFmtId="190" formatCode="#;\0;00"/>
    <numFmt numFmtId="191" formatCode="#"/>
    <numFmt numFmtId="192" formatCode="h:mm;@"/>
    <numFmt numFmtId="193" formatCode="h&quot;:&quot;mm"/>
    <numFmt numFmtId="194" formatCode="yyyy/mm/dd\ \(aaa\)"/>
    <numFmt numFmtId="195" formatCode="m&quot;月&quot;d&quot;日&quot;;@"/>
  </numFmts>
  <fonts count="26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20"/>
      <color indexed="8"/>
      <name val="ＭＳ Ｐゴシック"/>
      <family val="3"/>
      <charset val="128"/>
    </font>
    <font>
      <sz val="11"/>
      <color indexed="8"/>
      <name val="ＭＳ Ｐ明朝"/>
      <family val="1"/>
      <charset val="128"/>
    </font>
    <font>
      <sz val="9"/>
      <color indexed="8"/>
      <name val="ＭＳ Ｐ明朝"/>
      <family val="1"/>
      <charset val="128"/>
    </font>
    <font>
      <b/>
      <sz val="9"/>
      <color indexed="8"/>
      <name val="ＭＳ Ｐゴシック"/>
      <family val="3"/>
      <charset val="128"/>
    </font>
    <font>
      <sz val="14"/>
      <color indexed="8"/>
      <name val="ＭＳ Ｐゴシック"/>
      <family val="3"/>
      <charset val="128"/>
    </font>
    <font>
      <sz val="11"/>
      <name val="ＭＳ Ｐ明朝"/>
      <family val="1"/>
      <charset val="128"/>
    </font>
    <font>
      <b/>
      <sz val="11"/>
      <name val="ＭＳ Ｐゴシック"/>
      <family val="3"/>
      <charset val="128"/>
    </font>
    <font>
      <sz val="9"/>
      <color indexed="8"/>
      <name val="ＭＳ Ｐゴシック"/>
      <family val="3"/>
      <charset val="128"/>
    </font>
    <font>
      <sz val="8"/>
      <color indexed="10"/>
      <name val="ＭＳ Ｐゴシック"/>
      <family val="3"/>
      <charset val="128"/>
    </font>
    <font>
      <sz val="12"/>
      <name val="HG丸ｺﾞｼｯｸM-PRO"/>
      <family val="3"/>
      <charset val="128"/>
    </font>
    <font>
      <sz val="10"/>
      <name val="HG丸ｺﾞｼｯｸM-PRO"/>
      <family val="3"/>
      <charset val="128"/>
    </font>
    <font>
      <sz val="8"/>
      <color indexed="8"/>
      <name val="ＭＳ Ｐゴシック"/>
      <family val="3"/>
      <charset val="128"/>
    </font>
    <font>
      <sz val="6"/>
      <name val="Osaka"/>
      <family val="3"/>
      <charset val="128"/>
    </font>
    <font>
      <sz val="16"/>
      <name val="ＭＳ Ｐ明朝"/>
      <family val="1"/>
      <charset val="128"/>
    </font>
    <font>
      <sz val="14"/>
      <name val="HG丸ｺﾞｼｯｸM-PRO"/>
      <family val="3"/>
      <charset val="128"/>
    </font>
    <font>
      <sz val="18"/>
      <name val="ＭＳ Ｐ明朝"/>
      <family val="1"/>
      <charset val="128"/>
    </font>
    <font>
      <sz val="11"/>
      <name val="HG丸ｺﾞｼｯｸM-PRO"/>
      <family val="3"/>
      <charset val="128"/>
    </font>
    <font>
      <sz val="6"/>
      <name val="ＭＳ Ｐゴシック"/>
      <family val="3"/>
      <charset val="128"/>
    </font>
    <font>
      <sz val="12"/>
      <color indexed="8"/>
      <name val="ＭＳ Ｐゴシック"/>
      <family val="3"/>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2"/>
      <color theme="1"/>
      <name val="ＭＳ 明朝"/>
      <family val="1"/>
      <charset val="128"/>
    </font>
    <font>
      <b/>
      <sz val="10"/>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color theme="1"/>
      <name val="ＭＳ ゴシック"/>
      <family val="3"/>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ゴシック"/>
      <family val="3"/>
      <charset val="128"/>
    </font>
    <font>
      <sz val="16"/>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2"/>
      <color theme="1"/>
      <name val="ＭＳ 明朝"/>
      <family val="1"/>
      <charset val="128"/>
    </font>
    <font>
      <sz val="12"/>
      <color theme="0"/>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
      <sz val="20"/>
      <color theme="0"/>
      <name val="ＭＳ Ｐゴシック"/>
      <family val="3"/>
      <charset val="128"/>
      <scheme val="minor"/>
    </font>
    <font>
      <sz val="10"/>
      <color theme="0"/>
      <name val="ＭＳ Ｐゴシック"/>
      <family val="3"/>
      <charset val="128"/>
      <scheme val="minor"/>
    </font>
    <font>
      <sz val="16"/>
      <color theme="0"/>
      <name val="ＭＳ Ｐゴシック"/>
      <family val="3"/>
      <charset val="128"/>
      <scheme val="minor"/>
    </font>
    <font>
      <sz val="16"/>
      <color theme="0"/>
      <name val="ＭＳ Ｐ明朝"/>
      <family val="1"/>
      <charset val="128"/>
    </font>
    <font>
      <sz val="14"/>
      <color theme="0"/>
      <name val="ＭＳ Ｐゴシック"/>
      <family val="3"/>
      <charset val="128"/>
      <scheme val="minor"/>
    </font>
    <font>
      <b/>
      <sz val="14"/>
      <color theme="0"/>
      <name val="ＭＳ Ｐゴシック"/>
      <family val="3"/>
      <charset val="128"/>
      <scheme val="minor"/>
    </font>
    <font>
      <b/>
      <sz val="26"/>
      <color theme="0"/>
      <name val="ＭＳ Ｐゴシック"/>
      <family val="3"/>
      <charset val="128"/>
      <scheme val="minor"/>
    </font>
    <font>
      <sz val="18"/>
      <color theme="0"/>
      <name val="ＭＳ Ｐゴシック"/>
      <family val="3"/>
      <charset val="128"/>
      <scheme val="minor"/>
    </font>
    <font>
      <b/>
      <sz val="28"/>
      <color theme="0"/>
      <name val="ＭＳ Ｐ明朝"/>
      <family val="1"/>
      <charset val="128"/>
    </font>
    <font>
      <sz val="9"/>
      <color rgb="FF000000"/>
      <name val="MS UI Gothic"/>
      <family val="3"/>
      <charset val="128"/>
    </font>
    <font>
      <sz val="6"/>
      <name val="ＭＳ Ｐゴシック"/>
      <family val="2"/>
      <charset val="128"/>
      <scheme val="minor"/>
    </font>
    <font>
      <u/>
      <sz val="11"/>
      <color theme="10"/>
      <name val="ＭＳ Ｐゴシック"/>
      <family val="3"/>
      <charset val="128"/>
      <scheme val="minor"/>
    </font>
    <font>
      <sz val="10"/>
      <color theme="0" tint="-0.34998626667073579"/>
      <name val="ＭＳ Ｐゴシック"/>
      <family val="3"/>
      <charset val="128"/>
      <scheme val="minor"/>
    </font>
    <font>
      <b/>
      <u/>
      <sz val="11"/>
      <name val="HG丸ｺﾞｼｯｸM-PRO"/>
      <family val="3"/>
      <charset val="128"/>
    </font>
    <font>
      <b/>
      <sz val="12"/>
      <color theme="1"/>
      <name val="BIZ UDPゴシック"/>
      <family val="3"/>
      <charset val="128"/>
    </font>
    <font>
      <b/>
      <sz val="12"/>
      <color indexed="8"/>
      <name val="BIZ UDPゴシック"/>
      <family val="3"/>
      <charset val="128"/>
    </font>
    <font>
      <sz val="11"/>
      <color theme="1"/>
      <name val="BIZ UDPゴシック"/>
      <family val="3"/>
      <charset val="128"/>
    </font>
    <font>
      <b/>
      <u/>
      <sz val="10"/>
      <color indexed="8"/>
      <name val="BIZ UDPゴシック"/>
      <family val="3"/>
      <charset val="128"/>
    </font>
    <font>
      <sz val="14"/>
      <color indexed="8"/>
      <name val="BIZ UDPゴシック"/>
      <family val="3"/>
      <charset val="128"/>
    </font>
    <font>
      <sz val="9"/>
      <color indexed="8"/>
      <name val="BIZ UDPゴシック"/>
      <family val="3"/>
      <charset val="128"/>
    </font>
    <font>
      <sz val="20"/>
      <color indexed="8"/>
      <name val="BIZ UDPゴシック"/>
      <family val="3"/>
      <charset val="128"/>
    </font>
    <font>
      <b/>
      <sz val="9"/>
      <color indexed="8"/>
      <name val="BIZ UDPゴシック"/>
      <family val="3"/>
      <charset val="128"/>
    </font>
    <font>
      <b/>
      <sz val="11"/>
      <color theme="0"/>
      <name val="BIZ UDPゴシック"/>
      <family val="3"/>
      <charset val="128"/>
    </font>
    <font>
      <sz val="11"/>
      <color theme="0"/>
      <name val="BIZ UDPゴシック"/>
      <family val="3"/>
      <charset val="128"/>
    </font>
    <font>
      <sz val="11"/>
      <color indexed="8"/>
      <name val="BIZ UDPゴシック"/>
      <family val="3"/>
      <charset val="128"/>
    </font>
    <font>
      <sz val="20"/>
      <color theme="1"/>
      <name val="BIZ UDPゴシック"/>
      <family val="3"/>
      <charset val="128"/>
    </font>
    <font>
      <sz val="9"/>
      <color theme="1"/>
      <name val="BIZ UDPゴシック"/>
      <family val="3"/>
      <charset val="128"/>
    </font>
    <font>
      <sz val="10"/>
      <name val="BIZ UDPゴシック"/>
      <family val="3"/>
      <charset val="128"/>
    </font>
    <font>
      <sz val="8"/>
      <name val="BIZ UDPゴシック"/>
      <family val="3"/>
      <charset val="128"/>
    </font>
    <font>
      <sz val="20"/>
      <name val="BIZ UDPゴシック"/>
      <family val="3"/>
      <charset val="128"/>
    </font>
    <font>
      <sz val="14"/>
      <name val="BIZ UDPゴシック"/>
      <family val="3"/>
      <charset val="128"/>
    </font>
    <font>
      <sz val="14"/>
      <color theme="1"/>
      <name val="BIZ UDPゴシック"/>
      <family val="3"/>
      <charset val="128"/>
    </font>
    <font>
      <sz val="10"/>
      <color theme="0"/>
      <name val="BIZ UDPゴシック"/>
      <family val="3"/>
      <charset val="128"/>
    </font>
    <font>
      <sz val="22"/>
      <name val="BIZ UDPゴシック"/>
      <family val="3"/>
      <charset val="128"/>
    </font>
    <font>
      <sz val="12"/>
      <name val="BIZ UDPゴシック"/>
      <family val="3"/>
      <charset val="128"/>
    </font>
    <font>
      <sz val="12"/>
      <color theme="1"/>
      <name val="BIZ UDPゴシック"/>
      <family val="3"/>
      <charset val="128"/>
    </font>
    <font>
      <sz val="10"/>
      <color theme="1"/>
      <name val="BIZ UDPゴシック"/>
      <family val="3"/>
      <charset val="128"/>
    </font>
    <font>
      <u/>
      <sz val="11"/>
      <color theme="1"/>
      <name val="BIZ UDPゴシック"/>
      <family val="3"/>
      <charset val="128"/>
    </font>
    <font>
      <b/>
      <sz val="11"/>
      <color theme="1"/>
      <name val="BIZ UDPゴシック"/>
      <family val="3"/>
      <charset val="128"/>
    </font>
    <font>
      <b/>
      <sz val="14"/>
      <name val="BIZ UDPゴシック"/>
      <family val="3"/>
      <charset val="128"/>
    </font>
    <font>
      <i/>
      <sz val="11"/>
      <color theme="1"/>
      <name val="BIZ UDPゴシック"/>
      <family val="3"/>
      <charset val="128"/>
    </font>
    <font>
      <b/>
      <sz val="9"/>
      <color theme="1"/>
      <name val="BIZ UDPゴシック"/>
      <family val="3"/>
      <charset val="128"/>
    </font>
    <font>
      <sz val="11"/>
      <name val="BIZ UDPゴシック"/>
      <family val="3"/>
      <charset val="128"/>
    </font>
    <font>
      <b/>
      <sz val="11"/>
      <color indexed="8"/>
      <name val="BIZ UDPゴシック"/>
      <family val="3"/>
      <charset val="128"/>
    </font>
    <font>
      <b/>
      <sz val="14"/>
      <color theme="1"/>
      <name val="BIZ UDPゴシック"/>
      <family val="3"/>
      <charset val="128"/>
    </font>
    <font>
      <b/>
      <sz val="16"/>
      <color theme="1"/>
      <name val="BIZ UDPゴシック"/>
      <family val="3"/>
      <charset val="128"/>
    </font>
    <font>
      <b/>
      <sz val="18"/>
      <color theme="1"/>
      <name val="BIZ UDPゴシック"/>
      <family val="3"/>
      <charset val="128"/>
    </font>
    <font>
      <b/>
      <sz val="24"/>
      <color theme="1"/>
      <name val="BIZ UDPゴシック"/>
      <family val="3"/>
      <charset val="128"/>
    </font>
    <font>
      <b/>
      <sz val="26"/>
      <color theme="1"/>
      <name val="BIZ UDPゴシック"/>
      <family val="3"/>
      <charset val="128"/>
    </font>
    <font>
      <u/>
      <sz val="11"/>
      <color theme="0"/>
      <name val="BIZ UDPゴシック"/>
      <family val="3"/>
      <charset val="128"/>
    </font>
    <font>
      <b/>
      <sz val="11"/>
      <name val="BIZ UDPゴシック"/>
      <family val="3"/>
      <charset val="128"/>
    </font>
    <font>
      <b/>
      <sz val="9"/>
      <name val="BIZ UDPゴシック"/>
      <family val="3"/>
      <charset val="128"/>
    </font>
    <font>
      <b/>
      <u/>
      <sz val="12"/>
      <color indexed="8"/>
      <name val="BIZ UDPゴシック"/>
      <family val="3"/>
      <charset val="128"/>
    </font>
    <font>
      <sz val="12"/>
      <color indexed="8"/>
      <name val="BIZ UDPゴシック"/>
      <family val="3"/>
      <charset val="128"/>
    </font>
    <font>
      <sz val="8"/>
      <color indexed="8"/>
      <name val="BIZ UDPゴシック"/>
      <family val="3"/>
      <charset val="128"/>
    </font>
    <font>
      <sz val="10"/>
      <color indexed="8"/>
      <name val="BIZ UDPゴシック"/>
      <family val="3"/>
      <charset val="128"/>
    </font>
    <font>
      <sz val="20"/>
      <color theme="0"/>
      <name val="BIZ UDPゴシック"/>
      <family val="3"/>
      <charset val="128"/>
    </font>
    <font>
      <b/>
      <sz val="12"/>
      <color rgb="FF000000"/>
      <name val="BIZ UDPゴシック"/>
      <family val="3"/>
      <charset val="128"/>
    </font>
    <font>
      <b/>
      <sz val="20"/>
      <name val="BIZ UDPゴシック"/>
      <family val="3"/>
      <charset val="128"/>
    </font>
    <font>
      <b/>
      <sz val="26"/>
      <name val="BIZ UDPゴシック"/>
      <family val="3"/>
      <charset val="128"/>
    </font>
    <font>
      <sz val="16"/>
      <name val="BIZ UDPゴシック"/>
      <family val="3"/>
      <charset val="128"/>
    </font>
    <font>
      <b/>
      <u/>
      <sz val="16"/>
      <name val="BIZ UDPゴシック"/>
      <family val="3"/>
      <charset val="128"/>
    </font>
    <font>
      <sz val="18"/>
      <name val="BIZ UDPゴシック"/>
      <family val="3"/>
      <charset val="128"/>
    </font>
    <font>
      <sz val="16"/>
      <color theme="0"/>
      <name val="BIZ UDPゴシック"/>
      <family val="3"/>
      <charset val="128"/>
    </font>
    <font>
      <sz val="18"/>
      <color theme="1"/>
      <name val="BIZ UDPゴシック"/>
      <family val="3"/>
      <charset val="128"/>
    </font>
    <font>
      <b/>
      <sz val="16"/>
      <name val="BIZ UDPゴシック"/>
      <family val="3"/>
      <charset val="128"/>
    </font>
    <font>
      <b/>
      <sz val="18"/>
      <name val="BIZ UDPゴシック"/>
      <family val="3"/>
      <charset val="128"/>
    </font>
    <font>
      <sz val="16"/>
      <color theme="1"/>
      <name val="BIZ UDPゴシック"/>
      <family val="3"/>
      <charset val="128"/>
    </font>
    <font>
      <sz val="12"/>
      <color theme="0"/>
      <name val="BIZ UDPゴシック"/>
      <family val="3"/>
      <charset val="128"/>
    </font>
    <font>
      <sz val="26"/>
      <color indexed="8"/>
      <name val="BIZ UDPゴシック"/>
      <family val="3"/>
      <charset val="128"/>
    </font>
    <font>
      <sz val="16"/>
      <color indexed="8"/>
      <name val="BIZ UDPゴシック"/>
      <family val="3"/>
      <charset val="128"/>
    </font>
    <font>
      <sz val="26"/>
      <color theme="1"/>
      <name val="BIZ UDPゴシック"/>
      <family val="3"/>
      <charset val="128"/>
    </font>
    <font>
      <sz val="24"/>
      <color indexed="8"/>
      <name val="BIZ UDPゴシック"/>
      <family val="3"/>
      <charset val="128"/>
    </font>
    <font>
      <b/>
      <sz val="12"/>
      <name val="BIZ UDPゴシック"/>
      <family val="3"/>
      <charset val="128"/>
    </font>
    <font>
      <sz val="12"/>
      <color theme="1"/>
      <name val="Segoe UI Symbol"/>
      <family val="3"/>
    </font>
    <font>
      <sz val="11"/>
      <color theme="0"/>
      <name val="ＭＳ Ｐゴシック"/>
      <family val="3"/>
      <charset val="128"/>
    </font>
    <font>
      <b/>
      <sz val="14"/>
      <color indexed="81"/>
      <name val="BIZ UDPゴシック"/>
      <family val="3"/>
      <charset val="128"/>
    </font>
    <font>
      <sz val="11"/>
      <color theme="0"/>
      <name val="ＭＳ Ｐ明朝"/>
      <family val="1"/>
      <charset val="128"/>
    </font>
    <font>
      <b/>
      <sz val="11"/>
      <color theme="0"/>
      <name val="ＭＳ ゴシック"/>
      <family val="3"/>
      <charset val="128"/>
    </font>
    <font>
      <b/>
      <sz val="9"/>
      <color theme="0"/>
      <name val="BIZ UDPゴシック"/>
      <family val="3"/>
      <charset val="128"/>
    </font>
    <font>
      <sz val="11"/>
      <color theme="0" tint="-0.34998626667073579"/>
      <name val="ＭＳ ゴシック"/>
      <family val="3"/>
      <charset val="128"/>
    </font>
    <font>
      <b/>
      <sz val="10"/>
      <color indexed="81"/>
      <name val="BIZ UDPゴシック"/>
      <family val="3"/>
      <charset val="128"/>
    </font>
    <font>
      <b/>
      <sz val="11"/>
      <color indexed="81"/>
      <name val="BIZ UDPゴシック"/>
      <family val="3"/>
      <charset val="128"/>
    </font>
    <font>
      <sz val="10.5"/>
      <color theme="1"/>
      <name val="BIZ UDPゴシック"/>
      <family val="3"/>
      <charset val="128"/>
    </font>
    <font>
      <b/>
      <sz val="10.5"/>
      <color theme="1"/>
      <name val="BIZ UDPゴシック"/>
      <family val="3"/>
      <charset val="128"/>
    </font>
    <font>
      <b/>
      <u/>
      <sz val="10.5"/>
      <color theme="1"/>
      <name val="BIZ UDPゴシック"/>
      <family val="3"/>
      <charset val="128"/>
    </font>
    <font>
      <b/>
      <sz val="10.5"/>
      <color theme="0"/>
      <name val="BIZ UDPゴシック"/>
      <family val="3"/>
      <charset val="128"/>
    </font>
    <font>
      <sz val="10.5"/>
      <color theme="0"/>
      <name val="BIZ UDPゴシック"/>
      <family val="3"/>
      <charset val="128"/>
    </font>
    <font>
      <b/>
      <u/>
      <sz val="10.5"/>
      <color theme="0"/>
      <name val="BIZ UDPゴシック"/>
      <family val="3"/>
      <charset val="128"/>
    </font>
    <font>
      <sz val="9"/>
      <name val="BIZ UDPゴシック"/>
      <family val="3"/>
      <charset val="128"/>
    </font>
    <font>
      <sz val="10.5"/>
      <name val="BIZ UDPゴシック"/>
      <family val="3"/>
      <charset val="128"/>
    </font>
    <font>
      <sz val="6"/>
      <name val="ＭＳ Ｐゴシック"/>
      <family val="3"/>
      <charset val="128"/>
      <scheme val="minor"/>
    </font>
    <font>
      <sz val="8.5"/>
      <color theme="1"/>
      <name val="BIZ UDPゴシック"/>
      <family val="3"/>
      <charset val="128"/>
    </font>
    <font>
      <b/>
      <sz val="8.5"/>
      <color theme="1"/>
      <name val="BIZ UDPゴシック"/>
      <family val="3"/>
      <charset val="128"/>
    </font>
    <font>
      <sz val="11"/>
      <color theme="0" tint="-0.34998626667073579"/>
      <name val="ＭＳ Ｐ明朝"/>
      <family val="1"/>
      <charset val="128"/>
    </font>
    <font>
      <sz val="11"/>
      <color theme="0" tint="-0.34998626667073579"/>
      <name val="BIZ UDPゴシック"/>
      <family val="3"/>
      <charset val="128"/>
    </font>
    <font>
      <sz val="12"/>
      <color theme="0" tint="-0.34998626667073579"/>
      <name val="BIZ UDPゴシック"/>
      <family val="3"/>
      <charset val="128"/>
    </font>
    <font>
      <sz val="12"/>
      <color theme="0" tint="-0.34998626667073579"/>
      <name val="HG丸ｺﾞｼｯｸM-PRO"/>
      <family val="3"/>
      <charset val="128"/>
    </font>
    <font>
      <sz val="6"/>
      <color theme="0" tint="-0.34998626667073579"/>
      <name val="HG丸ｺﾞｼｯｸM-PRO"/>
      <family val="3"/>
      <charset val="128"/>
    </font>
    <font>
      <sz val="11"/>
      <color theme="0" tint="-0.34998626667073579"/>
      <name val="HG丸ｺﾞｼｯｸM-PRO"/>
      <family val="3"/>
      <charset val="128"/>
    </font>
    <font>
      <sz val="10"/>
      <color theme="0" tint="-0.34998626667073579"/>
      <name val="メイリオ"/>
      <family val="3"/>
      <charset val="128"/>
    </font>
    <font>
      <sz val="20"/>
      <color theme="0" tint="-0.34998626667073579"/>
      <name val="BIZ UDPゴシック"/>
      <family val="3"/>
      <charset val="128"/>
    </font>
    <font>
      <b/>
      <sz val="11"/>
      <color theme="0" tint="-0.34998626667073579"/>
      <name val="ＭＳ ゴシック"/>
      <family val="3"/>
      <charset val="128"/>
    </font>
    <font>
      <u/>
      <sz val="11"/>
      <color theme="0" tint="-0.34998626667073579"/>
      <name val="BIZ UDPゴシック"/>
      <family val="3"/>
      <charset val="128"/>
    </font>
    <font>
      <b/>
      <sz val="14"/>
      <color theme="0" tint="-0.34998626667073579"/>
      <name val="BIZ UDPゴシック"/>
      <family val="3"/>
      <charset val="128"/>
    </font>
    <font>
      <i/>
      <sz val="11"/>
      <color theme="0" tint="-0.34998626667073579"/>
      <name val="BIZ UDPゴシック"/>
      <family val="3"/>
      <charset val="128"/>
    </font>
    <font>
      <sz val="14"/>
      <color theme="0" tint="-0.34998626667073579"/>
      <name val="BIZ UDPゴシック"/>
      <family val="3"/>
      <charset val="128"/>
    </font>
    <font>
      <b/>
      <sz val="11"/>
      <color theme="0" tint="-0.34998626667073579"/>
      <name val="BIZ UDPゴシック"/>
      <family val="3"/>
      <charset val="128"/>
    </font>
    <font>
      <u/>
      <sz val="11"/>
      <color theme="10"/>
      <name val="BIZ UDPゴシック"/>
      <family val="3"/>
      <charset val="128"/>
    </font>
    <font>
      <sz val="12"/>
      <name val="ＭＳ Ｐ明朝"/>
      <family val="1"/>
      <charset val="128"/>
    </font>
    <font>
      <b/>
      <sz val="12"/>
      <name val="HG丸ｺﾞｼｯｸM-PRO"/>
      <family val="3"/>
      <charset val="128"/>
    </font>
    <font>
      <sz val="12"/>
      <name val="ＭＳ Ｐゴシック"/>
      <family val="3"/>
      <charset val="128"/>
      <scheme val="major"/>
    </font>
    <font>
      <sz val="14"/>
      <color rgb="FFFF0000"/>
      <name val="BIZ UDPゴシック"/>
      <family val="3"/>
      <charset val="128"/>
    </font>
    <font>
      <sz val="11"/>
      <color rgb="FFFF0000"/>
      <name val="ＭＳ Ｐゴシック"/>
      <family val="3"/>
      <charset val="128"/>
      <scheme val="minor"/>
    </font>
    <font>
      <sz val="12"/>
      <color rgb="FFFF0000"/>
      <name val="ＭＳ Ｐゴシック"/>
      <family val="2"/>
      <charset val="128"/>
      <scheme val="minor"/>
    </font>
    <font>
      <sz val="12"/>
      <color rgb="FFFF0000"/>
      <name val="ＭＳ 明朝"/>
      <family val="1"/>
      <charset val="128"/>
    </font>
    <font>
      <b/>
      <sz val="10"/>
      <color rgb="FFFF0000"/>
      <name val="ＭＳ Ｐゴシック"/>
      <family val="3"/>
      <charset val="128"/>
      <scheme val="minor"/>
    </font>
    <font>
      <u/>
      <sz val="11"/>
      <color rgb="FFFF0000"/>
      <name val="ＭＳ Ｐゴシック"/>
      <family val="3"/>
      <charset val="128"/>
      <scheme val="minor"/>
    </font>
    <font>
      <sz val="11"/>
      <color theme="0" tint="-0.249977111117893"/>
      <name val="ＭＳ Ｐゴシック"/>
      <family val="3"/>
      <charset val="128"/>
      <scheme val="minor"/>
    </font>
    <font>
      <sz val="11"/>
      <color theme="0" tint="-0.249977111117893"/>
      <name val="ＭＳ Ｐゴシック"/>
      <family val="2"/>
      <charset val="128"/>
      <scheme val="minor"/>
    </font>
    <font>
      <sz val="11"/>
      <color theme="0" tint="-0.249977111117893"/>
      <name val="ＭＳ ゴシック"/>
      <family val="3"/>
      <charset val="128"/>
    </font>
    <font>
      <sz val="10"/>
      <color theme="0" tint="-0.249977111117893"/>
      <name val="ＭＳ Ｐゴシック"/>
      <family val="3"/>
      <charset val="128"/>
      <scheme val="minor"/>
    </font>
    <font>
      <b/>
      <sz val="10"/>
      <color theme="0" tint="-0.249977111117893"/>
      <name val="ＭＳ Ｐゴシック"/>
      <family val="3"/>
      <charset val="128"/>
      <scheme val="minor"/>
    </font>
    <font>
      <sz val="11"/>
      <color theme="0" tint="-0.249977111117893"/>
      <name val="ＭＳ 明朝"/>
      <family val="1"/>
      <charset val="128"/>
    </font>
    <font>
      <sz val="8"/>
      <color theme="1"/>
      <name val="BIZ UDPゴシック"/>
      <family val="3"/>
      <charset val="128"/>
    </font>
    <font>
      <sz val="14"/>
      <color theme="0"/>
      <name val="BIZ UDPゴシック"/>
      <family val="3"/>
      <charset val="128"/>
    </font>
    <font>
      <b/>
      <sz val="26"/>
      <color theme="0"/>
      <name val="BIZ UDPゴシック"/>
      <family val="3"/>
      <charset val="128"/>
    </font>
    <font>
      <b/>
      <sz val="16"/>
      <color theme="0"/>
      <name val="BIZ UDPゴシック"/>
      <family val="3"/>
      <charset val="128"/>
    </font>
    <font>
      <b/>
      <sz val="12"/>
      <color theme="0"/>
      <name val="BIZ UDPゴシック"/>
      <family val="3"/>
      <charset val="128"/>
    </font>
    <font>
      <sz val="14"/>
      <color rgb="FFFF0000"/>
      <name val="ＭＳ Ｐゴシック"/>
      <family val="3"/>
      <charset val="128"/>
      <scheme val="minor"/>
    </font>
    <font>
      <sz val="20"/>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scheme val="minor"/>
    </font>
    <font>
      <i/>
      <sz val="11"/>
      <color rgb="FFFF0000"/>
      <name val="ＭＳ Ｐゴシック"/>
      <family val="3"/>
      <charset val="128"/>
      <scheme val="minor"/>
    </font>
    <font>
      <b/>
      <sz val="11"/>
      <color rgb="FFFF0000"/>
      <name val="ＭＳ Ｐゴシック"/>
      <family val="3"/>
      <charset val="128"/>
    </font>
    <font>
      <b/>
      <sz val="9"/>
      <color rgb="FFFF0000"/>
      <name val="ＭＳ Ｐゴシック"/>
      <family val="3"/>
      <charset val="128"/>
      <scheme val="minor"/>
    </font>
    <font>
      <sz val="11"/>
      <color rgb="FFFF0000"/>
      <name val="ＭＳ Ｐ明朝"/>
      <family val="1"/>
      <charset val="128"/>
    </font>
    <font>
      <sz val="16"/>
      <color rgb="FFFF0000"/>
      <name val="BIZ UDPゴシック"/>
      <family val="3"/>
      <charset val="128"/>
    </font>
    <font>
      <b/>
      <sz val="18"/>
      <color indexed="81"/>
      <name val="MS P ゴシック"/>
      <family val="3"/>
      <charset val="128"/>
    </font>
    <font>
      <sz val="18"/>
      <color indexed="81"/>
      <name val="MS P ゴシック"/>
      <family val="3"/>
      <charset val="128"/>
    </font>
    <font>
      <sz val="18"/>
      <color theme="0"/>
      <name val="ＭＳ Ｐ明朝"/>
      <family val="1"/>
      <charset val="128"/>
    </font>
    <font>
      <b/>
      <sz val="10"/>
      <color theme="1"/>
      <name val="BIZ UDPゴシック"/>
      <family val="3"/>
      <charset val="128"/>
    </font>
    <font>
      <sz val="12"/>
      <color rgb="FFFF0000"/>
      <name val="HG丸ｺﾞｼｯｸM-PRO"/>
      <family val="3"/>
      <charset val="128"/>
    </font>
    <font>
      <sz val="10"/>
      <color rgb="FFFF0000"/>
      <name val="HG丸ｺﾞｼｯｸM-PRO"/>
      <family val="3"/>
      <charset val="128"/>
    </font>
    <font>
      <sz val="6"/>
      <color rgb="FFFF0000"/>
      <name val="ＭＳ Ｐゴシック"/>
      <family val="3"/>
      <charset val="128"/>
    </font>
    <font>
      <sz val="20"/>
      <color rgb="FFFF0000"/>
      <name val="ＭＳ Ｐゴシック"/>
      <family val="3"/>
      <charset val="128"/>
    </font>
    <font>
      <sz val="9"/>
      <color rgb="FFFF0000"/>
      <name val="ＭＳ Ｐゴシック"/>
      <family val="3"/>
      <charset val="128"/>
    </font>
    <font>
      <sz val="8"/>
      <color rgb="FFFF0000"/>
      <name val="ＭＳ Ｐゴシック"/>
      <family val="3"/>
      <charset val="128"/>
    </font>
    <font>
      <b/>
      <sz val="9"/>
      <name val="ＭＳ Ｐゴシック"/>
      <family val="3"/>
      <charset val="128"/>
    </font>
    <font>
      <sz val="8"/>
      <color theme="0"/>
      <name val="BIZ UDPゴシック"/>
      <family val="3"/>
      <charset val="128"/>
    </font>
    <font>
      <b/>
      <sz val="8"/>
      <color theme="0"/>
      <name val="BIZ UDPゴシック"/>
      <family val="3"/>
      <charset val="128"/>
    </font>
    <font>
      <sz val="8"/>
      <color theme="0"/>
      <name val="ＭＳ Ｐゴシック"/>
      <family val="3"/>
      <charset val="128"/>
      <scheme val="minor"/>
    </font>
    <font>
      <sz val="20"/>
      <name val="Segoe UI Symbol"/>
      <family val="3"/>
    </font>
    <font>
      <b/>
      <u/>
      <sz val="14"/>
      <color rgb="FFFF0000"/>
      <name val="HG丸ｺﾞｼｯｸM-PRO"/>
      <family val="3"/>
      <charset val="128"/>
    </font>
    <font>
      <sz val="9"/>
      <color rgb="FF000000"/>
      <name val="Meiryo UI"/>
      <family val="3"/>
      <charset val="128"/>
    </font>
    <font>
      <sz val="18"/>
      <color rgb="FFFF0000"/>
      <name val="BIZ UDPゴシック"/>
      <family val="3"/>
      <charset val="128"/>
    </font>
    <font>
      <b/>
      <u/>
      <sz val="14"/>
      <name val="BIZ UDPゴシック"/>
      <family val="3"/>
      <charset val="128"/>
    </font>
    <font>
      <sz val="18"/>
      <color rgb="FFFF0000"/>
      <name val="ＭＳ Ｐ明朝"/>
      <family val="1"/>
      <charset val="128"/>
    </font>
    <font>
      <sz val="8"/>
      <color rgb="FFFF0000"/>
      <name val="BIZ UDPゴシック"/>
      <family val="3"/>
      <charset val="128"/>
    </font>
    <font>
      <sz val="8"/>
      <color rgb="FFFF0000"/>
      <name val="ＭＳ Ｐゴシック"/>
      <family val="3"/>
      <charset val="128"/>
      <scheme val="minor"/>
    </font>
    <font>
      <sz val="8"/>
      <color theme="0"/>
      <name val="ＭＳ Ｐ明朝"/>
      <family val="1"/>
      <charset val="128"/>
    </font>
    <font>
      <sz val="10"/>
      <color rgb="FF000000"/>
      <name val="ＭＳ Ｐゴシック"/>
      <family val="2"/>
      <scheme val="minor"/>
    </font>
    <font>
      <sz val="10"/>
      <color rgb="FF000000"/>
      <name val="ＭＳ Ｐゴシック"/>
      <family val="2"/>
      <scheme val="major"/>
    </font>
    <font>
      <sz val="13"/>
      <color theme="1"/>
      <name val="ＭＳ Ｐゴシック"/>
      <family val="2"/>
      <scheme val="major"/>
    </font>
    <font>
      <sz val="34"/>
      <color theme="1"/>
      <name val="ＭＳ Ｐゴシック"/>
      <family val="2"/>
      <scheme val="major"/>
    </font>
    <font>
      <sz val="30"/>
      <color theme="1"/>
      <name val="ＭＳ Ｐゴシック"/>
      <family val="2"/>
      <scheme val="major"/>
    </font>
    <font>
      <sz val="22"/>
      <color theme="1"/>
      <name val="ＭＳ Ｐゴシック"/>
      <family val="2"/>
      <scheme val="major"/>
    </font>
    <font>
      <b/>
      <sz val="22"/>
      <color theme="1"/>
      <name val="ＭＳ Ｐゴシック"/>
      <family val="2"/>
      <scheme val="major"/>
    </font>
    <font>
      <sz val="22"/>
      <name val="ＭＳ Ｐゴシック"/>
      <family val="2"/>
      <scheme val="major"/>
    </font>
    <font>
      <b/>
      <sz val="23"/>
      <color theme="1"/>
      <name val="ＭＳ Ｐゴシック"/>
      <family val="2"/>
      <scheme val="major"/>
    </font>
    <font>
      <sz val="10"/>
      <name val="ＭＳ Ｐゴシック"/>
      <family val="2"/>
      <scheme val="major"/>
    </font>
    <font>
      <b/>
      <sz val="12"/>
      <color rgb="FF000000"/>
      <name val="ＭＳ Ｐゴシック"/>
      <family val="3"/>
      <charset val="128"/>
      <scheme val="major"/>
    </font>
    <font>
      <b/>
      <sz val="13"/>
      <color rgb="FF000000"/>
      <name val="ＭＳ ゴシック"/>
      <family val="3"/>
      <charset val="128"/>
    </font>
    <font>
      <b/>
      <sz val="13"/>
      <color rgb="FF000000"/>
      <name val="ＭＳ Ｐゴシック"/>
      <family val="2"/>
      <scheme val="major"/>
    </font>
    <font>
      <b/>
      <sz val="17"/>
      <color rgb="FF000000"/>
      <name val="ＭＳ Ｐゴシック"/>
      <family val="2"/>
      <scheme val="major"/>
    </font>
    <font>
      <sz val="14"/>
      <color rgb="FF000000"/>
      <name val="ＭＳ Ｐゴシック"/>
      <family val="3"/>
      <charset val="128"/>
      <scheme val="major"/>
    </font>
    <font>
      <b/>
      <sz val="10"/>
      <color rgb="FF000000"/>
      <name val="ＭＳ Ｐゴシック"/>
      <family val="3"/>
      <charset val="128"/>
      <scheme val="major"/>
    </font>
    <font>
      <b/>
      <sz val="13"/>
      <color theme="1"/>
      <name val="ＭＳ Ｐゴシック"/>
      <family val="3"/>
      <charset val="128"/>
      <scheme val="major"/>
    </font>
    <font>
      <b/>
      <sz val="15"/>
      <color theme="1"/>
      <name val="ＭＳ Ｐゴシック"/>
      <family val="2"/>
      <scheme val="major"/>
    </font>
    <font>
      <b/>
      <sz val="20"/>
      <color theme="1"/>
      <name val="ＭＳ Ｐゴシック"/>
      <family val="2"/>
      <scheme val="major"/>
    </font>
    <font>
      <b/>
      <sz val="20"/>
      <color theme="1"/>
      <name val="ＭＳ ゴシック"/>
      <family val="3"/>
      <charset val="128"/>
    </font>
    <font>
      <sz val="15"/>
      <color rgb="FF000000"/>
      <name val="ＭＳ Ｐゴシック"/>
      <family val="2"/>
      <scheme val="major"/>
    </font>
    <font>
      <sz val="15"/>
      <color rgb="FF000000"/>
      <name val="ＭＳ Ｐゴシック"/>
      <family val="3"/>
      <charset val="128"/>
      <scheme val="major"/>
    </font>
    <font>
      <sz val="18"/>
      <color theme="1"/>
      <name val="ＭＳ Ｐゴシック"/>
      <family val="2"/>
      <scheme val="major"/>
    </font>
    <font>
      <b/>
      <sz val="14"/>
      <color rgb="FF000000"/>
      <name val="ＭＳ Ｐゴシック"/>
      <family val="2"/>
      <scheme val="major"/>
    </font>
    <font>
      <b/>
      <sz val="14"/>
      <color rgb="FF000000"/>
      <name val="ＭＳ Ｐゴシック"/>
      <family val="3"/>
      <charset val="128"/>
      <scheme val="major"/>
    </font>
    <font>
      <sz val="13"/>
      <color rgb="FF000000"/>
      <name val="ＭＳ Ｐゴシック"/>
      <family val="2"/>
      <scheme val="major"/>
    </font>
    <font>
      <b/>
      <sz val="12"/>
      <color rgb="FF000000"/>
      <name val="ＭＳ Ｐゴシック"/>
      <family val="2"/>
      <scheme val="major"/>
    </font>
    <font>
      <b/>
      <sz val="14"/>
      <color theme="8"/>
      <name val="ＭＳ Ｐゴシック"/>
      <family val="2"/>
      <scheme val="major"/>
    </font>
    <font>
      <b/>
      <sz val="14"/>
      <color rgb="FFFF0000"/>
      <name val="ＭＳ Ｐゴシック"/>
      <family val="2"/>
      <scheme val="major"/>
    </font>
    <font>
      <sz val="12"/>
      <color rgb="FF000000"/>
      <name val="ＭＳ Ｐゴシック"/>
      <family val="3"/>
      <charset val="128"/>
      <scheme val="major"/>
    </font>
    <font>
      <sz val="12"/>
      <color indexed="8"/>
      <name val="ＭＳ Ｐ明朝"/>
      <family val="1"/>
      <charset val="128"/>
    </font>
    <font>
      <sz val="11"/>
      <color theme="1"/>
      <name val="HG丸ｺﾞｼｯｸM-PRO"/>
      <family val="3"/>
      <charset val="128"/>
    </font>
    <font>
      <b/>
      <sz val="14"/>
      <color indexed="81"/>
      <name val="MS P ゴシック"/>
      <family val="3"/>
      <charset val="128"/>
    </font>
    <font>
      <b/>
      <u/>
      <sz val="11"/>
      <color theme="1"/>
      <name val="ＭＳ Ｐゴシック"/>
      <family val="3"/>
      <charset val="128"/>
      <scheme val="minor"/>
    </font>
    <font>
      <b/>
      <u/>
      <sz val="14"/>
      <color theme="1"/>
      <name val="ＭＳ Ｐゴシック"/>
      <family val="3"/>
      <charset val="128"/>
      <scheme val="minor"/>
    </font>
    <font>
      <b/>
      <u/>
      <sz val="16"/>
      <color theme="1"/>
      <name val="ＭＳ Ｐゴシック"/>
      <family val="3"/>
      <charset val="128"/>
      <scheme val="minor"/>
    </font>
    <font>
      <u/>
      <sz val="14"/>
      <color theme="1"/>
      <name val="ＭＳ Ｐゴシック"/>
      <family val="3"/>
      <charset val="128"/>
      <scheme val="minor"/>
    </font>
    <font>
      <u/>
      <sz val="16"/>
      <color theme="1"/>
      <name val="ＭＳ Ｐゴシック"/>
      <family val="3"/>
      <charset val="128"/>
      <scheme val="minor"/>
    </font>
    <font>
      <u/>
      <sz val="12"/>
      <color theme="1"/>
      <name val="ＭＳ Ｐゴシック"/>
      <family val="3"/>
      <charset val="128"/>
      <scheme val="minor"/>
    </font>
    <font>
      <sz val="12"/>
      <color rgb="FFFF0000"/>
      <name val="ＭＳ Ｐゴシック"/>
      <family val="3"/>
      <charset val="128"/>
      <scheme val="minor"/>
    </font>
    <font>
      <sz val="6"/>
      <name val="BIZ UDPゴシック"/>
      <family val="3"/>
      <charset val="128"/>
    </font>
    <font>
      <b/>
      <i/>
      <sz val="12"/>
      <name val="BIZ UDPゴシック"/>
      <family val="3"/>
      <charset val="128"/>
    </font>
    <font>
      <b/>
      <sz val="9"/>
      <color indexed="81"/>
      <name val="MS P ゴシック"/>
      <family val="3"/>
      <charset val="128"/>
    </font>
    <font>
      <b/>
      <sz val="10"/>
      <color indexed="81"/>
      <name val="MS P ゴシック"/>
      <family val="3"/>
      <charset val="128"/>
    </font>
    <font>
      <b/>
      <sz val="12"/>
      <color indexed="81"/>
      <name val="MS P ゴシック"/>
      <family val="3"/>
      <charset val="128"/>
    </font>
    <font>
      <sz val="16"/>
      <color rgb="FFFF0000"/>
      <name val="ＭＳ Ｐ明朝"/>
      <family val="1"/>
      <charset val="128"/>
    </font>
    <font>
      <sz val="16"/>
      <color rgb="FFFF0000"/>
      <name val="HGS明朝B"/>
      <family val="1"/>
      <charset val="128"/>
    </font>
    <font>
      <sz val="16"/>
      <color rgb="FF000000"/>
      <name val="ＭＳ Ｐゴシック"/>
      <family val="3"/>
      <charset val="128"/>
      <scheme val="major"/>
    </font>
    <font>
      <sz val="18"/>
      <color rgb="FF000000"/>
      <name val="ＭＳ Ｐゴシック"/>
      <family val="3"/>
      <charset val="128"/>
      <scheme val="major"/>
    </font>
    <font>
      <sz val="28"/>
      <color rgb="FF000000"/>
      <name val="ＭＳ Ｐゴシック"/>
      <family val="3"/>
      <charset val="128"/>
      <scheme val="major"/>
    </font>
    <font>
      <b/>
      <sz val="22"/>
      <color theme="1"/>
      <name val="BIZ UDPゴシック"/>
      <family val="3"/>
      <charset val="128"/>
    </font>
    <font>
      <sz val="14"/>
      <color indexed="81"/>
      <name val="MS P ゴシック"/>
      <family val="3"/>
      <charset val="128"/>
    </font>
    <font>
      <b/>
      <sz val="20"/>
      <color indexed="81"/>
      <name val="MS P ゴシック"/>
      <family val="3"/>
      <charset val="128"/>
    </font>
  </fonts>
  <fills count="30">
    <fill>
      <patternFill patternType="none"/>
    </fill>
    <fill>
      <patternFill patternType="gray125"/>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FFFFFF"/>
        <bgColor indexed="64"/>
      </patternFill>
    </fill>
    <fill>
      <patternFill patternType="solid">
        <fgColor theme="6" tint="0.79998168889431442"/>
        <bgColor indexed="64"/>
      </patternFill>
    </fill>
    <fill>
      <patternFill patternType="solid">
        <fgColor theme="1"/>
        <bgColor indexed="64"/>
      </patternFill>
    </fill>
    <fill>
      <patternFill patternType="solid">
        <fgColor theme="2"/>
        <bgColor indexed="64"/>
      </patternFill>
    </fill>
    <fill>
      <patternFill patternType="solid">
        <fgColor rgb="FFFFFFFF"/>
        <bgColor rgb="FFFFFFFF"/>
      </patternFill>
    </fill>
    <fill>
      <patternFill patternType="solid">
        <fgColor rgb="FF6D9EEB"/>
        <bgColor rgb="FF6D9EEB"/>
      </patternFill>
    </fill>
    <fill>
      <patternFill patternType="solid">
        <fgColor rgb="FFC9DAF8"/>
        <bgColor rgb="FFC9DAF8"/>
      </patternFill>
    </fill>
    <fill>
      <patternFill patternType="solid">
        <fgColor rgb="FFFFFF00"/>
        <bgColor rgb="FFFFFF00"/>
      </patternFill>
    </fill>
    <fill>
      <patternFill patternType="solid">
        <fgColor rgb="FFFFF2CC"/>
        <bgColor rgb="FFFFF2CC"/>
      </patternFill>
    </fill>
    <fill>
      <patternFill patternType="solid">
        <fgColor rgb="FFFF9900"/>
        <bgColor rgb="FFFF9900"/>
      </patternFill>
    </fill>
    <fill>
      <patternFill patternType="solid">
        <fgColor rgb="FFF9CB9C"/>
        <bgColor rgb="FFF9CB9C"/>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59999389629810485"/>
        <bgColor indexed="64"/>
      </patternFill>
    </fill>
  </fills>
  <borders count="425">
    <border>
      <left/>
      <right/>
      <top/>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ck">
        <color indexed="64"/>
      </right>
      <top style="thick">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thick">
        <color indexed="64"/>
      </right>
      <top style="thick">
        <color indexed="64"/>
      </top>
      <bottom style="thin">
        <color indexed="64"/>
      </bottom>
      <diagonal/>
    </border>
    <border>
      <left/>
      <right style="thick">
        <color indexed="64"/>
      </right>
      <top/>
      <bottom style="dotted">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dotted">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thin">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style="dotted">
        <color indexed="64"/>
      </bottom>
      <diagonal/>
    </border>
    <border>
      <left style="thin">
        <color indexed="64"/>
      </left>
      <right style="thick">
        <color indexed="64"/>
      </right>
      <top style="dotted">
        <color indexed="64"/>
      </top>
      <bottom/>
      <diagonal/>
    </border>
    <border>
      <left style="thin">
        <color indexed="64"/>
      </left>
      <right style="thick">
        <color indexed="64"/>
      </right>
      <top/>
      <bottom style="dotted">
        <color indexed="64"/>
      </bottom>
      <diagonal/>
    </border>
    <border>
      <left style="thick">
        <color indexed="64"/>
      </left>
      <right style="thick">
        <color indexed="64"/>
      </right>
      <top/>
      <bottom style="dotted">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thick">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ck">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ck">
        <color indexed="64"/>
      </bottom>
      <diagonal/>
    </border>
    <border>
      <left style="thin">
        <color indexed="64"/>
      </left>
      <right style="thin">
        <color indexed="64"/>
      </right>
      <top style="dotted">
        <color indexed="64"/>
      </top>
      <bottom style="thick">
        <color indexed="64"/>
      </bottom>
      <diagonal/>
    </border>
    <border>
      <left/>
      <right style="thin">
        <color indexed="64"/>
      </right>
      <top style="thick">
        <color indexed="64"/>
      </top>
      <bottom style="dotted">
        <color indexed="64"/>
      </bottom>
      <diagonal/>
    </border>
    <border diagonalUp="1">
      <left style="thin">
        <color indexed="64"/>
      </left>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left style="thin">
        <color indexed="64"/>
      </left>
      <right style="thin">
        <color indexed="64"/>
      </right>
      <top style="thin">
        <color indexed="64"/>
      </top>
      <bottom style="dotted">
        <color indexed="64"/>
      </bottom>
      <diagonal/>
    </border>
    <border>
      <left/>
      <right style="hair">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n">
        <color indexed="64"/>
      </top>
      <bottom style="thick">
        <color indexed="64"/>
      </bottom>
      <diagonal/>
    </border>
    <border>
      <left style="thin">
        <color indexed="64"/>
      </left>
      <right style="thin">
        <color indexed="64"/>
      </right>
      <top style="dotted">
        <color indexed="64"/>
      </top>
      <bottom style="thin">
        <color indexed="64"/>
      </bottom>
      <diagonal/>
    </border>
    <border>
      <left style="thick">
        <color indexed="64"/>
      </left>
      <right/>
      <top style="dotted">
        <color indexed="64"/>
      </top>
      <bottom style="dotted">
        <color indexed="64"/>
      </bottom>
      <diagonal/>
    </border>
    <border>
      <left style="thick">
        <color indexed="64"/>
      </left>
      <right/>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ck">
        <color indexed="64"/>
      </left>
      <right/>
      <top style="dashed">
        <color indexed="64"/>
      </top>
      <bottom/>
      <diagonal/>
    </border>
    <border>
      <left/>
      <right/>
      <top style="dashed">
        <color indexed="64"/>
      </top>
      <bottom/>
      <diagonal/>
    </border>
    <border>
      <left style="thick">
        <color indexed="64"/>
      </left>
      <right style="thin">
        <color indexed="64"/>
      </right>
      <top style="dashed">
        <color indexed="64"/>
      </top>
      <bottom style="dashed">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style="thick">
        <color indexed="64"/>
      </right>
      <top style="dashed">
        <color indexed="64"/>
      </top>
      <bottom/>
      <diagonal/>
    </border>
    <border>
      <left style="thick">
        <color indexed="64"/>
      </left>
      <right style="thick">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ck">
        <color indexed="64"/>
      </right>
      <top style="dashed">
        <color indexed="64"/>
      </top>
      <bottom/>
      <diagonal/>
    </border>
    <border>
      <left style="thin">
        <color indexed="64"/>
      </left>
      <right style="thick">
        <color indexed="64"/>
      </right>
      <top/>
      <bottom style="dashed">
        <color indexed="64"/>
      </bottom>
      <diagonal/>
    </border>
    <border>
      <left style="thick">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indexed="64"/>
      </left>
      <right style="thick">
        <color indexed="64"/>
      </right>
      <top/>
      <bottom/>
      <diagonal/>
    </border>
    <border>
      <left style="thin">
        <color indexed="64"/>
      </left>
      <right style="thin">
        <color indexed="64"/>
      </right>
      <top style="dotted">
        <color indexed="64"/>
      </top>
      <bottom style="medium">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thick">
        <color indexed="64"/>
      </left>
      <right style="thick">
        <color indexed="64"/>
      </right>
      <top style="dotted">
        <color indexed="64"/>
      </top>
      <bottom/>
      <diagonal/>
    </border>
    <border>
      <left style="thin">
        <color indexed="64"/>
      </left>
      <right style="thick">
        <color indexed="64"/>
      </right>
      <top style="dashed">
        <color indexed="64"/>
      </top>
      <bottom style="dashed">
        <color indexed="64"/>
      </bottom>
      <diagonal/>
    </border>
    <border>
      <left style="thin">
        <color indexed="64"/>
      </left>
      <right/>
      <top style="thick">
        <color indexed="64"/>
      </top>
      <bottom style="dotted">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dashed">
        <color indexed="64"/>
      </bottom>
      <diagonal/>
    </border>
    <border>
      <left style="thick">
        <color indexed="64"/>
      </left>
      <right style="thin">
        <color indexed="64"/>
      </right>
      <top style="thick">
        <color indexed="64"/>
      </top>
      <bottom style="dash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diagonalUp="1">
      <left/>
      <right/>
      <top/>
      <bottom style="dotted">
        <color indexed="64"/>
      </bottom>
      <diagonal style="thin">
        <color indexed="64"/>
      </diagonal>
    </border>
    <border diagonalUp="1">
      <left/>
      <right style="thin">
        <color indexed="64"/>
      </right>
      <top/>
      <bottom style="dotted">
        <color indexed="64"/>
      </bottom>
      <diagonal style="thin">
        <color indexed="64"/>
      </diagonal>
    </border>
    <border diagonalUp="1">
      <left style="thin">
        <color indexed="64"/>
      </left>
      <right/>
      <top style="dashed">
        <color indexed="64"/>
      </top>
      <bottom style="double">
        <color indexed="64"/>
      </bottom>
      <diagonal style="thin">
        <color indexed="64"/>
      </diagonal>
    </border>
    <border diagonalUp="1">
      <left/>
      <right style="thin">
        <color indexed="64"/>
      </right>
      <top style="dashed">
        <color indexed="64"/>
      </top>
      <bottom style="double">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style="thin">
        <color indexed="64"/>
      </left>
      <right/>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left style="thick">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double">
        <color indexed="64"/>
      </bottom>
      <diagonal/>
    </border>
    <border diagonalUp="1">
      <left/>
      <right/>
      <top style="dotted">
        <color indexed="64"/>
      </top>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thick">
        <color indexed="64"/>
      </top>
      <bottom style="dashed">
        <color indexed="64"/>
      </bottom>
      <diagonal style="thin">
        <color indexed="64"/>
      </diagonal>
    </border>
    <border>
      <left style="thin">
        <color indexed="64"/>
      </left>
      <right style="thin">
        <color indexed="64"/>
      </right>
      <top style="dotted">
        <color indexed="64"/>
      </top>
      <bottom/>
      <diagonal/>
    </border>
    <border>
      <left style="thick">
        <color indexed="64"/>
      </left>
      <right style="thin">
        <color indexed="64"/>
      </right>
      <top style="dashed">
        <color indexed="64"/>
      </top>
      <bottom style="thick">
        <color indexed="64"/>
      </bottom>
      <diagonal/>
    </border>
    <border>
      <left style="thin">
        <color indexed="64"/>
      </left>
      <right style="thick">
        <color indexed="64"/>
      </right>
      <top style="dashed">
        <color indexed="64"/>
      </top>
      <bottom style="thick">
        <color indexed="64"/>
      </bottom>
      <diagonal/>
    </border>
    <border>
      <left style="thick">
        <color indexed="64"/>
      </left>
      <right style="thin">
        <color indexed="64"/>
      </right>
      <top style="dotted">
        <color indexed="64"/>
      </top>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
      <left style="thick">
        <color indexed="64"/>
      </left>
      <right style="thick">
        <color indexed="64"/>
      </right>
      <top/>
      <bottom style="thin">
        <color indexed="64"/>
      </bottom>
      <diagonal/>
    </border>
    <border diagonalUp="1">
      <left style="thin">
        <color indexed="64"/>
      </left>
      <right style="thin">
        <color indexed="64"/>
      </right>
      <top style="dashed">
        <color indexed="64"/>
      </top>
      <bottom style="double">
        <color indexed="64"/>
      </bottom>
      <diagonal style="thin">
        <color indexed="64"/>
      </diagonal>
    </border>
    <border diagonalUp="1">
      <left style="thin">
        <color indexed="64"/>
      </left>
      <right style="thin">
        <color indexed="64"/>
      </right>
      <top style="dotted">
        <color indexed="64"/>
      </top>
      <bottom style="dash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right style="thin">
        <color indexed="64"/>
      </right>
      <top/>
      <bottom style="dashed">
        <color indexed="64"/>
      </bottom>
      <diagonal style="thin">
        <color indexed="64"/>
      </diagonal>
    </border>
    <border diagonalUp="1">
      <left/>
      <right/>
      <top style="dashed">
        <color indexed="64"/>
      </top>
      <bottom style="double">
        <color indexed="64"/>
      </bottom>
      <diagonal style="thin">
        <color indexed="64"/>
      </diagonal>
    </border>
    <border diagonalUp="1">
      <left style="thin">
        <color indexed="64"/>
      </left>
      <right style="double">
        <color indexed="64"/>
      </right>
      <top style="dotted">
        <color indexed="64"/>
      </top>
      <bottom style="dotted">
        <color indexed="64"/>
      </bottom>
      <diagonal style="thin">
        <color indexed="64"/>
      </diagonal>
    </border>
    <border diagonalUp="1">
      <left style="thin">
        <color indexed="64"/>
      </left>
      <right style="double">
        <color indexed="64"/>
      </right>
      <top/>
      <bottom style="double">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diagonalUp="1">
      <left style="thin">
        <color indexed="64"/>
      </left>
      <right style="double">
        <color indexed="64"/>
      </right>
      <top style="dotted">
        <color indexed="64"/>
      </top>
      <bottom/>
      <diagonal style="thin">
        <color indexed="64"/>
      </diagonal>
    </border>
    <border>
      <left style="thin">
        <color indexed="64"/>
      </left>
      <right style="double">
        <color indexed="64"/>
      </right>
      <top style="thin">
        <color indexed="64"/>
      </top>
      <bottom style="thin">
        <color indexed="64"/>
      </bottom>
      <diagonal/>
    </border>
    <border diagonalUp="1">
      <left style="thin">
        <color indexed="64"/>
      </left>
      <right style="double">
        <color indexed="64"/>
      </right>
      <top style="dotted">
        <color indexed="64"/>
      </top>
      <bottom style="thin">
        <color indexed="64"/>
      </bottom>
      <diagonal style="thin">
        <color indexed="64"/>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ck">
        <color indexed="64"/>
      </left>
      <right style="thick">
        <color indexed="64"/>
      </right>
      <top style="double">
        <color indexed="64"/>
      </top>
      <bottom style="dotted">
        <color indexed="64"/>
      </bottom>
      <diagonal/>
    </border>
    <border>
      <left style="thick">
        <color indexed="64"/>
      </left>
      <right/>
      <top style="dashed">
        <color indexed="64"/>
      </top>
      <bottom style="dashed">
        <color indexed="64"/>
      </bottom>
      <diagonal/>
    </border>
    <border>
      <left style="thick">
        <color indexed="64"/>
      </left>
      <right style="thin">
        <color indexed="64"/>
      </right>
      <top style="dotted">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hair">
        <color indexed="64"/>
      </top>
      <bottom style="double">
        <color indexed="64"/>
      </bottom>
      <diagonal/>
    </border>
    <border>
      <left/>
      <right style="thick">
        <color indexed="64"/>
      </right>
      <top/>
      <bottom style="double">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ck">
        <color indexed="64"/>
      </left>
      <right style="thick">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top style="medium">
        <color indexed="64"/>
      </top>
      <bottom/>
      <diagonal/>
    </border>
    <border>
      <left style="hair">
        <color indexed="64"/>
      </left>
      <right/>
      <top/>
      <bottom/>
      <diagonal/>
    </border>
    <border>
      <left style="medium">
        <color rgb="FFBBBBBB"/>
      </left>
      <right style="medium">
        <color rgb="FFBBBBBB"/>
      </right>
      <top style="medium">
        <color rgb="FFBBBBBB"/>
      </top>
      <bottom style="medium">
        <color rgb="FFBBBBBB"/>
      </bottom>
      <diagonal/>
    </border>
    <border>
      <left style="medium">
        <color rgb="FFBBBBBB"/>
      </left>
      <right style="medium">
        <color rgb="FFBBBBBB"/>
      </right>
      <top/>
      <bottom style="medium">
        <color rgb="FFBBBBBB"/>
      </bottom>
      <diagonal/>
    </border>
    <border>
      <left style="medium">
        <color rgb="FFBBBBBB"/>
      </left>
      <right style="medium">
        <color rgb="FFBBBBBB"/>
      </right>
      <top style="medium">
        <color rgb="FFBBBBBB"/>
      </top>
      <bottom/>
      <diagonal/>
    </border>
    <border>
      <left style="medium">
        <color indexed="64"/>
      </left>
      <right/>
      <top/>
      <bottom/>
      <diagonal/>
    </border>
    <border>
      <left/>
      <right style="thin">
        <color indexed="64"/>
      </right>
      <top/>
      <bottom style="thick">
        <color indexed="64"/>
      </bottom>
      <diagonal/>
    </border>
    <border>
      <left/>
      <right style="medium">
        <color rgb="FFBBBBBB"/>
      </right>
      <top style="medium">
        <color rgb="FFBBBBBB"/>
      </top>
      <bottom style="medium">
        <color rgb="FFBBBBBB"/>
      </bottom>
      <diagonal/>
    </border>
    <border>
      <left/>
      <right style="medium">
        <color rgb="FFBBBBBB"/>
      </right>
      <top style="medium">
        <color rgb="FFBBBBBB"/>
      </top>
      <bottom/>
      <diagonal/>
    </border>
    <border>
      <left/>
      <right style="medium">
        <color rgb="FFBBBBBB"/>
      </right>
      <top/>
      <bottom style="medium">
        <color rgb="FFBBBBBB"/>
      </bottom>
      <diagonal/>
    </border>
    <border>
      <left/>
      <right style="medium">
        <color indexed="64"/>
      </right>
      <top style="thin">
        <color indexed="64"/>
      </top>
      <bottom/>
      <diagonal/>
    </border>
    <border>
      <left style="hair">
        <color indexed="64"/>
      </left>
      <right/>
      <top/>
      <bottom style="thin">
        <color indexed="64"/>
      </bottom>
      <diagonal/>
    </border>
    <border>
      <left style="thick">
        <color indexed="64"/>
      </left>
      <right/>
      <top style="dotted">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style="thick">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right/>
      <top style="thin">
        <color indexed="64"/>
      </top>
      <bottom style="dotted">
        <color indexed="64"/>
      </bottom>
      <diagonal/>
    </border>
    <border>
      <left style="thick">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ck">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dotted">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hair">
        <color indexed="64"/>
      </top>
      <bottom/>
      <diagonal/>
    </border>
    <border>
      <left style="double">
        <color indexed="64"/>
      </left>
      <right style="double">
        <color indexed="64"/>
      </right>
      <top/>
      <bottom style="double">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hair">
        <color indexed="64"/>
      </top>
      <bottom style="thin">
        <color indexed="64"/>
      </bottom>
      <diagonal/>
    </border>
    <border>
      <left style="thick">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ck">
        <color indexed="64"/>
      </right>
      <top style="dotted">
        <color indexed="64"/>
      </top>
      <bottom style="dashed">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000000"/>
      </left>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style="thin">
        <color rgb="FF000000"/>
      </left>
      <right/>
      <top style="thin">
        <color rgb="FF000000"/>
      </top>
      <bottom style="dotted">
        <color rgb="FF000000"/>
      </bottom>
      <diagonal/>
    </border>
    <border>
      <left/>
      <right style="thin">
        <color rgb="FF000000"/>
      </right>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uble">
        <color theme="8"/>
      </top>
      <bottom style="dotted">
        <color rgb="FF000000"/>
      </bottom>
      <diagonal/>
    </border>
    <border>
      <left/>
      <right/>
      <top style="double">
        <color theme="8"/>
      </top>
      <bottom style="dotted">
        <color rgb="FF000000"/>
      </bottom>
      <diagonal/>
    </border>
    <border>
      <left/>
      <right style="thin">
        <color rgb="FF000000"/>
      </right>
      <top style="double">
        <color theme="8"/>
      </top>
      <bottom style="dotted">
        <color rgb="FF000000"/>
      </bottom>
      <diagonal/>
    </border>
    <border>
      <left style="thin">
        <color rgb="FF000000"/>
      </left>
      <right/>
      <top style="double">
        <color theme="8"/>
      </top>
      <bottom/>
      <diagonal/>
    </border>
    <border>
      <left/>
      <right/>
      <top style="double">
        <color theme="8"/>
      </top>
      <bottom/>
      <diagonal/>
    </border>
    <border>
      <left/>
      <right style="thin">
        <color rgb="FF000000"/>
      </right>
      <top style="double">
        <color theme="8"/>
      </top>
      <bottom/>
      <diagonal/>
    </border>
    <border>
      <left style="thin">
        <color rgb="FF000000"/>
      </left>
      <right/>
      <top style="double">
        <color rgb="FFFF0000"/>
      </top>
      <bottom style="dotted">
        <color rgb="FF000000"/>
      </bottom>
      <diagonal/>
    </border>
    <border>
      <left/>
      <right/>
      <top style="double">
        <color rgb="FFFF0000"/>
      </top>
      <bottom style="dotted">
        <color rgb="FF000000"/>
      </bottom>
      <diagonal/>
    </border>
    <border>
      <left/>
      <right style="thin">
        <color rgb="FF000000"/>
      </right>
      <top style="double">
        <color rgb="FFFF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mediumDashed">
        <color indexed="64"/>
      </bottom>
      <diagonal/>
    </border>
    <border>
      <left style="hair">
        <color indexed="64"/>
      </left>
      <right style="hair">
        <color indexed="64"/>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right/>
      <top style="hair">
        <color indexed="64"/>
      </top>
      <bottom style="mediumDashed">
        <color indexed="64"/>
      </bottom>
      <diagonal/>
    </border>
    <border>
      <left/>
      <right style="thin">
        <color indexed="64"/>
      </right>
      <top style="hair">
        <color indexed="64"/>
      </top>
      <bottom style="mediumDashed">
        <color indexed="64"/>
      </bottom>
      <diagonal/>
    </border>
    <border>
      <left style="thin">
        <color indexed="64"/>
      </left>
      <right/>
      <top style="hair">
        <color indexed="64"/>
      </top>
      <bottom style="mediumDashed">
        <color indexed="64"/>
      </bottom>
      <diagonal/>
    </border>
    <border>
      <left style="medium">
        <color indexed="64"/>
      </left>
      <right style="hair">
        <color indexed="64"/>
      </right>
      <top style="hair">
        <color indexed="64"/>
      </top>
      <bottom style="mediumDashed">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hair">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dashDot">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ashDot">
        <color rgb="FF000000"/>
      </right>
      <top style="thin">
        <color rgb="FF000000"/>
      </top>
      <bottom style="thin">
        <color rgb="FF000000"/>
      </bottom>
      <diagonal/>
    </border>
    <border>
      <left style="dashDot">
        <color rgb="FF000000"/>
      </left>
      <right/>
      <top style="thin">
        <color rgb="FF000000"/>
      </top>
      <bottom style="dotted">
        <color rgb="FF000000"/>
      </bottom>
      <diagonal/>
    </border>
    <border>
      <left/>
      <right style="dashDot">
        <color rgb="FF000000"/>
      </right>
      <top style="thin">
        <color rgb="FF000000"/>
      </top>
      <bottom style="dotted">
        <color rgb="FF000000"/>
      </bottom>
      <diagonal/>
    </border>
    <border>
      <left style="dashDot">
        <color rgb="FF000000"/>
      </left>
      <right/>
      <top style="dotted">
        <color rgb="FF000000"/>
      </top>
      <bottom style="dotted">
        <color rgb="FF000000"/>
      </bottom>
      <diagonal/>
    </border>
    <border>
      <left/>
      <right style="dashDot">
        <color rgb="FF000000"/>
      </right>
      <top style="dotted">
        <color rgb="FF000000"/>
      </top>
      <bottom style="dotted">
        <color rgb="FF000000"/>
      </bottom>
      <diagonal/>
    </border>
    <border>
      <left style="dashDot">
        <color rgb="FF000000"/>
      </left>
      <right/>
      <top style="dotted">
        <color rgb="FF000000"/>
      </top>
      <bottom style="thin">
        <color rgb="FF000000"/>
      </bottom>
      <diagonal/>
    </border>
    <border>
      <left/>
      <right style="dashDot">
        <color rgb="FF000000"/>
      </right>
      <top style="dotted">
        <color rgb="FF000000"/>
      </top>
      <bottom style="thin">
        <color rgb="FF000000"/>
      </bottom>
      <diagonal/>
    </border>
    <border>
      <left style="dashDot">
        <color rgb="FF000000"/>
      </left>
      <right/>
      <top style="dotted">
        <color rgb="FF000000"/>
      </top>
      <bottom/>
      <diagonal/>
    </border>
    <border>
      <left style="dashDot">
        <color rgb="FF000000"/>
      </left>
      <right/>
      <top style="double">
        <color theme="8"/>
      </top>
      <bottom style="dotted">
        <color rgb="FF000000"/>
      </bottom>
      <diagonal/>
    </border>
    <border>
      <left style="dashDot">
        <color rgb="FF000000"/>
      </left>
      <right/>
      <top style="double">
        <color rgb="FFFF0000"/>
      </top>
      <bottom style="dotted">
        <color rgb="FF000000"/>
      </bottom>
      <diagonal/>
    </border>
    <border>
      <left style="dashDot">
        <color rgb="FF000000"/>
      </left>
      <right/>
      <top style="thin">
        <color rgb="FF000000"/>
      </top>
      <bottom/>
      <diagonal/>
    </border>
    <border>
      <left/>
      <right style="dashDot">
        <color rgb="FF000000"/>
      </right>
      <top style="thin">
        <color rgb="FF000000"/>
      </top>
      <bottom/>
      <diagonal/>
    </border>
    <border>
      <left/>
      <right style="dashDot">
        <color rgb="FF000000"/>
      </right>
      <top style="thin">
        <color indexed="64"/>
      </top>
      <bottom style="dotted">
        <color indexed="64"/>
      </bottom>
      <diagonal/>
    </border>
    <border>
      <left/>
      <right style="dashDot">
        <color rgb="FF000000"/>
      </right>
      <top style="dotted">
        <color indexed="64"/>
      </top>
      <bottom style="dotted">
        <color indexed="64"/>
      </bottom>
      <diagonal/>
    </border>
    <border>
      <left/>
      <right style="dashDot">
        <color rgb="FF000000"/>
      </right>
      <top style="dotted">
        <color indexed="64"/>
      </top>
      <bottom style="thin">
        <color indexed="64"/>
      </bottom>
      <diagonal/>
    </border>
    <border>
      <left style="dashDot">
        <color rgb="FF000000"/>
      </left>
      <right/>
      <top/>
      <bottom style="dotted">
        <color rgb="FF000000"/>
      </bottom>
      <diagonal/>
    </border>
    <border>
      <left/>
      <right style="dashDot">
        <color rgb="FF000000"/>
      </right>
      <top/>
      <bottom style="dotted">
        <color rgb="FF000000"/>
      </bottom>
      <diagonal/>
    </border>
    <border>
      <left style="dashDot">
        <color indexed="64"/>
      </left>
      <right style="thin">
        <color indexed="64"/>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left style="dashDot">
        <color indexed="64"/>
      </left>
      <right/>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mediumDashed">
        <color indexed="64"/>
      </top>
      <bottom style="hair">
        <color indexed="64"/>
      </bottom>
      <diagonal/>
    </border>
    <border>
      <left style="thin">
        <color indexed="64"/>
      </left>
      <right style="hair">
        <color indexed="64"/>
      </right>
      <top style="mediumDashed">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30"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62" fillId="0" borderId="0" applyNumberFormat="0" applyFill="0" applyBorder="0" applyAlignment="0" applyProtection="0">
      <alignment vertical="center"/>
    </xf>
    <xf numFmtId="6" fontId="30"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212" fillId="0" borderId="0"/>
  </cellStyleXfs>
  <cellXfs count="2771">
    <xf numFmtId="0" fontId="0" fillId="0" borderId="0" xfId="0">
      <alignment vertical="center"/>
    </xf>
    <xf numFmtId="0" fontId="34" fillId="0" borderId="0" xfId="0" applyFont="1" applyAlignment="1">
      <alignment vertical="center" wrapText="1"/>
    </xf>
    <xf numFmtId="0" fontId="40" fillId="0" borderId="0" xfId="0" applyFont="1">
      <alignment vertical="center"/>
    </xf>
    <xf numFmtId="0" fontId="17" fillId="0" borderId="0" xfId="0" applyFont="1">
      <alignment vertical="center"/>
    </xf>
    <xf numFmtId="0" fontId="39" fillId="0" borderId="0" xfId="0" applyFont="1" applyAlignment="1">
      <alignment vertical="top" wrapText="1"/>
    </xf>
    <xf numFmtId="0" fontId="43"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xf numFmtId="0" fontId="37" fillId="0" borderId="0" xfId="0" applyFont="1" applyAlignment="1"/>
    <xf numFmtId="0" fontId="36" fillId="0" borderId="0" xfId="0" applyFont="1" applyAlignment="1"/>
    <xf numFmtId="0" fontId="17" fillId="0" borderId="0" xfId="0" applyFont="1" applyAlignment="1">
      <alignment horizontal="left" vertical="center" wrapText="1"/>
    </xf>
    <xf numFmtId="0" fontId="21" fillId="0" borderId="0" xfId="0" applyFont="1">
      <alignment vertical="center"/>
    </xf>
    <xf numFmtId="49" fontId="47" fillId="0" borderId="0" xfId="0" applyNumberFormat="1" applyFont="1" applyAlignment="1">
      <alignment horizontal="center" vertical="center"/>
    </xf>
    <xf numFmtId="0" fontId="33" fillId="0" borderId="0" xfId="0" applyFont="1">
      <alignment vertical="center"/>
    </xf>
    <xf numFmtId="49" fontId="33" fillId="0" borderId="0" xfId="0" applyNumberFormat="1" applyFont="1">
      <alignment vertical="center"/>
    </xf>
    <xf numFmtId="0" fontId="35" fillId="0" borderId="0" xfId="0" applyFont="1">
      <alignment vertical="center"/>
    </xf>
    <xf numFmtId="0" fontId="26" fillId="0" borderId="0" xfId="0" applyFont="1">
      <alignment vertical="center"/>
    </xf>
    <xf numFmtId="0" fontId="41" fillId="0" borderId="0" xfId="0" applyFont="1">
      <alignment vertical="center"/>
    </xf>
    <xf numFmtId="0" fontId="49" fillId="0" borderId="0" xfId="0" applyFont="1" applyProtection="1">
      <alignment vertical="center"/>
      <protection hidden="1"/>
    </xf>
    <xf numFmtId="0" fontId="8"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vertical="center" shrinkToFit="1"/>
    </xf>
    <xf numFmtId="38" fontId="18" fillId="0" borderId="0" xfId="3" applyFont="1" applyFill="1" applyBorder="1" applyAlignment="1" applyProtection="1">
      <alignment horizontal="left" shrinkToFit="1"/>
    </xf>
    <xf numFmtId="0" fontId="5" fillId="0" borderId="0" xfId="0" applyFont="1">
      <alignment vertical="center"/>
    </xf>
    <xf numFmtId="0" fontId="45" fillId="0" borderId="0" xfId="0" applyFont="1" applyAlignment="1">
      <alignment horizontal="center" vertical="center"/>
    </xf>
    <xf numFmtId="0" fontId="49" fillId="0" borderId="0" xfId="0" applyFont="1">
      <alignment vertical="center"/>
    </xf>
    <xf numFmtId="0" fontId="49" fillId="0" borderId="0" xfId="0" applyFont="1" applyAlignment="1">
      <alignment horizontal="center" vertical="center"/>
    </xf>
    <xf numFmtId="0" fontId="22" fillId="0" borderId="0" xfId="0" applyFont="1" applyAlignment="1"/>
    <xf numFmtId="0" fontId="24" fillId="0" borderId="0" xfId="0" applyFont="1">
      <alignment vertical="center"/>
    </xf>
    <xf numFmtId="38" fontId="36" fillId="0" borderId="0" xfId="0" applyNumberFormat="1" applyFont="1" applyAlignment="1"/>
    <xf numFmtId="0" fontId="0" fillId="0" borderId="0" xfId="0" applyProtection="1">
      <alignment vertical="center"/>
      <protection hidden="1"/>
    </xf>
    <xf numFmtId="0" fontId="38" fillId="0" borderId="0" xfId="0" applyFont="1">
      <alignment vertical="center"/>
    </xf>
    <xf numFmtId="0" fontId="40" fillId="0" borderId="2" xfId="0" applyFont="1" applyBorder="1">
      <alignment vertical="center"/>
    </xf>
    <xf numFmtId="38" fontId="52" fillId="0" borderId="0" xfId="3" applyFont="1" applyFill="1" applyBorder="1" applyAlignment="1" applyProtection="1">
      <alignment horizontal="center"/>
    </xf>
    <xf numFmtId="0" fontId="52" fillId="0" borderId="0" xfId="0" applyFont="1" applyAlignment="1"/>
    <xf numFmtId="6" fontId="53" fillId="0" borderId="0" xfId="6" applyFont="1" applyFill="1" applyBorder="1" applyAlignment="1" applyProtection="1">
      <alignment vertical="top" wrapText="1"/>
    </xf>
    <xf numFmtId="0" fontId="53" fillId="0" borderId="0" xfId="0" applyFont="1" applyAlignment="1">
      <alignment vertical="center" wrapText="1"/>
    </xf>
    <xf numFmtId="38" fontId="52" fillId="0" borderId="0" xfId="0" applyNumberFormat="1" applyFont="1" applyAlignment="1"/>
    <xf numFmtId="0" fontId="54" fillId="0" borderId="0" xfId="0" applyFont="1">
      <alignment vertical="center"/>
    </xf>
    <xf numFmtId="0" fontId="55" fillId="0" borderId="0" xfId="0" applyFont="1" applyAlignment="1"/>
    <xf numFmtId="178" fontId="52" fillId="0" borderId="0" xfId="0" applyNumberFormat="1" applyFont="1" applyAlignment="1">
      <alignment horizontal="center" vertical="center" shrinkToFit="1"/>
    </xf>
    <xf numFmtId="178" fontId="55" fillId="0" borderId="0" xfId="3" applyNumberFormat="1" applyFont="1" applyFill="1" applyBorder="1" applyAlignment="1" applyProtection="1">
      <alignment horizontal="center" vertical="center" shrinkToFit="1"/>
    </xf>
    <xf numFmtId="0" fontId="53" fillId="0" borderId="0" xfId="0" applyFont="1" applyAlignment="1">
      <alignment horizontal="center" vertical="center"/>
    </xf>
    <xf numFmtId="178" fontId="53" fillId="0" borderId="0" xfId="0" applyNumberFormat="1" applyFont="1" applyAlignment="1">
      <alignment horizontal="right" vertical="center"/>
    </xf>
    <xf numFmtId="0" fontId="53" fillId="0" borderId="0" xfId="0" applyFont="1" applyAlignment="1">
      <alignment horizontal="right" vertical="center"/>
    </xf>
    <xf numFmtId="178" fontId="53" fillId="0" borderId="0" xfId="0" applyNumberFormat="1" applyFont="1" applyAlignment="1">
      <alignment horizontal="center" vertical="center"/>
    </xf>
    <xf numFmtId="38" fontId="53" fillId="0" borderId="0" xfId="3" applyFont="1" applyFill="1" applyBorder="1" applyAlignment="1" applyProtection="1">
      <alignment horizontal="center" vertical="center"/>
    </xf>
    <xf numFmtId="178" fontId="55" fillId="0" borderId="0" xfId="0" applyNumberFormat="1" applyFont="1" applyAlignment="1">
      <alignment vertical="center" shrinkToFit="1"/>
    </xf>
    <xf numFmtId="178" fontId="55" fillId="0" borderId="0" xfId="0" applyNumberFormat="1" applyFont="1" applyAlignment="1">
      <alignment horizontal="center" vertical="center" shrinkToFit="1"/>
    </xf>
    <xf numFmtId="178" fontId="55" fillId="0" borderId="0" xfId="3" applyNumberFormat="1" applyFont="1" applyFill="1" applyBorder="1" applyAlignment="1" applyProtection="1">
      <alignment vertical="center" shrinkToFit="1"/>
    </xf>
    <xf numFmtId="176" fontId="51" fillId="0" borderId="0" xfId="0" applyNumberFormat="1" applyFont="1" applyAlignment="1">
      <alignment horizontal="center" vertical="center" shrinkToFit="1"/>
    </xf>
    <xf numFmtId="176" fontId="51" fillId="0" borderId="0" xfId="3" applyNumberFormat="1" applyFont="1" applyFill="1" applyBorder="1" applyAlignment="1" applyProtection="1">
      <alignment horizontal="right" vertical="center" shrinkToFit="1"/>
    </xf>
    <xf numFmtId="0" fontId="56" fillId="0" borderId="0" xfId="0" applyFont="1" applyAlignment="1">
      <alignment vertical="center" wrapText="1"/>
    </xf>
    <xf numFmtId="0" fontId="56" fillId="0" borderId="0" xfId="0" applyFont="1">
      <alignment vertical="center"/>
    </xf>
    <xf numFmtId="0" fontId="48" fillId="0" borderId="0" xfId="0" applyFont="1" applyAlignment="1">
      <alignment horizontal="center" vertical="center"/>
    </xf>
    <xf numFmtId="0" fontId="31" fillId="0" borderId="0" xfId="0" applyFont="1" applyAlignment="1" applyProtection="1">
      <alignment horizontal="right" vertical="center"/>
      <protection locked="0"/>
    </xf>
    <xf numFmtId="38" fontId="31" fillId="0" borderId="0" xfId="3" applyFont="1" applyFill="1" applyBorder="1" applyAlignment="1" applyProtection="1">
      <alignment horizontal="right" vertical="center"/>
      <protection locked="0"/>
    </xf>
    <xf numFmtId="0" fontId="31" fillId="0" borderId="0" xfId="0" applyFont="1" applyAlignment="1">
      <alignment horizontal="center" vertical="center"/>
    </xf>
    <xf numFmtId="179" fontId="55" fillId="0" borderId="0" xfId="3" applyNumberFormat="1" applyFont="1" applyFill="1" applyBorder="1" applyAlignment="1" applyProtection="1">
      <alignment horizontal="right" vertical="center" shrinkToFit="1"/>
    </xf>
    <xf numFmtId="0" fontId="51" fillId="0" borderId="0" xfId="0" applyFont="1" applyAlignment="1">
      <alignment horizontal="center" vertical="center"/>
    </xf>
    <xf numFmtId="180" fontId="51" fillId="0" borderId="0" xfId="0" applyNumberFormat="1" applyFont="1" applyAlignment="1">
      <alignment horizontal="center" vertical="center" shrinkToFit="1"/>
    </xf>
    <xf numFmtId="180" fontId="55" fillId="0" borderId="0" xfId="3" applyNumberFormat="1" applyFont="1" applyFill="1" applyBorder="1" applyAlignment="1" applyProtection="1">
      <alignment horizontal="right" vertical="center" shrinkToFit="1"/>
    </xf>
    <xf numFmtId="180" fontId="51" fillId="0" borderId="0" xfId="3" applyNumberFormat="1" applyFont="1" applyFill="1" applyBorder="1" applyAlignment="1" applyProtection="1">
      <alignment vertical="center" shrinkToFit="1"/>
    </xf>
    <xf numFmtId="49" fontId="55" fillId="0" borderId="0" xfId="3" applyNumberFormat="1" applyFont="1" applyFill="1" applyBorder="1" applyAlignment="1" applyProtection="1">
      <alignment horizontal="center" vertical="center" shrinkToFit="1"/>
    </xf>
    <xf numFmtId="38" fontId="55" fillId="0" borderId="0" xfId="3" applyFont="1" applyFill="1" applyBorder="1" applyAlignment="1" applyProtection="1">
      <alignment horizontal="right" vertical="center" shrinkToFit="1"/>
    </xf>
    <xf numFmtId="180" fontId="55" fillId="0" borderId="0" xfId="3" applyNumberFormat="1" applyFont="1" applyFill="1" applyBorder="1" applyAlignment="1" applyProtection="1">
      <alignment vertical="center" shrinkToFit="1"/>
    </xf>
    <xf numFmtId="176" fontId="51" fillId="0" borderId="0" xfId="0" applyNumberFormat="1" applyFont="1" applyAlignment="1">
      <alignment vertical="center" shrinkToFit="1"/>
    </xf>
    <xf numFmtId="182" fontId="51" fillId="0" borderId="0" xfId="3" applyNumberFormat="1" applyFont="1" applyFill="1" applyBorder="1" applyAlignment="1" applyProtection="1">
      <alignment vertical="center" shrinkToFit="1"/>
    </xf>
    <xf numFmtId="180" fontId="55" fillId="0" borderId="0" xfId="3" applyNumberFormat="1" applyFont="1" applyFill="1" applyBorder="1" applyAlignment="1" applyProtection="1">
      <alignment horizontal="center" vertical="center" shrinkToFit="1"/>
    </xf>
    <xf numFmtId="176" fontId="51" fillId="0" borderId="0" xfId="3" applyNumberFormat="1" applyFont="1" applyFill="1" applyBorder="1" applyAlignment="1" applyProtection="1">
      <alignment vertical="center" shrinkToFit="1"/>
    </xf>
    <xf numFmtId="0" fontId="51" fillId="0" borderId="0" xfId="0" applyFont="1" applyAlignment="1">
      <alignment horizontal="center" vertical="center" shrinkToFit="1"/>
    </xf>
    <xf numFmtId="0" fontId="57" fillId="0" borderId="0" xfId="0" applyFont="1" applyAlignment="1">
      <alignment vertical="top" shrinkToFit="1"/>
    </xf>
    <xf numFmtId="177" fontId="57" fillId="0" borderId="0" xfId="0" applyNumberFormat="1" applyFont="1" applyAlignment="1">
      <alignment vertical="top" shrinkToFit="1"/>
    </xf>
    <xf numFmtId="0" fontId="54" fillId="0" borderId="0" xfId="0" applyFont="1" applyAlignment="1">
      <alignment vertical="center" wrapText="1"/>
    </xf>
    <xf numFmtId="0" fontId="53" fillId="0" borderId="0" xfId="0" applyFont="1">
      <alignment vertical="center"/>
    </xf>
    <xf numFmtId="178" fontId="51" fillId="0" borderId="0" xfId="0" applyNumberFormat="1" applyFont="1" applyAlignment="1">
      <alignment vertical="center" shrinkToFit="1"/>
    </xf>
    <xf numFmtId="0" fontId="53" fillId="0" borderId="0" xfId="0" applyFont="1" applyAlignment="1">
      <alignment vertical="center" shrinkToFit="1"/>
    </xf>
    <xf numFmtId="178" fontId="58" fillId="0" borderId="0" xfId="0" applyNumberFormat="1" applyFont="1" applyAlignment="1">
      <alignment vertical="center" textRotation="255"/>
    </xf>
    <xf numFmtId="178" fontId="31" fillId="0" borderId="0" xfId="0" applyNumberFormat="1" applyFont="1" applyAlignment="1">
      <alignment vertical="center" shrinkToFit="1"/>
    </xf>
    <xf numFmtId="0" fontId="52" fillId="0" borderId="0" xfId="0" applyFont="1" applyAlignment="1">
      <alignment vertical="center" wrapText="1"/>
    </xf>
    <xf numFmtId="178" fontId="48" fillId="0" borderId="0" xfId="0" applyNumberFormat="1" applyFont="1" applyAlignment="1">
      <alignment vertical="center" shrinkToFit="1"/>
    </xf>
    <xf numFmtId="178" fontId="53" fillId="0" borderId="0" xfId="0" applyNumberFormat="1" applyFont="1">
      <alignment vertical="center"/>
    </xf>
    <xf numFmtId="0" fontId="31" fillId="0" borderId="0" xfId="0" applyFont="1">
      <alignment vertical="center"/>
    </xf>
    <xf numFmtId="178" fontId="55" fillId="0" borderId="0" xfId="0" applyNumberFormat="1" applyFont="1" applyAlignment="1">
      <alignment vertical="center" textRotation="255" shrinkToFit="1"/>
    </xf>
    <xf numFmtId="0" fontId="59" fillId="0" borderId="0" xfId="0" applyFont="1" applyAlignment="1">
      <alignment vertical="center" wrapText="1"/>
    </xf>
    <xf numFmtId="176" fontId="51" fillId="0" borderId="0" xfId="0" applyNumberFormat="1" applyFont="1" applyAlignment="1" applyProtection="1">
      <alignment vertical="center" shrinkToFit="1"/>
      <protection locked="0"/>
    </xf>
    <xf numFmtId="0" fontId="48" fillId="0" borderId="0" xfId="0" applyFont="1">
      <alignment vertical="center"/>
    </xf>
    <xf numFmtId="0" fontId="48" fillId="0" borderId="0" xfId="0" applyFont="1" applyAlignment="1">
      <alignment vertical="center" textRotation="255" wrapText="1" shrinkToFit="1"/>
    </xf>
    <xf numFmtId="0" fontId="48" fillId="0" borderId="0" xfId="0" applyFont="1" applyAlignment="1">
      <alignment vertical="center" justifyLastLine="1"/>
    </xf>
    <xf numFmtId="0" fontId="53" fillId="0" borderId="0" xfId="0" applyFont="1" applyAlignment="1" applyProtection="1">
      <alignment vertical="center" justifyLastLine="1"/>
      <protection locked="0"/>
    </xf>
    <xf numFmtId="6" fontId="54" fillId="0" borderId="0" xfId="6" applyFont="1" applyFill="1" applyBorder="1" applyAlignment="1" applyProtection="1">
      <alignment vertical="center" wrapText="1"/>
    </xf>
    <xf numFmtId="0" fontId="58" fillId="0" borderId="0" xfId="0" applyFont="1" applyAlignment="1">
      <alignment vertical="center" textRotation="255"/>
    </xf>
    <xf numFmtId="0" fontId="31" fillId="0" borderId="0" xfId="0" applyFont="1" applyAlignment="1">
      <alignment vertical="center" wrapText="1" shrinkToFit="1"/>
    </xf>
    <xf numFmtId="0" fontId="31" fillId="0" borderId="0" xfId="0" applyFont="1" applyAlignment="1">
      <alignment vertical="center" shrinkToFit="1"/>
    </xf>
    <xf numFmtId="0" fontId="31" fillId="0" borderId="0" xfId="0" applyFont="1" applyAlignment="1">
      <alignment vertical="center" wrapText="1"/>
    </xf>
    <xf numFmtId="38" fontId="55" fillId="0" borderId="0" xfId="3" applyFont="1" applyFill="1" applyBorder="1" applyAlignment="1" applyProtection="1"/>
    <xf numFmtId="38" fontId="31" fillId="0" borderId="0" xfId="3" applyFont="1" applyFill="1" applyBorder="1" applyAlignment="1" applyProtection="1"/>
    <xf numFmtId="0" fontId="48" fillId="0" borderId="0" xfId="0" applyFont="1" applyAlignment="1">
      <alignment vertical="center" textRotation="255" shrinkToFit="1"/>
    </xf>
    <xf numFmtId="0" fontId="51" fillId="0" borderId="0" xfId="0" applyFont="1" applyProtection="1">
      <alignment vertical="center"/>
      <protection locked="0"/>
    </xf>
    <xf numFmtId="0" fontId="31" fillId="0" borderId="0" xfId="0" applyFont="1" applyAlignment="1" applyProtection="1">
      <alignment vertical="center" shrinkToFit="1"/>
      <protection locked="0"/>
    </xf>
    <xf numFmtId="180" fontId="51" fillId="0" borderId="0" xfId="0" applyNumberFormat="1" applyFont="1" applyAlignment="1" applyProtection="1">
      <alignment vertical="center" shrinkToFit="1"/>
      <protection locked="0"/>
    </xf>
    <xf numFmtId="178" fontId="48" fillId="0" borderId="0" xfId="0" applyNumberFormat="1" applyFont="1" applyAlignment="1" applyProtection="1">
      <alignment vertical="center" shrinkToFit="1"/>
      <protection locked="0"/>
    </xf>
    <xf numFmtId="0" fontId="31" fillId="0" borderId="0" xfId="0" applyFont="1" applyAlignment="1" applyProtection="1">
      <alignment vertical="center" wrapText="1" shrinkToFit="1"/>
      <protection locked="0"/>
    </xf>
    <xf numFmtId="0" fontId="55" fillId="0" borderId="0" xfId="0" applyFont="1" applyAlignment="1">
      <alignment vertical="center" shrinkToFit="1"/>
    </xf>
    <xf numFmtId="180" fontId="51" fillId="0" borderId="0" xfId="0" applyNumberFormat="1" applyFont="1" applyAlignment="1">
      <alignment vertical="center" shrinkToFit="1"/>
    </xf>
    <xf numFmtId="0" fontId="55" fillId="0" borderId="0" xfId="0" applyFont="1" applyAlignment="1">
      <alignment vertical="center" textRotation="255"/>
    </xf>
    <xf numFmtId="0" fontId="31" fillId="0" borderId="0" xfId="0" applyFont="1" applyAlignment="1">
      <alignment vertical="distributed" textRotation="255" justifyLastLine="1"/>
    </xf>
    <xf numFmtId="0" fontId="53" fillId="0" borderId="0" xfId="0" applyFont="1" applyAlignment="1">
      <alignment vertical="center" textRotation="255" wrapText="1"/>
    </xf>
    <xf numFmtId="0" fontId="31" fillId="0" borderId="0" xfId="0" applyFont="1" applyAlignment="1">
      <alignment vertical="center" justifyLastLine="1"/>
    </xf>
    <xf numFmtId="0" fontId="31" fillId="0" borderId="0" xfId="0" applyFont="1" applyAlignment="1">
      <alignment vertical="center" wrapText="1" justifyLastLine="1"/>
    </xf>
    <xf numFmtId="0" fontId="51" fillId="0" borderId="0" xfId="0" applyFont="1" applyAlignment="1">
      <alignment vertical="center" shrinkToFit="1"/>
    </xf>
    <xf numFmtId="0" fontId="0" fillId="0" borderId="0" xfId="0" applyAlignment="1">
      <alignment horizontal="center" vertical="center"/>
    </xf>
    <xf numFmtId="178" fontId="0" fillId="0" borderId="0" xfId="0" applyNumberFormat="1" applyAlignment="1">
      <alignment vertical="center" shrinkToFit="1"/>
    </xf>
    <xf numFmtId="0" fontId="32" fillId="0" borderId="63" xfId="0" applyFont="1" applyBorder="1" applyAlignment="1">
      <alignment horizontal="center" vertical="center"/>
    </xf>
    <xf numFmtId="178" fontId="0" fillId="0" borderId="0" xfId="0" applyNumberFormat="1">
      <alignment vertical="center"/>
    </xf>
    <xf numFmtId="0" fontId="10" fillId="0" borderId="0" xfId="0" applyFont="1">
      <alignment vertical="center"/>
    </xf>
    <xf numFmtId="0" fontId="0" fillId="0" borderId="63" xfId="0" applyBorder="1">
      <alignment vertical="center"/>
    </xf>
    <xf numFmtId="0" fontId="11" fillId="0" borderId="63" xfId="0" applyFont="1" applyBorder="1">
      <alignment vertical="center"/>
    </xf>
    <xf numFmtId="0" fontId="0" fillId="0" borderId="0" xfId="0" applyAlignment="1">
      <alignment horizontal="right" vertical="center"/>
    </xf>
    <xf numFmtId="0" fontId="11" fillId="0" borderId="0" xfId="0" applyFont="1" applyAlignment="1">
      <alignment horizontal="right" vertical="center"/>
    </xf>
    <xf numFmtId="0" fontId="11" fillId="0" borderId="0" xfId="0" applyFont="1">
      <alignment vertical="center"/>
    </xf>
    <xf numFmtId="0" fontId="12"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shrinkToFit="1"/>
    </xf>
    <xf numFmtId="0" fontId="38" fillId="0" borderId="0" xfId="0" applyFont="1" applyAlignment="1">
      <alignment vertical="center" justifyLastLine="1"/>
    </xf>
    <xf numFmtId="0" fontId="0" fillId="0" borderId="0" xfId="0" applyProtection="1">
      <alignment vertical="center"/>
      <protection locked="0"/>
    </xf>
    <xf numFmtId="0" fontId="49" fillId="0" borderId="0" xfId="0" applyFont="1" applyProtection="1">
      <alignment vertical="center"/>
      <protection locked="0"/>
    </xf>
    <xf numFmtId="49" fontId="63" fillId="4" borderId="0" xfId="0" applyNumberFormat="1" applyFont="1" applyFill="1" applyAlignment="1" applyProtection="1">
      <alignment horizontal="center" vertical="center"/>
      <protection locked="0"/>
    </xf>
    <xf numFmtId="49" fontId="63" fillId="4" borderId="0" xfId="0" applyNumberFormat="1" applyFont="1" applyFill="1" applyProtection="1">
      <alignment vertical="center"/>
      <protection locked="0"/>
    </xf>
    <xf numFmtId="0" fontId="41" fillId="0" borderId="0" xfId="0" applyFont="1" applyAlignment="1">
      <alignment horizontal="center" vertical="center" shrinkToFit="1"/>
    </xf>
    <xf numFmtId="0" fontId="52" fillId="0" borderId="0" xfId="0" applyFont="1" applyAlignment="1" applyProtection="1">
      <protection locked="0"/>
    </xf>
    <xf numFmtId="0" fontId="6" fillId="0" borderId="0" xfId="0" applyFont="1" applyAlignment="1">
      <alignment vertical="center" shrinkToFit="1"/>
    </xf>
    <xf numFmtId="0" fontId="9"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6" fillId="0" borderId="0" xfId="0" applyFont="1" applyAlignment="1">
      <alignment horizontal="right" vertical="center" shrinkToFit="1"/>
    </xf>
    <xf numFmtId="0" fontId="14" fillId="0" borderId="0" xfId="0" applyFont="1" applyAlignment="1">
      <alignment horizontal="center" vertical="center" shrinkToFit="1"/>
    </xf>
    <xf numFmtId="0" fontId="13" fillId="0" borderId="0" xfId="0" applyFont="1" applyAlignment="1">
      <alignment horizontal="center" vertical="center" shrinkToFit="1"/>
    </xf>
    <xf numFmtId="0" fontId="6" fillId="0" borderId="0" xfId="0" applyFont="1" applyAlignment="1">
      <alignment horizontal="center" vertical="center" shrinkToFit="1"/>
    </xf>
    <xf numFmtId="0" fontId="14" fillId="0" borderId="0" xfId="0" applyFont="1" applyAlignment="1">
      <alignment vertical="center" shrinkToFit="1"/>
    </xf>
    <xf numFmtId="0" fontId="0" fillId="0" borderId="63" xfId="0" applyBorder="1" applyAlignment="1">
      <alignment horizontal="left" vertical="center"/>
    </xf>
    <xf numFmtId="0" fontId="0" fillId="0" borderId="63" xfId="0" applyBorder="1" applyAlignment="1">
      <alignment horizontal="center" vertical="center"/>
    </xf>
    <xf numFmtId="0" fontId="44" fillId="0" borderId="0" xfId="0" applyFont="1" applyAlignment="1">
      <alignment horizontal="center" vertical="center"/>
    </xf>
    <xf numFmtId="0" fontId="45" fillId="0" borderId="0" xfId="0" applyFont="1" applyAlignment="1">
      <alignment vertical="center" shrinkToFit="1"/>
    </xf>
    <xf numFmtId="0" fontId="37" fillId="0" borderId="0" xfId="0" applyFont="1" applyAlignment="1">
      <alignment vertical="center" justifyLastLine="1"/>
    </xf>
    <xf numFmtId="0" fontId="42" fillId="0" borderId="0" xfId="0" applyFont="1">
      <alignment vertical="center"/>
    </xf>
    <xf numFmtId="0" fontId="37" fillId="0" borderId="0" xfId="0" applyFont="1" applyAlignment="1">
      <alignment vertical="center" wrapText="1" justifyLastLine="1"/>
    </xf>
    <xf numFmtId="178" fontId="35" fillId="0" borderId="0" xfId="0" applyNumberFormat="1" applyFont="1" applyAlignment="1">
      <alignment vertical="center" shrinkToFit="1"/>
    </xf>
    <xf numFmtId="0" fontId="44" fillId="0" borderId="0" xfId="0" applyFont="1" applyAlignment="1">
      <alignment vertical="center" textRotation="255" wrapText="1"/>
    </xf>
    <xf numFmtId="0" fontId="67" fillId="0" borderId="63" xfId="0" applyFont="1" applyBorder="1" applyAlignment="1">
      <alignment horizontal="left" vertical="center"/>
    </xf>
    <xf numFmtId="0" fontId="67" fillId="0" borderId="63" xfId="0" applyFont="1" applyBorder="1" applyAlignment="1">
      <alignment horizontal="center" vertical="center"/>
    </xf>
    <xf numFmtId="0" fontId="69" fillId="0" borderId="0" xfId="0" applyFont="1" applyAlignment="1">
      <alignment horizontal="center" vertical="center"/>
    </xf>
    <xf numFmtId="0" fontId="67" fillId="0" borderId="0" xfId="0" applyFont="1">
      <alignment vertical="center"/>
    </xf>
    <xf numFmtId="0" fontId="67" fillId="0" borderId="63" xfId="0" applyFont="1" applyBorder="1">
      <alignment vertical="center"/>
    </xf>
    <xf numFmtId="0" fontId="72" fillId="0" borderId="63" xfId="0" applyFont="1" applyBorder="1" applyAlignment="1" applyProtection="1">
      <alignment horizontal="center" vertical="center"/>
      <protection locked="0"/>
    </xf>
    <xf numFmtId="0" fontId="72" fillId="0" borderId="63" xfId="0" applyFont="1" applyBorder="1" applyAlignment="1" applyProtection="1">
      <alignment horizontal="right" vertical="center"/>
      <protection locked="0"/>
    </xf>
    <xf numFmtId="0" fontId="72" fillId="0" borderId="63" xfId="0" applyFont="1" applyBorder="1" applyProtection="1">
      <alignment vertical="center"/>
      <protection locked="0"/>
    </xf>
    <xf numFmtId="190" fontId="72" fillId="0" borderId="63" xfId="0" applyNumberFormat="1" applyFont="1" applyBorder="1" applyAlignment="1" applyProtection="1">
      <alignment horizontal="center" vertical="center"/>
      <protection locked="0"/>
    </xf>
    <xf numFmtId="0" fontId="75" fillId="4" borderId="55" xfId="0" applyFont="1" applyFill="1" applyBorder="1" applyAlignment="1">
      <alignment horizontal="center" vertical="center" shrinkToFit="1"/>
    </xf>
    <xf numFmtId="0" fontId="81" fillId="0" borderId="0" xfId="0" applyFont="1" applyAlignment="1">
      <alignment horizontal="center" vertical="center"/>
    </xf>
    <xf numFmtId="0" fontId="82" fillId="0" borderId="0" xfId="0" applyFont="1" applyAlignment="1">
      <alignment horizontal="center" vertical="center"/>
    </xf>
    <xf numFmtId="49" fontId="78" fillId="0" borderId="8" xfId="0" applyNumberFormat="1" applyFont="1" applyBorder="1">
      <alignment vertical="center"/>
    </xf>
    <xf numFmtId="49" fontId="78" fillId="0" borderId="8" xfId="0" applyNumberFormat="1" applyFont="1" applyBorder="1" applyAlignment="1">
      <alignment horizontal="center" vertical="center"/>
    </xf>
    <xf numFmtId="49" fontId="81" fillId="0" borderId="8" xfId="0" applyNumberFormat="1" applyFont="1" applyBorder="1">
      <alignment vertical="center"/>
    </xf>
    <xf numFmtId="49" fontId="83" fillId="4" borderId="8" xfId="0" applyNumberFormat="1" applyFont="1" applyFill="1" applyBorder="1" applyAlignment="1">
      <alignment horizontal="center" vertical="center"/>
    </xf>
    <xf numFmtId="49" fontId="83" fillId="4" borderId="8" xfId="0" applyNumberFormat="1" applyFont="1" applyFill="1" applyBorder="1">
      <alignment vertical="center"/>
    </xf>
    <xf numFmtId="49" fontId="81" fillId="0" borderId="7" xfId="0" applyNumberFormat="1" applyFont="1" applyBorder="1" applyAlignment="1">
      <alignment horizontal="center" vertical="center"/>
    </xf>
    <xf numFmtId="49" fontId="85" fillId="0" borderId="6" xfId="0" applyNumberFormat="1" applyFont="1" applyBorder="1" applyAlignment="1">
      <alignment horizontal="center" vertical="center"/>
    </xf>
    <xf numFmtId="49" fontId="85" fillId="0" borderId="5" xfId="0" applyNumberFormat="1" applyFont="1" applyBorder="1" applyAlignment="1">
      <alignment horizontal="center" vertical="center"/>
    </xf>
    <xf numFmtId="0" fontId="87" fillId="0" borderId="0" xfId="0" applyFont="1" applyAlignment="1">
      <alignment horizontal="center" vertical="center"/>
    </xf>
    <xf numFmtId="0" fontId="87" fillId="0" borderId="0" xfId="0" applyFont="1">
      <alignment vertical="center"/>
    </xf>
    <xf numFmtId="0" fontId="78" fillId="0" borderId="0" xfId="0" applyFont="1" applyAlignment="1">
      <alignment vertical="center" wrapText="1"/>
    </xf>
    <xf numFmtId="0" fontId="86" fillId="0" borderId="0" xfId="0" applyFont="1" applyAlignment="1">
      <alignment horizontal="center" vertical="center" wrapText="1"/>
    </xf>
    <xf numFmtId="49" fontId="81" fillId="0" borderId="6" xfId="0" applyNumberFormat="1" applyFont="1" applyBorder="1">
      <alignment vertical="center"/>
    </xf>
    <xf numFmtId="0" fontId="86" fillId="0" borderId="0" xfId="0" applyFont="1">
      <alignment vertical="center"/>
    </xf>
    <xf numFmtId="0" fontId="86" fillId="0" borderId="2" xfId="0" applyFont="1" applyBorder="1">
      <alignment vertical="center"/>
    </xf>
    <xf numFmtId="0" fontId="78" fillId="0" borderId="2" xfId="0" applyFont="1" applyBorder="1" applyAlignment="1">
      <alignment vertical="center" wrapText="1"/>
    </xf>
    <xf numFmtId="0" fontId="91" fillId="0" borderId="0" xfId="0" applyFont="1">
      <alignment vertical="center"/>
    </xf>
    <xf numFmtId="0" fontId="88" fillId="0" borderId="0" xfId="0" applyFont="1">
      <alignment vertical="center"/>
    </xf>
    <xf numFmtId="0" fontId="67" fillId="0" borderId="0" xfId="0" applyFont="1" applyAlignment="1">
      <alignment horizontal="center" vertical="center"/>
    </xf>
    <xf numFmtId="0" fontId="67" fillId="0" borderId="2" xfId="0" applyFont="1" applyBorder="1">
      <alignment vertical="center"/>
    </xf>
    <xf numFmtId="0" fontId="67" fillId="0" borderId="10" xfId="0" applyFont="1" applyBorder="1" applyAlignment="1">
      <alignment horizontal="center" vertical="center"/>
    </xf>
    <xf numFmtId="0" fontId="89" fillId="0" borderId="0" xfId="0" applyFont="1" applyAlignment="1">
      <alignment horizontal="center" vertical="center" shrinkToFit="1"/>
    </xf>
    <xf numFmtId="0" fontId="74" fillId="0" borderId="0" xfId="0" applyFont="1">
      <alignment vertical="center"/>
    </xf>
    <xf numFmtId="0" fontId="100" fillId="0" borderId="0" xfId="0" applyFont="1">
      <alignment vertical="center"/>
    </xf>
    <xf numFmtId="0" fontId="76" fillId="0" borderId="0" xfId="0" applyFont="1" applyAlignment="1">
      <alignment horizontal="center" vertical="center"/>
    </xf>
    <xf numFmtId="178" fontId="95" fillId="0" borderId="0" xfId="0" applyNumberFormat="1" applyFont="1" applyAlignment="1">
      <alignment horizontal="center" vertical="center"/>
    </xf>
    <xf numFmtId="0" fontId="86" fillId="0" borderId="2" xfId="0" applyFont="1" applyBorder="1" applyAlignment="1">
      <alignment horizontal="center" vertical="center"/>
    </xf>
    <xf numFmtId="0" fontId="95" fillId="0" borderId="0" xfId="0" applyFont="1" applyAlignment="1">
      <alignment horizontal="center" vertical="center"/>
    </xf>
    <xf numFmtId="0" fontId="82" fillId="0" borderId="10" xfId="0" applyFont="1" applyBorder="1">
      <alignment vertical="center"/>
    </xf>
    <xf numFmtId="0" fontId="82" fillId="0" borderId="0" xfId="0" applyFont="1">
      <alignment vertical="center"/>
    </xf>
    <xf numFmtId="0" fontId="67" fillId="0" borderId="21" xfId="0" applyFont="1" applyBorder="1">
      <alignment vertical="center"/>
    </xf>
    <xf numFmtId="0" fontId="101" fillId="0" borderId="22" xfId="0" applyFont="1" applyBorder="1" applyAlignment="1" applyProtection="1">
      <alignment horizontal="center" vertical="center"/>
      <protection locked="0"/>
    </xf>
    <xf numFmtId="0" fontId="101" fillId="0" borderId="23" xfId="0" applyFont="1" applyBorder="1" applyAlignment="1" applyProtection="1">
      <alignment horizontal="center" vertical="center"/>
      <protection locked="0"/>
    </xf>
    <xf numFmtId="0" fontId="101" fillId="0" borderId="21" xfId="0" applyFont="1" applyBorder="1" applyAlignment="1" applyProtection="1">
      <alignment horizontal="center" vertical="center"/>
      <protection locked="0"/>
    </xf>
    <xf numFmtId="0" fontId="67" fillId="0" borderId="55" xfId="0" applyFont="1" applyBorder="1">
      <alignment vertical="center"/>
    </xf>
    <xf numFmtId="0" fontId="67" fillId="0" borderId="24" xfId="0" applyFont="1" applyBorder="1">
      <alignment vertical="center"/>
    </xf>
    <xf numFmtId="0" fontId="93" fillId="0" borderId="0" xfId="0" applyFont="1">
      <alignment vertical="center"/>
    </xf>
    <xf numFmtId="49" fontId="101" fillId="0" borderId="0" xfId="0" applyNumberFormat="1" applyFont="1" applyAlignment="1">
      <alignment horizontal="center" vertical="center"/>
    </xf>
    <xf numFmtId="0" fontId="101" fillId="0" borderId="0" xfId="0" applyFont="1" applyAlignment="1">
      <alignment horizontal="center" vertical="center"/>
    </xf>
    <xf numFmtId="0" fontId="101" fillId="0" borderId="0" xfId="0" applyFont="1" applyAlignment="1">
      <alignment horizontal="center" vertical="center" shrinkToFit="1"/>
    </xf>
    <xf numFmtId="0" fontId="86" fillId="0" borderId="0" xfId="0" applyFont="1" applyAlignment="1">
      <alignment vertical="center" wrapText="1"/>
    </xf>
    <xf numFmtId="0" fontId="87" fillId="0" borderId="0" xfId="0" applyFont="1" applyAlignment="1">
      <alignment horizontal="left" vertical="center"/>
    </xf>
    <xf numFmtId="0" fontId="89" fillId="0" borderId="0" xfId="0" applyFont="1" applyAlignment="1">
      <alignment horizontal="center"/>
    </xf>
    <xf numFmtId="0" fontId="67" fillId="0" borderId="0" xfId="0" applyFont="1" applyAlignment="1">
      <alignment horizontal="left" vertical="center"/>
    </xf>
    <xf numFmtId="0" fontId="89" fillId="0" borderId="0" xfId="0" applyFont="1" applyAlignment="1">
      <alignment vertical="center" shrinkToFit="1"/>
    </xf>
    <xf numFmtId="0" fontId="89" fillId="0" borderId="0" xfId="0" applyFont="1" applyAlignment="1">
      <alignment horizontal="right" vertical="center" shrinkToFit="1"/>
    </xf>
    <xf numFmtId="182" fontId="99" fillId="0" borderId="0" xfId="0" applyNumberFormat="1" applyFont="1" applyAlignment="1"/>
    <xf numFmtId="0" fontId="99" fillId="0" borderId="0" xfId="0" applyFont="1" applyAlignment="1"/>
    <xf numFmtId="0" fontId="87" fillId="0" borderId="9" xfId="0" applyFont="1" applyBorder="1" applyAlignment="1">
      <alignment horizontal="left" vertical="center"/>
    </xf>
    <xf numFmtId="0" fontId="82" fillId="0" borderId="0" xfId="0" applyFont="1" applyAlignment="1"/>
    <xf numFmtId="49" fontId="93" fillId="0" borderId="0" xfId="0" applyNumberFormat="1" applyFont="1">
      <alignment vertical="center"/>
    </xf>
    <xf numFmtId="0" fontId="67" fillId="0" borderId="17" xfId="0" applyFont="1" applyBorder="1" applyAlignment="1">
      <alignment horizontal="center" vertical="center" textRotation="255"/>
    </xf>
    <xf numFmtId="49" fontId="67" fillId="0" borderId="0" xfId="0" applyNumberFormat="1" applyFont="1" applyAlignment="1">
      <alignment horizontal="center" vertical="center"/>
    </xf>
    <xf numFmtId="49" fontId="67" fillId="0" borderId="0" xfId="0" applyNumberFormat="1" applyFont="1">
      <alignment vertical="center"/>
    </xf>
    <xf numFmtId="49" fontId="95" fillId="0" borderId="0" xfId="0" applyNumberFormat="1" applyFont="1" applyAlignment="1"/>
    <xf numFmtId="0" fontId="87" fillId="0" borderId="0" xfId="0" applyFont="1" applyAlignment="1">
      <alignment vertical="center" wrapText="1"/>
    </xf>
    <xf numFmtId="0" fontId="89" fillId="0" borderId="0" xfId="0" applyFont="1" applyAlignment="1">
      <alignment wrapText="1"/>
    </xf>
    <xf numFmtId="0" fontId="107" fillId="0" borderId="0" xfId="0" applyFont="1" applyAlignment="1">
      <alignment horizontal="center" vertical="center"/>
    </xf>
    <xf numFmtId="0" fontId="67" fillId="0" borderId="0" xfId="0" applyFont="1" applyAlignment="1">
      <alignment vertical="center" textRotation="255"/>
    </xf>
    <xf numFmtId="0" fontId="89" fillId="0" borderId="0" xfId="0" applyFont="1" applyAlignment="1">
      <alignment horizontal="center" vertical="center"/>
    </xf>
    <xf numFmtId="0" fontId="95" fillId="0" borderId="85" xfId="0" applyFont="1" applyBorder="1" applyAlignment="1">
      <alignment horizontal="center"/>
    </xf>
    <xf numFmtId="0" fontId="95" fillId="0" borderId="63" xfId="0" applyFont="1" applyBorder="1" applyAlignment="1">
      <alignment horizontal="center"/>
    </xf>
    <xf numFmtId="0" fontId="95" fillId="0" borderId="151" xfId="0" applyFont="1" applyBorder="1" applyAlignment="1">
      <alignment horizontal="center"/>
    </xf>
    <xf numFmtId="0" fontId="95" fillId="0" borderId="9" xfId="0" applyFont="1" applyBorder="1" applyAlignment="1">
      <alignment horizontal="center"/>
    </xf>
    <xf numFmtId="0" fontId="101" fillId="0" borderId="22" xfId="0" applyFont="1" applyBorder="1" applyAlignment="1">
      <alignment horizontal="center" vertical="center"/>
    </xf>
    <xf numFmtId="0" fontId="101" fillId="0" borderId="23" xfId="0" applyFont="1" applyBorder="1" applyAlignment="1">
      <alignment horizontal="center" vertical="center"/>
    </xf>
    <xf numFmtId="0" fontId="111" fillId="0" borderId="35" xfId="0" applyFont="1" applyBorder="1" applyAlignment="1">
      <alignment horizontal="center" vertical="center"/>
    </xf>
    <xf numFmtId="178" fontId="111" fillId="0" borderId="35" xfId="0" applyNumberFormat="1" applyFont="1" applyBorder="1" applyAlignment="1">
      <alignment horizontal="right" vertical="center"/>
    </xf>
    <xf numFmtId="0" fontId="111" fillId="0" borderId="35" xfId="0" applyFont="1" applyBorder="1" applyAlignment="1">
      <alignment horizontal="right" vertical="center"/>
    </xf>
    <xf numFmtId="178" fontId="111" fillId="0" borderId="36" xfId="0" applyNumberFormat="1" applyFont="1" applyBorder="1" applyAlignment="1">
      <alignment horizontal="center" vertical="center"/>
    </xf>
    <xf numFmtId="178" fontId="111" fillId="0" borderId="35" xfId="0" applyNumberFormat="1" applyFont="1" applyBorder="1" applyAlignment="1">
      <alignment horizontal="center" vertical="center"/>
    </xf>
    <xf numFmtId="38" fontId="111" fillId="0" borderId="37" xfId="3" applyFont="1" applyFill="1" applyBorder="1" applyAlignment="1" applyProtection="1">
      <alignment horizontal="center" vertical="center"/>
    </xf>
    <xf numFmtId="0" fontId="67" fillId="4" borderId="49" xfId="0" applyFont="1" applyFill="1" applyBorder="1" applyAlignment="1" applyProtection="1">
      <alignment horizontal="right" vertical="center"/>
      <protection locked="0"/>
    </xf>
    <xf numFmtId="38" fontId="93" fillId="4" borderId="50" xfId="3" applyFont="1" applyFill="1" applyBorder="1" applyAlignment="1" applyProtection="1">
      <alignment horizontal="right" vertical="center"/>
      <protection locked="0"/>
    </xf>
    <xf numFmtId="6" fontId="114" fillId="0" borderId="0" xfId="6" applyFont="1" applyFill="1" applyBorder="1" applyAlignment="1" applyProtection="1">
      <alignment vertical="top" wrapText="1"/>
      <protection locked="0"/>
    </xf>
    <xf numFmtId="0" fontId="93" fillId="0" borderId="34" xfId="0" applyFont="1" applyBorder="1" applyAlignment="1">
      <alignment horizontal="center" vertical="center"/>
    </xf>
    <xf numFmtId="0" fontId="93" fillId="0" borderId="21" xfId="0" applyFont="1" applyBorder="1" applyAlignment="1">
      <alignment horizontal="center" vertical="center" wrapText="1" shrinkToFit="1"/>
    </xf>
    <xf numFmtId="0" fontId="93" fillId="0" borderId="55" xfId="0" applyFont="1" applyBorder="1" applyAlignment="1">
      <alignment horizontal="center" vertical="center" wrapText="1" shrinkToFit="1"/>
    </xf>
    <xf numFmtId="0" fontId="93" fillId="0" borderId="21" xfId="0" applyFont="1" applyBorder="1" applyAlignment="1">
      <alignment horizontal="center" vertical="center" wrapText="1"/>
    </xf>
    <xf numFmtId="0" fontId="93" fillId="0" borderId="39" xfId="0" applyFont="1" applyBorder="1" applyAlignment="1">
      <alignment horizontal="center" vertical="center"/>
    </xf>
    <xf numFmtId="179" fontId="81" fillId="0" borderId="34" xfId="3" applyNumberFormat="1" applyFont="1" applyFill="1" applyBorder="1" applyAlignment="1" applyProtection="1">
      <alignment horizontal="right" vertical="center" shrinkToFit="1"/>
    </xf>
    <xf numFmtId="189" fontId="80" fillId="0" borderId="33" xfId="0" applyNumberFormat="1" applyFont="1" applyBorder="1" applyAlignment="1">
      <alignment horizontal="center" vertical="center"/>
    </xf>
    <xf numFmtId="0" fontId="80" fillId="0" borderId="98" xfId="0" applyFont="1" applyBorder="1" applyAlignment="1" applyProtection="1">
      <alignment horizontal="center" vertical="center"/>
      <protection locked="0"/>
    </xf>
    <xf numFmtId="179" fontId="81" fillId="0" borderId="92" xfId="3" applyNumberFormat="1" applyFont="1" applyFill="1" applyBorder="1" applyAlignment="1" applyProtection="1">
      <alignment horizontal="right" vertical="center" shrinkToFit="1"/>
    </xf>
    <xf numFmtId="189" fontId="80" fillId="0" borderId="30" xfId="0" applyNumberFormat="1" applyFont="1" applyBorder="1" applyAlignment="1">
      <alignment horizontal="center" vertical="center" shrinkToFit="1"/>
    </xf>
    <xf numFmtId="180" fontId="76" fillId="0" borderId="99" xfId="0" applyNumberFormat="1" applyFont="1" applyBorder="1" applyAlignment="1" applyProtection="1">
      <alignment horizontal="center" vertical="center" shrinkToFit="1"/>
      <protection locked="0"/>
    </xf>
    <xf numFmtId="179" fontId="81" fillId="0" borderId="93" xfId="3" applyNumberFormat="1" applyFont="1" applyFill="1" applyBorder="1" applyAlignment="1" applyProtection="1">
      <alignment horizontal="right" vertical="center" shrinkToFit="1"/>
    </xf>
    <xf numFmtId="179" fontId="81" fillId="0" borderId="94" xfId="3" applyNumberFormat="1" applyFont="1" applyFill="1" applyBorder="1" applyAlignment="1" applyProtection="1">
      <alignment horizontal="right" vertical="center" shrinkToFit="1"/>
    </xf>
    <xf numFmtId="180" fontId="76" fillId="0" borderId="100" xfId="0" applyNumberFormat="1" applyFont="1" applyBorder="1" applyAlignment="1" applyProtection="1">
      <alignment horizontal="center" vertical="center" shrinkToFit="1"/>
      <protection locked="0"/>
    </xf>
    <xf numFmtId="179" fontId="81" fillId="0" borderId="220" xfId="3" applyNumberFormat="1" applyFont="1" applyFill="1" applyBorder="1" applyAlignment="1" applyProtection="1">
      <alignment horizontal="right" vertical="center" shrinkToFit="1"/>
    </xf>
    <xf numFmtId="180" fontId="80" fillId="0" borderId="224" xfId="0" applyNumberFormat="1" applyFont="1" applyBorder="1" applyAlignment="1">
      <alignment horizontal="center" vertical="center" shrinkToFit="1"/>
    </xf>
    <xf numFmtId="180" fontId="76" fillId="0" borderId="210" xfId="0" applyNumberFormat="1" applyFont="1" applyBorder="1" applyAlignment="1" applyProtection="1">
      <alignment vertical="center" shrinkToFit="1"/>
      <protection locked="0"/>
    </xf>
    <xf numFmtId="179" fontId="81" fillId="0" borderId="219" xfId="3" applyNumberFormat="1" applyFont="1" applyFill="1" applyBorder="1" applyAlignment="1" applyProtection="1">
      <alignment horizontal="right" vertical="center" shrinkToFit="1"/>
    </xf>
    <xf numFmtId="180" fontId="80" fillId="0" borderId="225" xfId="0" applyNumberFormat="1" applyFont="1" applyBorder="1" applyAlignment="1">
      <alignment horizontal="center" vertical="center" shrinkToFit="1"/>
    </xf>
    <xf numFmtId="180" fontId="76" fillId="0" borderId="219" xfId="0" applyNumberFormat="1" applyFont="1" applyBorder="1" applyAlignment="1" applyProtection="1">
      <alignment vertical="center" shrinkToFit="1"/>
      <protection locked="0"/>
    </xf>
    <xf numFmtId="180" fontId="76" fillId="0" borderId="196" xfId="0" applyNumberFormat="1" applyFont="1" applyBorder="1" applyAlignment="1" applyProtection="1">
      <alignment vertical="center" shrinkToFit="1"/>
      <protection locked="0"/>
    </xf>
    <xf numFmtId="0" fontId="109" fillId="0" borderId="152" xfId="0" applyFont="1" applyBorder="1" applyAlignment="1">
      <alignment horizontal="center" vertical="center" shrinkToFit="1"/>
    </xf>
    <xf numFmtId="38" fontId="117" fillId="0" borderId="13" xfId="2" applyFont="1" applyFill="1" applyBorder="1" applyAlignment="1" applyProtection="1">
      <alignment horizontal="right" vertical="center" shrinkToFit="1"/>
    </xf>
    <xf numFmtId="38" fontId="117" fillId="0" borderId="243" xfId="2" applyFont="1" applyFill="1" applyBorder="1" applyAlignment="1" applyProtection="1">
      <alignment horizontal="right" vertical="center" shrinkToFit="1"/>
    </xf>
    <xf numFmtId="0" fontId="81" fillId="0" borderId="31" xfId="3" applyNumberFormat="1" applyFont="1" applyFill="1" applyBorder="1" applyAlignment="1" applyProtection="1">
      <alignment horizontal="right" vertical="center" shrinkToFit="1"/>
    </xf>
    <xf numFmtId="189" fontId="80" fillId="0" borderId="31" xfId="3" applyNumberFormat="1" applyFont="1" applyFill="1" applyBorder="1" applyAlignment="1" applyProtection="1">
      <alignment horizontal="center" vertical="center" shrinkToFit="1"/>
    </xf>
    <xf numFmtId="180" fontId="76" fillId="0" borderId="41" xfId="0" applyNumberFormat="1" applyFont="1" applyBorder="1" applyAlignment="1" applyProtection="1">
      <alignment horizontal="center" vertical="center" shrinkToFit="1"/>
      <protection locked="0"/>
    </xf>
    <xf numFmtId="38" fontId="81" fillId="0" borderId="32" xfId="3" applyFont="1" applyFill="1" applyBorder="1" applyAlignment="1" applyProtection="1">
      <alignment horizontal="right" vertical="center" shrinkToFit="1"/>
    </xf>
    <xf numFmtId="189" fontId="80" fillId="0" borderId="32" xfId="3" applyNumberFormat="1" applyFont="1" applyFill="1" applyBorder="1" applyAlignment="1" applyProtection="1">
      <alignment horizontal="center" vertical="center" shrinkToFit="1"/>
    </xf>
    <xf numFmtId="180" fontId="76" fillId="0" borderId="44" xfId="0" applyNumberFormat="1" applyFont="1" applyBorder="1" applyAlignment="1" applyProtection="1">
      <alignment horizontal="center" vertical="center" shrinkToFit="1"/>
      <protection locked="0"/>
    </xf>
    <xf numFmtId="0" fontId="81" fillId="0" borderId="32" xfId="3" applyNumberFormat="1" applyFont="1" applyFill="1" applyBorder="1" applyAlignment="1" applyProtection="1">
      <alignment horizontal="right" vertical="center" shrinkToFit="1"/>
    </xf>
    <xf numFmtId="38" fontId="81" fillId="0" borderId="44" xfId="3" applyFont="1" applyFill="1" applyBorder="1" applyAlignment="1" applyProtection="1">
      <alignment horizontal="right" vertical="center" shrinkToFit="1"/>
    </xf>
    <xf numFmtId="180" fontId="76" fillId="0" borderId="101" xfId="0" applyNumberFormat="1" applyFont="1" applyBorder="1" applyAlignment="1" applyProtection="1">
      <alignment horizontal="center" vertical="center" shrinkToFit="1"/>
      <protection locked="0"/>
    </xf>
    <xf numFmtId="180" fontId="76" fillId="0" borderId="163" xfId="0" applyNumberFormat="1" applyFont="1" applyBorder="1" applyAlignment="1" applyProtection="1">
      <alignment horizontal="center" vertical="center" shrinkToFit="1"/>
      <protection locked="0"/>
    </xf>
    <xf numFmtId="38" fontId="81" fillId="0" borderId="103" xfId="3" applyFont="1" applyFill="1" applyBorder="1" applyAlignment="1" applyProtection="1">
      <alignment horizontal="right" vertical="center" shrinkToFit="1"/>
    </xf>
    <xf numFmtId="189" fontId="80" fillId="0" borderId="224" xfId="0" applyNumberFormat="1" applyFont="1" applyBorder="1" applyAlignment="1">
      <alignment horizontal="center" vertical="center" shrinkToFit="1"/>
    </xf>
    <xf numFmtId="180" fontId="76" fillId="0" borderId="206" xfId="0" applyNumberFormat="1" applyFont="1" applyBorder="1" applyAlignment="1" applyProtection="1">
      <alignment vertical="center" shrinkToFit="1"/>
      <protection locked="0"/>
    </xf>
    <xf numFmtId="180" fontId="76" fillId="0" borderId="194" xfId="0" applyNumberFormat="1" applyFont="1" applyBorder="1" applyAlignment="1" applyProtection="1">
      <alignment vertical="center" shrinkToFit="1"/>
      <protection locked="0"/>
    </xf>
    <xf numFmtId="180" fontId="76" fillId="0" borderId="202" xfId="0" applyNumberFormat="1" applyFont="1" applyBorder="1" applyAlignment="1" applyProtection="1">
      <alignment vertical="center" shrinkToFit="1"/>
      <protection locked="0"/>
    </xf>
    <xf numFmtId="180" fontId="76" fillId="0" borderId="203" xfId="0" applyNumberFormat="1" applyFont="1" applyBorder="1" applyAlignment="1" applyProtection="1">
      <alignment vertical="center" shrinkToFit="1"/>
      <protection locked="0"/>
    </xf>
    <xf numFmtId="0" fontId="81" fillId="0" borderId="104" xfId="3" applyNumberFormat="1" applyFont="1" applyFill="1" applyBorder="1" applyAlignment="1" applyProtection="1">
      <alignment horizontal="right" vertical="center" shrinkToFit="1"/>
    </xf>
    <xf numFmtId="189" fontId="80" fillId="0" borderId="228" xfId="0" applyNumberFormat="1" applyFont="1" applyBorder="1" applyAlignment="1">
      <alignment horizontal="center" vertical="center" shrinkToFit="1"/>
    </xf>
    <xf numFmtId="180" fontId="76" fillId="0" borderId="200" xfId="0" applyNumberFormat="1" applyFont="1" applyBorder="1" applyAlignment="1" applyProtection="1">
      <alignment vertical="center" shrinkToFit="1"/>
      <protection locked="0"/>
    </xf>
    <xf numFmtId="180" fontId="76" fillId="0" borderId="201" xfId="0" applyNumberFormat="1" applyFont="1" applyBorder="1" applyAlignment="1" applyProtection="1">
      <alignment vertical="center" shrinkToFit="1"/>
      <protection locked="0"/>
    </xf>
    <xf numFmtId="189" fontId="109" fillId="0" borderId="229" xfId="0" applyNumberFormat="1" applyFont="1" applyBorder="1" applyAlignment="1">
      <alignment horizontal="center" vertical="center" shrinkToFit="1"/>
    </xf>
    <xf numFmtId="38" fontId="97" fillId="0" borderId="34" xfId="2" applyFont="1" applyFill="1" applyBorder="1" applyAlignment="1" applyProtection="1">
      <alignment horizontal="right" vertical="center" shrinkToFit="1"/>
      <protection locked="0"/>
    </xf>
    <xf numFmtId="38" fontId="81" fillId="0" borderId="105" xfId="3" applyFont="1" applyFill="1" applyBorder="1" applyAlignment="1" applyProtection="1">
      <alignment horizontal="right" vertical="center" shrinkToFit="1"/>
    </xf>
    <xf numFmtId="180" fontId="76" fillId="0" borderId="102" xfId="0" applyNumberFormat="1" applyFont="1" applyBorder="1" applyAlignment="1" applyProtection="1">
      <alignment horizontal="center" vertical="center" shrinkToFit="1"/>
      <protection locked="0"/>
    </xf>
    <xf numFmtId="180" fontId="76" fillId="0" borderId="28" xfId="0" applyNumberFormat="1" applyFont="1" applyBorder="1" applyAlignment="1" applyProtection="1">
      <alignment horizontal="center" vertical="center" shrinkToFit="1"/>
      <protection locked="0"/>
    </xf>
    <xf numFmtId="0" fontId="81" fillId="0" borderId="44" xfId="3" applyNumberFormat="1" applyFont="1" applyFill="1" applyBorder="1" applyAlignment="1" applyProtection="1">
      <alignment horizontal="right" vertical="center" shrinkToFit="1"/>
    </xf>
    <xf numFmtId="38" fontId="81" fillId="0" borderId="92" xfId="3" applyFont="1" applyFill="1" applyBorder="1" applyAlignment="1" applyProtection="1">
      <alignment horizontal="right" vertical="center" shrinkToFit="1"/>
    </xf>
    <xf numFmtId="38" fontId="81" fillId="0" borderId="206" xfId="3" applyFont="1" applyFill="1" applyBorder="1" applyAlignment="1" applyProtection="1">
      <alignment horizontal="right" vertical="center" shrinkToFit="1"/>
    </xf>
    <xf numFmtId="38" fontId="81" fillId="0" borderId="202" xfId="3" applyFont="1" applyFill="1" applyBorder="1" applyAlignment="1" applyProtection="1">
      <alignment horizontal="right" vertical="center" shrinkToFit="1"/>
    </xf>
    <xf numFmtId="0" fontId="81" fillId="0" borderId="221" xfId="3" applyNumberFormat="1" applyFont="1" applyFill="1" applyBorder="1" applyAlignment="1" applyProtection="1">
      <alignment horizontal="right" vertical="center" shrinkToFit="1"/>
    </xf>
    <xf numFmtId="189" fontId="80" fillId="0" borderId="230" xfId="0" applyNumberFormat="1" applyFont="1" applyBorder="1" applyAlignment="1">
      <alignment horizontal="center" vertical="center" shrinkToFit="1"/>
    </xf>
    <xf numFmtId="189" fontId="109" fillId="0" borderId="231" xfId="0" applyNumberFormat="1" applyFont="1" applyBorder="1" applyAlignment="1">
      <alignment horizontal="center" vertical="center" shrinkToFit="1"/>
    </xf>
    <xf numFmtId="38" fontId="97" fillId="0" borderId="233" xfId="2" applyFont="1" applyFill="1" applyBorder="1" applyAlignment="1" applyProtection="1">
      <alignment horizontal="right" vertical="center" shrinkToFit="1"/>
      <protection locked="0"/>
    </xf>
    <xf numFmtId="180" fontId="117" fillId="0" borderId="227" xfId="0" applyNumberFormat="1" applyFont="1" applyBorder="1" applyAlignment="1">
      <alignment horizontal="center" vertical="center" shrinkToFit="1"/>
    </xf>
    <xf numFmtId="38" fontId="117" fillId="0" borderId="3" xfId="2" applyFont="1" applyFill="1" applyBorder="1" applyAlignment="1" applyProtection="1">
      <alignment horizontal="right" vertical="center" shrinkToFit="1"/>
    </xf>
    <xf numFmtId="178" fontId="78" fillId="0" borderId="34" xfId="0" applyNumberFormat="1" applyFont="1" applyBorder="1" applyAlignment="1">
      <alignment horizontal="center" vertical="center" shrinkToFit="1"/>
    </xf>
    <xf numFmtId="178" fontId="85" fillId="0" borderId="21" xfId="0" applyNumberFormat="1" applyFont="1" applyBorder="1" applyAlignment="1">
      <alignment horizontal="center" vertical="center" wrapText="1" shrinkToFit="1"/>
    </xf>
    <xf numFmtId="178" fontId="85" fillId="0" borderId="55" xfId="0" applyNumberFormat="1" applyFont="1" applyBorder="1" applyAlignment="1">
      <alignment horizontal="center" vertical="center" wrapText="1" shrinkToFit="1"/>
    </xf>
    <xf numFmtId="178" fontId="85" fillId="0" borderId="15" xfId="0" applyNumberFormat="1" applyFont="1" applyBorder="1" applyAlignment="1">
      <alignment vertical="center" textRotation="255" shrinkToFit="1"/>
    </xf>
    <xf numFmtId="178" fontId="85" fillId="0" borderId="34" xfId="0" applyNumberFormat="1" applyFont="1" applyBorder="1" applyAlignment="1">
      <alignment vertical="center" textRotation="255" shrinkToFit="1"/>
    </xf>
    <xf numFmtId="178" fontId="78" fillId="0" borderId="38" xfId="0" applyNumberFormat="1" applyFont="1" applyBorder="1" applyAlignment="1">
      <alignment horizontal="center" vertical="center" shrinkToFit="1"/>
    </xf>
    <xf numFmtId="178" fontId="85" fillId="0" borderId="248" xfId="0" applyNumberFormat="1" applyFont="1" applyBorder="1" applyAlignment="1">
      <alignment horizontal="center" vertical="center" shrinkToFit="1"/>
    </xf>
    <xf numFmtId="178" fontId="85" fillId="0" borderId="59" xfId="0" applyNumberFormat="1" applyFont="1" applyBorder="1" applyAlignment="1">
      <alignment horizontal="center" vertical="center" shrinkToFit="1"/>
    </xf>
    <xf numFmtId="178" fontId="81" fillId="0" borderId="232" xfId="0" applyNumberFormat="1" applyFont="1" applyBorder="1" applyAlignment="1">
      <alignment vertical="center" shrinkToFit="1"/>
    </xf>
    <xf numFmtId="178" fontId="81" fillId="0" borderId="232" xfId="0" applyNumberFormat="1" applyFont="1" applyBorder="1" applyAlignment="1">
      <alignment horizontal="center" vertical="center" shrinkToFit="1"/>
    </xf>
    <xf numFmtId="178" fontId="81" fillId="0" borderId="34" xfId="3" applyNumberFormat="1" applyFont="1" applyFill="1" applyBorder="1" applyAlignment="1" applyProtection="1">
      <alignment vertical="center" shrinkToFit="1"/>
    </xf>
    <xf numFmtId="176" fontId="80" fillId="0" borderId="25" xfId="0" applyNumberFormat="1" applyFont="1" applyBorder="1" applyAlignment="1">
      <alignment horizontal="center" vertical="center" shrinkToFit="1"/>
    </xf>
    <xf numFmtId="176" fontId="76" fillId="0" borderId="41" xfId="0" applyNumberFormat="1" applyFont="1" applyBorder="1" applyAlignment="1" applyProtection="1">
      <alignment horizontal="center" vertical="center" shrinkToFit="1"/>
      <protection locked="0"/>
    </xf>
    <xf numFmtId="176" fontId="76" fillId="0" borderId="42" xfId="0" applyNumberFormat="1" applyFont="1" applyBorder="1" applyAlignment="1" applyProtection="1">
      <alignment horizontal="center" vertical="center" shrinkToFit="1"/>
      <protection locked="0"/>
    </xf>
    <xf numFmtId="176" fontId="113" fillId="0" borderId="26" xfId="3" applyNumberFormat="1" applyFont="1" applyFill="1" applyBorder="1" applyAlignment="1" applyProtection="1">
      <alignment horizontal="right" vertical="center" shrinkToFit="1"/>
    </xf>
    <xf numFmtId="178" fontId="81" fillId="0" borderId="68" xfId="0" applyNumberFormat="1" applyFont="1" applyBorder="1" applyAlignment="1">
      <alignment vertical="center" shrinkToFit="1"/>
    </xf>
    <xf numFmtId="178" fontId="81" fillId="0" borderId="68" xfId="0" applyNumberFormat="1" applyFont="1" applyBorder="1" applyAlignment="1">
      <alignment horizontal="center" vertical="center" shrinkToFit="1"/>
    </xf>
    <xf numFmtId="178" fontId="81" fillId="0" borderId="68" xfId="3" applyNumberFormat="1" applyFont="1" applyFill="1" applyBorder="1" applyAlignment="1" applyProtection="1">
      <alignment vertical="center" shrinkToFit="1"/>
    </xf>
    <xf numFmtId="176" fontId="76" fillId="0" borderId="44" xfId="0" applyNumberFormat="1" applyFont="1" applyBorder="1" applyAlignment="1" applyProtection="1">
      <alignment horizontal="center" vertical="center" shrinkToFit="1"/>
      <protection locked="0"/>
    </xf>
    <xf numFmtId="176" fontId="76" fillId="0" borderId="45" xfId="0" applyNumberFormat="1" applyFont="1" applyBorder="1" applyAlignment="1" applyProtection="1">
      <alignment horizontal="center" vertical="center" shrinkToFit="1"/>
      <protection locked="0"/>
    </xf>
    <xf numFmtId="178" fontId="81" fillId="0" borderId="38" xfId="3" applyNumberFormat="1" applyFont="1" applyFill="1" applyBorder="1" applyAlignment="1" applyProtection="1">
      <alignment vertical="center" shrinkToFit="1"/>
    </xf>
    <xf numFmtId="178" fontId="81" fillId="0" borderId="88" xfId="3" applyNumberFormat="1" applyFont="1" applyFill="1" applyBorder="1" applyAlignment="1" applyProtection="1">
      <alignment vertical="center" shrinkToFit="1"/>
    </xf>
    <xf numFmtId="178" fontId="81" fillId="0" borderId="250" xfId="0" applyNumberFormat="1" applyFont="1" applyBorder="1" applyAlignment="1">
      <alignment vertical="center" shrinkToFit="1"/>
    </xf>
    <xf numFmtId="178" fontId="81" fillId="0" borderId="250" xfId="0" applyNumberFormat="1" applyFont="1" applyBorder="1" applyAlignment="1">
      <alignment horizontal="center" vertical="center" shrinkToFit="1"/>
    </xf>
    <xf numFmtId="178" fontId="81" fillId="0" borderId="250" xfId="3" applyNumberFormat="1" applyFont="1" applyFill="1" applyBorder="1" applyAlignment="1" applyProtection="1">
      <alignment vertical="center" shrinkToFit="1"/>
    </xf>
    <xf numFmtId="176" fontId="80" fillId="0" borderId="251" xfId="0" applyNumberFormat="1" applyFont="1" applyBorder="1" applyAlignment="1">
      <alignment horizontal="center" vertical="center" shrinkToFit="1"/>
    </xf>
    <xf numFmtId="38" fontId="117" fillId="0" borderId="249" xfId="2" applyFont="1" applyFill="1" applyBorder="1" applyAlignment="1" applyProtection="1">
      <alignment vertical="center" shrinkToFit="1"/>
    </xf>
    <xf numFmtId="176" fontId="80" fillId="0" borderId="234" xfId="0" applyNumberFormat="1" applyFont="1" applyBorder="1" applyAlignment="1">
      <alignment horizontal="center" vertical="center" shrinkToFit="1"/>
    </xf>
    <xf numFmtId="180" fontId="113" fillId="0" borderId="26" xfId="3" applyNumberFormat="1" applyFont="1" applyFill="1" applyBorder="1" applyAlignment="1" applyProtection="1">
      <alignment horizontal="right" vertical="center" shrinkToFit="1"/>
    </xf>
    <xf numFmtId="181" fontId="80" fillId="0" borderId="27" xfId="0" applyNumberFormat="1" applyFont="1" applyBorder="1" applyAlignment="1">
      <alignment horizontal="center" vertical="center" shrinkToFit="1"/>
    </xf>
    <xf numFmtId="176" fontId="76" fillId="0" borderId="45" xfId="0" applyNumberFormat="1" applyFont="1" applyBorder="1" applyAlignment="1" applyProtection="1">
      <alignment vertical="center" shrinkToFit="1"/>
      <protection locked="0"/>
    </xf>
    <xf numFmtId="176" fontId="80" fillId="0" borderId="27" xfId="0" applyNumberFormat="1" applyFont="1" applyBorder="1" applyAlignment="1">
      <alignment horizontal="center" vertical="center" shrinkToFit="1"/>
    </xf>
    <xf numFmtId="176" fontId="76" fillId="0" borderId="26" xfId="0" applyNumberFormat="1" applyFont="1" applyBorder="1" applyAlignment="1" applyProtection="1">
      <alignment vertical="center" shrinkToFit="1"/>
      <protection locked="0"/>
    </xf>
    <xf numFmtId="176" fontId="76" fillId="0" borderId="47" xfId="0" applyNumberFormat="1" applyFont="1" applyBorder="1" applyAlignment="1" applyProtection="1">
      <alignment vertical="center" shrinkToFit="1"/>
      <protection locked="0"/>
    </xf>
    <xf numFmtId="181" fontId="113" fillId="0" borderId="81" xfId="3" applyNumberFormat="1" applyFont="1" applyFill="1" applyBorder="1" applyAlignment="1" applyProtection="1">
      <alignment horizontal="right" vertical="center" shrinkToFit="1"/>
    </xf>
    <xf numFmtId="181" fontId="113" fillId="0" borderId="236" xfId="3" applyNumberFormat="1" applyFont="1" applyFill="1" applyBorder="1" applyAlignment="1" applyProtection="1">
      <alignment horizontal="right" vertical="center" shrinkToFit="1"/>
    </xf>
    <xf numFmtId="180" fontId="85" fillId="0" borderId="29" xfId="3" applyNumberFormat="1" applyFont="1" applyFill="1" applyBorder="1" applyAlignment="1" applyProtection="1">
      <alignment horizontal="right" vertical="center" shrinkToFit="1"/>
    </xf>
    <xf numFmtId="178" fontId="85" fillId="0" borderId="30" xfId="3" applyNumberFormat="1" applyFont="1" applyFill="1" applyBorder="1" applyAlignment="1" applyProtection="1">
      <alignment horizontal="center" vertical="center" shrinkToFit="1"/>
    </xf>
    <xf numFmtId="180" fontId="85" fillId="0" borderId="83" xfId="3" applyNumberFormat="1" applyFont="1" applyFill="1" applyBorder="1" applyAlignment="1" applyProtection="1">
      <alignment vertical="center" shrinkToFit="1"/>
    </xf>
    <xf numFmtId="176" fontId="80" fillId="0" borderId="84" xfId="0" applyNumberFormat="1" applyFont="1" applyBorder="1" applyAlignment="1">
      <alignment horizontal="center" vertical="center" shrinkToFit="1"/>
    </xf>
    <xf numFmtId="0" fontId="81" fillId="0" borderId="0" xfId="0" applyFont="1" applyAlignment="1"/>
    <xf numFmtId="0" fontId="111" fillId="0" borderId="0" xfId="0" applyFont="1" applyAlignment="1">
      <alignment horizontal="left" vertical="center" wrapText="1"/>
    </xf>
    <xf numFmtId="0" fontId="78" fillId="0" borderId="0" xfId="0" applyFont="1" applyAlignment="1"/>
    <xf numFmtId="0" fontId="113" fillId="0" borderId="12" xfId="0" applyFont="1" applyBorder="1" applyAlignment="1">
      <alignment vertical="justify" wrapText="1"/>
    </xf>
    <xf numFmtId="0" fontId="113" fillId="0" borderId="0" xfId="0" applyFont="1" applyAlignment="1">
      <alignment vertical="justify" wrapText="1"/>
    </xf>
    <xf numFmtId="38" fontId="78" fillId="0" borderId="0" xfId="3" applyFont="1" applyFill="1" applyBorder="1" applyAlignment="1" applyProtection="1">
      <alignment horizontal="center"/>
    </xf>
    <xf numFmtId="6" fontId="111" fillId="0" borderId="0" xfId="6" applyFont="1" applyFill="1" applyBorder="1" applyAlignment="1" applyProtection="1">
      <alignment vertical="top" wrapText="1"/>
    </xf>
    <xf numFmtId="6" fontId="111" fillId="0" borderId="12" xfId="6" applyFont="1" applyFill="1" applyBorder="1" applyAlignment="1" applyProtection="1">
      <alignment vertical="center" wrapText="1"/>
    </xf>
    <xf numFmtId="0" fontId="78" fillId="0" borderId="13" xfId="0" applyFont="1" applyBorder="1" applyAlignment="1"/>
    <xf numFmtId="0" fontId="111" fillId="0" borderId="0" xfId="0" applyFont="1" applyAlignment="1">
      <alignment horizontal="left" vertical="center"/>
    </xf>
    <xf numFmtId="38" fontId="78" fillId="0" borderId="0" xfId="0" applyNumberFormat="1" applyFont="1" applyAlignment="1"/>
    <xf numFmtId="0" fontId="111" fillId="0" borderId="0" xfId="0" applyFont="1">
      <alignment vertical="center"/>
    </xf>
    <xf numFmtId="49" fontId="86" fillId="0" borderId="13" xfId="0" applyNumberFormat="1" applyFont="1" applyBorder="1">
      <alignment vertical="center"/>
    </xf>
    <xf numFmtId="49" fontId="86" fillId="0" borderId="0" xfId="0" applyNumberFormat="1" applyFont="1">
      <alignment vertical="center"/>
    </xf>
    <xf numFmtId="0" fontId="86" fillId="0" borderId="0" xfId="0" applyFont="1" applyAlignment="1">
      <alignment horizontal="center" vertical="center"/>
    </xf>
    <xf numFmtId="0" fontId="86" fillId="0" borderId="12" xfId="0" applyFont="1" applyBorder="1" applyAlignment="1">
      <alignment horizontal="center" vertical="center"/>
    </xf>
    <xf numFmtId="178" fontId="65" fillId="0" borderId="17" xfId="0" applyNumberFormat="1" applyFont="1" applyBorder="1" applyAlignment="1">
      <alignment horizontal="center" vertical="center"/>
    </xf>
    <xf numFmtId="178" fontId="86" fillId="0" borderId="17" xfId="0" applyNumberFormat="1" applyFont="1" applyBorder="1" applyAlignment="1">
      <alignment horizontal="center" vertical="center"/>
    </xf>
    <xf numFmtId="49" fontId="86" fillId="0" borderId="12" xfId="0" applyNumberFormat="1" applyFont="1" applyBorder="1">
      <alignment vertical="center"/>
    </xf>
    <xf numFmtId="49" fontId="86" fillId="0" borderId="17" xfId="0" applyNumberFormat="1" applyFont="1" applyBorder="1" applyAlignment="1">
      <alignment horizontal="center" vertical="center"/>
    </xf>
    <xf numFmtId="0" fontId="65" fillId="0" borderId="21" xfId="0" applyFont="1" applyBorder="1" applyAlignment="1">
      <alignment horizontal="center" vertical="center"/>
    </xf>
    <xf numFmtId="0" fontId="86" fillId="0" borderId="12" xfId="0" applyFont="1" applyBorder="1">
      <alignment vertical="center"/>
    </xf>
    <xf numFmtId="49" fontId="86" fillId="0" borderId="15" xfId="0" applyNumberFormat="1" applyFont="1" applyBorder="1" applyAlignment="1">
      <alignment horizontal="center" vertical="center"/>
    </xf>
    <xf numFmtId="49" fontId="86" fillId="0" borderId="10" xfId="0" applyNumberFormat="1" applyFont="1" applyBorder="1" applyAlignment="1">
      <alignment horizontal="center" vertical="center"/>
    </xf>
    <xf numFmtId="0" fontId="86" fillId="0" borderId="10" xfId="0" applyFont="1" applyBorder="1" applyAlignment="1">
      <alignment horizontal="center" vertical="center"/>
    </xf>
    <xf numFmtId="49" fontId="86" fillId="0" borderId="13" xfId="0" applyNumberFormat="1" applyFont="1" applyBorder="1" applyAlignment="1">
      <alignment horizontal="center" vertical="center"/>
    </xf>
    <xf numFmtId="49" fontId="86" fillId="0" borderId="0" xfId="0" applyNumberFormat="1" applyFont="1" applyAlignment="1">
      <alignment horizontal="center" vertical="center"/>
    </xf>
    <xf numFmtId="0" fontId="85" fillId="0" borderId="0" xfId="0" applyFont="1">
      <alignment vertical="center"/>
    </xf>
    <xf numFmtId="49" fontId="85" fillId="0" borderId="13" xfId="0" applyNumberFormat="1" applyFont="1" applyBorder="1">
      <alignment vertical="center"/>
    </xf>
    <xf numFmtId="0" fontId="119" fillId="0" borderId="0" xfId="0" applyFont="1">
      <alignment vertical="center"/>
    </xf>
    <xf numFmtId="0" fontId="86" fillId="0" borderId="63" xfId="0" applyFont="1" applyBorder="1" applyAlignment="1">
      <alignment horizontal="center" vertical="center"/>
    </xf>
    <xf numFmtId="0" fontId="115" fillId="0" borderId="0" xfId="0" applyFont="1" applyAlignment="1"/>
    <xf numFmtId="0" fontId="86" fillId="0" borderId="10" xfId="0" applyFont="1" applyBorder="1">
      <alignment vertical="center"/>
    </xf>
    <xf numFmtId="0" fontId="67" fillId="0" borderId="13" xfId="0" applyFont="1" applyBorder="1">
      <alignment vertical="center"/>
    </xf>
    <xf numFmtId="49" fontId="86" fillId="0" borderId="38" xfId="0" applyNumberFormat="1" applyFont="1" applyBorder="1">
      <alignment vertical="center"/>
    </xf>
    <xf numFmtId="0" fontId="86" fillId="0" borderId="13" xfId="0" applyFont="1" applyBorder="1">
      <alignment vertical="center"/>
    </xf>
    <xf numFmtId="49" fontId="86" fillId="0" borderId="11" xfId="0" applyNumberFormat="1" applyFont="1" applyBorder="1">
      <alignment vertical="center"/>
    </xf>
    <xf numFmtId="49" fontId="65" fillId="0" borderId="0" xfId="0" applyNumberFormat="1" applyFont="1" applyAlignment="1">
      <alignment horizontal="center" vertical="center"/>
    </xf>
    <xf numFmtId="49" fontId="65" fillId="0" borderId="17" xfId="0" applyNumberFormat="1" applyFont="1" applyBorder="1" applyAlignment="1">
      <alignment horizontal="center" vertical="center"/>
    </xf>
    <xf numFmtId="49" fontId="86" fillId="0" borderId="14" xfId="0" applyNumberFormat="1" applyFont="1" applyBorder="1" applyAlignment="1">
      <alignment horizontal="center" vertical="center"/>
    </xf>
    <xf numFmtId="49" fontId="86" fillId="0" borderId="12" xfId="0" applyNumberFormat="1" applyFont="1" applyBorder="1" applyAlignment="1">
      <alignment horizontal="center" vertical="center"/>
    </xf>
    <xf numFmtId="0" fontId="86" fillId="0" borderId="3" xfId="0" applyFont="1" applyBorder="1">
      <alignment vertical="center"/>
    </xf>
    <xf numFmtId="49" fontId="104" fillId="0" borderId="13" xfId="0" applyNumberFormat="1" applyFont="1" applyBorder="1">
      <alignment vertical="center"/>
    </xf>
    <xf numFmtId="49" fontId="104" fillId="0" borderId="0" xfId="0" applyNumberFormat="1" applyFont="1">
      <alignment vertical="center"/>
    </xf>
    <xf numFmtId="0" fontId="104" fillId="0" borderId="0" xfId="0" applyFont="1" applyAlignment="1">
      <alignment horizontal="center" vertical="center"/>
    </xf>
    <xf numFmtId="0" fontId="104" fillId="0" borderId="12" xfId="0" applyFont="1" applyBorder="1" applyAlignment="1">
      <alignment horizontal="center" vertical="center"/>
    </xf>
    <xf numFmtId="49" fontId="104" fillId="0" borderId="17" xfId="0" applyNumberFormat="1" applyFont="1" applyBorder="1" applyAlignment="1">
      <alignment horizontal="center" vertical="center"/>
    </xf>
    <xf numFmtId="49" fontId="104" fillId="0" borderId="12" xfId="0" applyNumberFormat="1" applyFont="1" applyBorder="1">
      <alignment vertical="center"/>
    </xf>
    <xf numFmtId="0" fontId="67" fillId="0" borderId="12" xfId="0" applyFont="1" applyBorder="1">
      <alignment vertical="center"/>
    </xf>
    <xf numFmtId="49" fontId="121" fillId="0" borderId="63" xfId="0" applyNumberFormat="1" applyFont="1" applyBorder="1" applyAlignment="1">
      <alignment wrapText="1"/>
    </xf>
    <xf numFmtId="49" fontId="104" fillId="0" borderId="0" xfId="0" applyNumberFormat="1" applyFont="1" applyAlignment="1">
      <alignment wrapText="1"/>
    </xf>
    <xf numFmtId="49" fontId="104" fillId="0" borderId="13" xfId="0" applyNumberFormat="1" applyFont="1" applyBorder="1" applyAlignment="1">
      <alignment vertical="center" wrapText="1"/>
    </xf>
    <xf numFmtId="49" fontId="121" fillId="0" borderId="2" xfId="0" applyNumberFormat="1" applyFont="1" applyBorder="1" applyAlignment="1">
      <alignment wrapText="1"/>
    </xf>
    <xf numFmtId="49" fontId="104" fillId="0" borderId="2" xfId="0" applyNumberFormat="1" applyFont="1" applyBorder="1" applyAlignment="1">
      <alignment vertical="center" wrapText="1"/>
    </xf>
    <xf numFmtId="49" fontId="104" fillId="0" borderId="38" xfId="0" applyNumberFormat="1" applyFont="1" applyBorder="1" applyAlignment="1"/>
    <xf numFmtId="49" fontId="104" fillId="0" borderId="15" xfId="0" applyNumberFormat="1" applyFont="1" applyBorder="1" applyAlignment="1">
      <alignment vertical="center" wrapText="1"/>
    </xf>
    <xf numFmtId="49" fontId="104" fillId="0" borderId="10" xfId="0" applyNumberFormat="1" applyFont="1" applyBorder="1" applyAlignment="1">
      <alignment vertical="center" wrapText="1"/>
    </xf>
    <xf numFmtId="49" fontId="104" fillId="0" borderId="12" xfId="0" applyNumberFormat="1" applyFont="1" applyBorder="1" applyAlignment="1"/>
    <xf numFmtId="49" fontId="104" fillId="0" borderId="2" xfId="0" applyNumberFormat="1" applyFont="1" applyBorder="1" applyAlignment="1">
      <alignment horizontal="center" vertical="center"/>
    </xf>
    <xf numFmtId="0" fontId="104" fillId="0" borderId="13" xfId="0" applyFont="1" applyBorder="1" applyAlignment="1">
      <alignment horizontal="center" vertical="center"/>
    </xf>
    <xf numFmtId="49" fontId="66" fillId="0" borderId="0" xfId="0" applyNumberFormat="1" applyFont="1" applyAlignment="1">
      <alignment horizontal="center" vertical="center"/>
    </xf>
    <xf numFmtId="49" fontId="119" fillId="0" borderId="0" xfId="0" applyNumberFormat="1" applyFont="1" applyProtection="1">
      <alignment vertical="center"/>
      <protection locked="0"/>
    </xf>
    <xf numFmtId="49" fontId="86" fillId="0" borderId="0" xfId="0" applyNumberFormat="1" applyFont="1" applyAlignment="1">
      <alignment horizontal="left" vertical="center"/>
    </xf>
    <xf numFmtId="0" fontId="65" fillId="0" borderId="0" xfId="0" applyFont="1">
      <alignment vertical="center"/>
    </xf>
    <xf numFmtId="49" fontId="125" fillId="0" borderId="0" xfId="0" applyNumberFormat="1" applyFont="1">
      <alignment vertical="center"/>
    </xf>
    <xf numFmtId="0" fontId="86" fillId="0" borderId="0" xfId="0" applyFont="1" applyAlignment="1">
      <alignment horizontal="right" vertical="center"/>
    </xf>
    <xf numFmtId="0" fontId="65" fillId="0" borderId="0" xfId="0" applyFont="1" applyAlignment="1">
      <alignment horizontal="center" vertical="center"/>
    </xf>
    <xf numFmtId="0" fontId="94" fillId="0" borderId="63" xfId="0" applyFont="1" applyBorder="1" applyAlignment="1">
      <alignment horizontal="center" vertical="center"/>
    </xf>
    <xf numFmtId="178" fontId="102" fillId="0" borderId="0" xfId="0" applyNumberFormat="1" applyFont="1" applyAlignment="1">
      <alignment horizontal="center" vertical="center"/>
    </xf>
    <xf numFmtId="0" fontId="89" fillId="0" borderId="63" xfId="0" applyFont="1" applyBorder="1" applyAlignment="1">
      <alignment horizontal="center" vertical="center"/>
    </xf>
    <xf numFmtId="0" fontId="74" fillId="7" borderId="63" xfId="0" applyFont="1" applyFill="1" applyBorder="1" applyAlignment="1">
      <alignment horizontal="center" vertical="center"/>
    </xf>
    <xf numFmtId="0" fontId="93" fillId="0" borderId="63" xfId="0" applyFont="1" applyBorder="1" applyAlignment="1">
      <alignment horizontal="center" vertical="center"/>
    </xf>
    <xf numFmtId="0" fontId="94" fillId="4" borderId="3" xfId="0" applyFont="1" applyFill="1" applyBorder="1" applyAlignment="1" applyProtection="1">
      <alignment horizontal="center" vertical="center" shrinkToFit="1"/>
      <protection locked="0"/>
    </xf>
    <xf numFmtId="0" fontId="67" fillId="0" borderId="73" xfId="0" applyFont="1" applyBorder="1" applyAlignment="1">
      <alignment horizontal="center" vertical="center" shrinkToFit="1"/>
    </xf>
    <xf numFmtId="0" fontId="94" fillId="0" borderId="39" xfId="0" applyFont="1" applyBorder="1" applyAlignment="1">
      <alignment horizontal="center" vertical="center" shrinkToFit="1"/>
    </xf>
    <xf numFmtId="0" fontId="67" fillId="0" borderId="55" xfId="0" applyFont="1" applyBorder="1" applyAlignment="1">
      <alignment horizontal="center" vertical="center" shrinkToFit="1"/>
    </xf>
    <xf numFmtId="0" fontId="94" fillId="0" borderId="21" xfId="0" applyFont="1" applyBorder="1" applyAlignment="1">
      <alignment horizontal="center" vertical="center" shrinkToFit="1"/>
    </xf>
    <xf numFmtId="0" fontId="67" fillId="0" borderId="75" xfId="0" applyFont="1" applyBorder="1" applyAlignment="1">
      <alignment horizontal="center" vertical="center" shrinkToFit="1"/>
    </xf>
    <xf numFmtId="0" fontId="94" fillId="0" borderId="80" xfId="0" applyFont="1" applyBorder="1" applyAlignment="1">
      <alignment horizontal="center" vertical="center" shrinkToFit="1"/>
    </xf>
    <xf numFmtId="0" fontId="67" fillId="0" borderId="6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6" fontId="36" fillId="0" borderId="0" xfId="4" applyFont="1" applyFill="1" applyBorder="1" applyAlignment="1" applyProtection="1"/>
    <xf numFmtId="6" fontId="117" fillId="10" borderId="218" xfId="4" applyFont="1" applyFill="1" applyBorder="1" applyAlignment="1" applyProtection="1">
      <alignment horizontal="center" vertical="center" shrinkToFit="1"/>
    </xf>
    <xf numFmtId="6" fontId="117" fillId="10" borderId="46" xfId="4" applyFont="1" applyFill="1" applyBorder="1" applyAlignment="1" applyProtection="1">
      <alignment horizontal="center" vertical="center" shrinkToFit="1"/>
    </xf>
    <xf numFmtId="6" fontId="117" fillId="0" borderId="51" xfId="4" applyFont="1" applyFill="1" applyBorder="1" applyAlignment="1" applyProtection="1">
      <alignment horizontal="right" vertical="center" shrinkToFit="1"/>
    </xf>
    <xf numFmtId="6" fontId="117" fillId="0" borderId="256" xfId="4" applyFont="1" applyFill="1" applyBorder="1" applyAlignment="1" applyProtection="1">
      <alignment horizontal="right" vertical="center" shrinkToFit="1"/>
    </xf>
    <xf numFmtId="0" fontId="128" fillId="0" borderId="0" xfId="0" applyFont="1">
      <alignment vertical="center"/>
    </xf>
    <xf numFmtId="0" fontId="129" fillId="0" borderId="0" xfId="0" applyFont="1">
      <alignment vertical="center"/>
    </xf>
    <xf numFmtId="0" fontId="126" fillId="0" borderId="0" xfId="0" applyFont="1" applyAlignment="1">
      <alignment horizontal="center" vertical="center"/>
    </xf>
    <xf numFmtId="0" fontId="130" fillId="0" borderId="0" xfId="0" applyFont="1" applyAlignment="1">
      <alignment horizontal="center" vertical="center"/>
    </xf>
    <xf numFmtId="0" fontId="73" fillId="0" borderId="0" xfId="0" applyFont="1" applyAlignment="1">
      <alignment horizontal="center" vertical="center"/>
    </xf>
    <xf numFmtId="6" fontId="97" fillId="0" borderId="48" xfId="4" applyFont="1" applyBorder="1" applyAlignment="1" applyProtection="1">
      <alignment horizontal="center" vertical="center" shrinkToFit="1"/>
    </xf>
    <xf numFmtId="6" fontId="117" fillId="0" borderId="48" xfId="4" applyFont="1" applyBorder="1" applyAlignment="1" applyProtection="1">
      <alignment horizontal="center" vertical="center" shrinkToFit="1"/>
    </xf>
    <xf numFmtId="178" fontId="31" fillId="0" borderId="0" xfId="0" applyNumberFormat="1" applyFont="1" applyAlignment="1">
      <alignment horizontal="right" vertical="center"/>
    </xf>
    <xf numFmtId="189" fontId="80" fillId="0" borderId="33" xfId="0" applyNumberFormat="1" applyFont="1" applyBorder="1" applyAlignment="1">
      <alignment horizontal="center" vertical="center" shrinkToFit="1"/>
    </xf>
    <xf numFmtId="181" fontId="94" fillId="4" borderId="72" xfId="0" applyNumberFormat="1" applyFont="1" applyFill="1" applyBorder="1" applyAlignment="1" applyProtection="1">
      <alignment vertical="center" shrinkToFit="1"/>
      <protection locked="0"/>
    </xf>
    <xf numFmtId="0" fontId="66" fillId="0" borderId="0" xfId="0" applyFont="1" applyAlignment="1" applyProtection="1">
      <alignment horizontal="center" vertical="center"/>
      <protection locked="0"/>
    </xf>
    <xf numFmtId="0" fontId="134" fillId="0" borderId="0" xfId="0" applyFont="1" applyAlignment="1">
      <alignment horizontal="center" vertical="center"/>
    </xf>
    <xf numFmtId="0" fontId="134" fillId="0" borderId="0" xfId="0" applyFont="1">
      <alignment vertical="center"/>
    </xf>
    <xf numFmtId="49" fontId="134" fillId="0" borderId="0" xfId="0" applyNumberFormat="1" applyFont="1">
      <alignment vertical="center"/>
    </xf>
    <xf numFmtId="38" fontId="117" fillId="10" borderId="2" xfId="2" applyFont="1" applyFill="1" applyBorder="1" applyAlignment="1" applyProtection="1">
      <alignment vertical="center" shrinkToFit="1"/>
    </xf>
    <xf numFmtId="38" fontId="117" fillId="10" borderId="3" xfId="2" applyFont="1" applyFill="1" applyBorder="1" applyAlignment="1" applyProtection="1">
      <alignment vertical="center" shrinkToFit="1"/>
    </xf>
    <xf numFmtId="38" fontId="97" fillId="0" borderId="59" xfId="2" applyFont="1" applyBorder="1" applyAlignment="1" applyProtection="1">
      <alignment vertical="center" shrinkToFit="1"/>
    </xf>
    <xf numFmtId="38" fontId="97" fillId="0" borderId="58" xfId="2" applyFont="1" applyBorder="1" applyAlignment="1" applyProtection="1">
      <alignment vertical="center" shrinkToFit="1"/>
    </xf>
    <xf numFmtId="38" fontId="97" fillId="0" borderId="248" xfId="2" applyFont="1" applyBorder="1" applyAlignment="1" applyProtection="1">
      <alignment vertical="center" shrinkToFit="1"/>
    </xf>
    <xf numFmtId="38" fontId="97" fillId="0" borderId="60" xfId="2" applyFont="1" applyBorder="1" applyAlignment="1" applyProtection="1">
      <alignment vertical="center" shrinkToFit="1"/>
    </xf>
    <xf numFmtId="178" fontId="31" fillId="0" borderId="0" xfId="0" applyNumberFormat="1" applyFont="1">
      <alignment vertical="center"/>
    </xf>
    <xf numFmtId="0" fontId="65" fillId="0" borderId="0" xfId="0" applyFont="1" applyAlignment="1" applyProtection="1">
      <alignment horizontal="center" vertical="center"/>
      <protection locked="0"/>
    </xf>
    <xf numFmtId="0" fontId="101" fillId="17" borderId="23" xfId="0" applyFont="1" applyFill="1" applyBorder="1" applyAlignment="1" applyProtection="1">
      <alignment horizontal="center" vertical="center"/>
      <protection locked="0"/>
    </xf>
    <xf numFmtId="0" fontId="101" fillId="17" borderId="22" xfId="0" applyFont="1" applyFill="1" applyBorder="1" applyAlignment="1" applyProtection="1">
      <alignment horizontal="center" vertical="center"/>
      <protection locked="0"/>
    </xf>
    <xf numFmtId="178" fontId="65" fillId="0" borderId="17" xfId="0" applyNumberFormat="1" applyFont="1" applyBorder="1" applyAlignment="1">
      <alignment horizontal="center" vertical="center" shrinkToFit="1"/>
    </xf>
    <xf numFmtId="178" fontId="65" fillId="0" borderId="0" xfId="0" applyNumberFormat="1" applyFont="1" applyAlignment="1" applyProtection="1">
      <alignment horizontal="center" vertical="center" shrinkToFit="1"/>
      <protection locked="0"/>
    </xf>
    <xf numFmtId="49" fontId="134" fillId="0" borderId="0" xfId="0" applyNumberFormat="1" applyFont="1" applyAlignment="1">
      <alignment horizontal="left" vertical="center"/>
    </xf>
    <xf numFmtId="49" fontId="134" fillId="0" borderId="0" xfId="0" applyNumberFormat="1" applyFont="1" applyAlignment="1">
      <alignment horizontal="center" vertical="center"/>
    </xf>
    <xf numFmtId="0" fontId="94" fillId="4" borderId="55" xfId="0" applyFont="1" applyFill="1" applyBorder="1" applyAlignment="1" applyProtection="1">
      <alignment horizontal="center" vertical="center" shrinkToFit="1"/>
      <protection locked="0"/>
    </xf>
    <xf numFmtId="0" fontId="94" fillId="4" borderId="73" xfId="0" applyFont="1" applyFill="1" applyBorder="1" applyAlignment="1" applyProtection="1">
      <alignment horizontal="center" vertical="center" shrinkToFit="1"/>
      <protection locked="0"/>
    </xf>
    <xf numFmtId="0" fontId="101" fillId="0" borderId="76" xfId="0" applyFont="1" applyBorder="1" applyAlignment="1">
      <alignment horizontal="center" vertical="center" shrinkToFit="1"/>
    </xf>
    <xf numFmtId="178" fontId="101" fillId="0" borderId="77" xfId="0" applyNumberFormat="1" applyFont="1" applyBorder="1" applyAlignment="1">
      <alignment horizontal="center" vertical="center" shrinkToFit="1"/>
    </xf>
    <xf numFmtId="178" fontId="94" fillId="0" borderId="17" xfId="0" applyNumberFormat="1" applyFont="1" applyBorder="1" applyAlignment="1">
      <alignment horizontal="center" vertical="center" shrinkToFit="1"/>
    </xf>
    <xf numFmtId="178" fontId="101" fillId="0" borderId="17" xfId="0" applyNumberFormat="1" applyFont="1" applyBorder="1" applyAlignment="1">
      <alignment horizontal="center" vertical="center" shrinkToFit="1"/>
    </xf>
    <xf numFmtId="181" fontId="94" fillId="4" borderId="69" xfId="0" applyNumberFormat="1" applyFont="1" applyFill="1" applyBorder="1" applyAlignment="1" applyProtection="1">
      <alignment vertical="center" shrinkToFit="1"/>
      <protection locked="0"/>
    </xf>
    <xf numFmtId="0" fontId="75" fillId="4" borderId="73" xfId="0" applyFont="1" applyFill="1" applyBorder="1" applyAlignment="1">
      <alignment horizontal="center" vertical="center" shrinkToFit="1"/>
    </xf>
    <xf numFmtId="0" fontId="148" fillId="0" borderId="0" xfId="0" applyFont="1" applyAlignment="1">
      <alignment horizontal="left" vertical="center" wrapText="1"/>
    </xf>
    <xf numFmtId="0" fontId="148" fillId="0" borderId="0" xfId="0" applyFont="1" applyAlignment="1">
      <alignment horizontal="center" vertical="center"/>
    </xf>
    <xf numFmtId="0" fontId="148" fillId="0" borderId="21" xfId="0" applyFont="1" applyBorder="1" applyAlignment="1">
      <alignment horizontal="center" vertical="center"/>
    </xf>
    <xf numFmtId="0" fontId="148" fillId="0" borderId="21" xfId="0" applyFont="1" applyBorder="1" applyAlignment="1">
      <alignment horizontal="left" vertical="center"/>
    </xf>
    <xf numFmtId="0" fontId="148" fillId="0" borderId="0" xfId="0" applyFont="1" applyAlignment="1">
      <alignment horizontal="left" vertical="center"/>
    </xf>
    <xf numFmtId="0" fontId="49" fillId="0" borderId="21" xfId="0" applyFont="1" applyBorder="1">
      <alignment vertical="center"/>
    </xf>
    <xf numFmtId="0" fontId="148" fillId="0" borderId="0" xfId="0" applyFont="1">
      <alignment vertical="center"/>
    </xf>
    <xf numFmtId="0" fontId="148" fillId="0" borderId="21" xfId="0" applyFont="1" applyBorder="1">
      <alignment vertical="center"/>
    </xf>
    <xf numFmtId="0" fontId="149" fillId="0" borderId="21" xfId="0" applyFont="1" applyBorder="1">
      <alignment vertical="center"/>
    </xf>
    <xf numFmtId="0" fontId="150" fillId="0" borderId="21" xfId="0" applyFont="1" applyBorder="1">
      <alignment vertical="center"/>
    </xf>
    <xf numFmtId="178" fontId="81" fillId="0" borderId="15" xfId="3" applyNumberFormat="1" applyFont="1" applyFill="1" applyBorder="1" applyAlignment="1" applyProtection="1">
      <alignment horizontal="center" vertical="center" shrinkToFit="1"/>
    </xf>
    <xf numFmtId="178" fontId="78" fillId="0" borderId="11" xfId="3" applyNumberFormat="1" applyFont="1" applyFill="1" applyBorder="1" applyAlignment="1" applyProtection="1">
      <alignment horizontal="center" vertical="center" shrinkToFit="1"/>
    </xf>
    <xf numFmtId="176" fontId="113" fillId="0" borderId="25" xfId="3" applyNumberFormat="1" applyFont="1" applyFill="1" applyBorder="1" applyAlignment="1" applyProtection="1">
      <alignment horizontal="right" vertical="center" shrinkToFit="1"/>
    </xf>
    <xf numFmtId="176" fontId="113" fillId="0" borderId="271" xfId="3" applyNumberFormat="1" applyFont="1" applyFill="1" applyBorder="1" applyAlignment="1" applyProtection="1">
      <alignment horizontal="right" vertical="center" shrinkToFit="1"/>
    </xf>
    <xf numFmtId="184" fontId="117" fillId="0" borderId="272" xfId="3" applyNumberFormat="1" applyFont="1" applyFill="1" applyBorder="1" applyAlignment="1" applyProtection="1">
      <alignment horizontal="right" vertical="center" shrinkToFit="1"/>
    </xf>
    <xf numFmtId="184" fontId="117" fillId="0" borderId="136" xfId="3" applyNumberFormat="1" applyFont="1" applyFill="1" applyBorder="1" applyAlignment="1" applyProtection="1">
      <alignment horizontal="right" vertical="center" shrinkToFit="1"/>
    </xf>
    <xf numFmtId="184" fontId="117" fillId="10" borderId="142" xfId="4" applyNumberFormat="1" applyFont="1" applyFill="1" applyBorder="1" applyAlignment="1" applyProtection="1">
      <alignment horizontal="center" vertical="center" shrinkToFit="1"/>
    </xf>
    <xf numFmtId="184" fontId="95" fillId="0" borderId="157" xfId="0" applyNumberFormat="1" applyFont="1" applyBorder="1" applyAlignment="1">
      <alignment horizontal="center" vertical="center" shrinkToFit="1"/>
    </xf>
    <xf numFmtId="184" fontId="117" fillId="10" borderId="141" xfId="3" applyNumberFormat="1" applyFont="1" applyFill="1" applyBorder="1" applyAlignment="1" applyProtection="1">
      <alignment horizontal="center" vertical="center" shrinkToFit="1"/>
    </xf>
    <xf numFmtId="184" fontId="90" fillId="0" borderId="157" xfId="3" applyNumberFormat="1" applyFont="1" applyBorder="1" applyAlignment="1" applyProtection="1">
      <alignment horizontal="center" vertical="center" shrinkToFit="1"/>
    </xf>
    <xf numFmtId="0" fontId="50" fillId="0" borderId="0" xfId="0" applyFont="1" applyAlignment="1">
      <alignment horizontal="center" vertical="center"/>
    </xf>
    <xf numFmtId="0" fontId="49" fillId="3" borderId="0" xfId="0" applyFont="1" applyFill="1" applyAlignment="1">
      <alignment horizontal="center" vertical="center"/>
    </xf>
    <xf numFmtId="0" fontId="49" fillId="5" borderId="0" xfId="0" applyFont="1" applyFill="1" applyAlignment="1">
      <alignment horizontal="center" vertical="center"/>
    </xf>
    <xf numFmtId="0" fontId="145" fillId="0" borderId="0" xfId="0" applyFont="1" applyAlignment="1">
      <alignment horizontal="center" vertical="center"/>
    </xf>
    <xf numFmtId="0" fontId="146" fillId="0" borderId="0" xfId="0" applyFont="1">
      <alignment vertical="center"/>
    </xf>
    <xf numFmtId="0" fontId="154" fillId="0" borderId="0" xfId="0" applyFont="1">
      <alignment vertical="center"/>
    </xf>
    <xf numFmtId="0" fontId="152" fillId="0" borderId="0" xfId="0" applyFont="1" applyAlignment="1">
      <alignment horizontal="center" vertical="center"/>
    </xf>
    <xf numFmtId="0" fontId="156" fillId="0" borderId="0" xfId="0" applyFont="1">
      <alignment vertical="center"/>
    </xf>
    <xf numFmtId="178" fontId="155" fillId="0" borderId="0" xfId="0" applyNumberFormat="1" applyFont="1" applyAlignment="1">
      <alignment horizontal="center" vertical="center"/>
    </xf>
    <xf numFmtId="0" fontId="155" fillId="0" borderId="0" xfId="0" applyFont="1" applyAlignment="1">
      <alignment horizontal="center" vertical="center"/>
    </xf>
    <xf numFmtId="0" fontId="157" fillId="0" borderId="0" xfId="0" applyFont="1">
      <alignment vertical="center"/>
    </xf>
    <xf numFmtId="49" fontId="158" fillId="0" borderId="0" xfId="0" applyNumberFormat="1" applyFont="1" applyAlignment="1">
      <alignment horizontal="center" vertical="center"/>
    </xf>
    <xf numFmtId="0" fontId="158" fillId="0" borderId="0" xfId="0" applyFont="1" applyAlignment="1">
      <alignment horizontal="center" vertical="center"/>
    </xf>
    <xf numFmtId="0" fontId="158" fillId="0" borderId="0" xfId="0" applyFont="1" applyAlignment="1">
      <alignment horizontal="center" vertical="center" shrinkToFit="1"/>
    </xf>
    <xf numFmtId="0" fontId="153" fillId="0" borderId="0" xfId="0" applyFont="1">
      <alignment vertical="center"/>
    </xf>
    <xf numFmtId="0" fontId="131" fillId="0" borderId="0" xfId="0" applyFont="1" applyAlignment="1">
      <alignment vertical="top" wrapText="1"/>
    </xf>
    <xf numFmtId="0" fontId="158" fillId="0" borderId="0" xfId="0" applyFont="1" applyAlignment="1" applyProtection="1">
      <alignment horizontal="center" vertical="center"/>
      <protection locked="0"/>
    </xf>
    <xf numFmtId="0" fontId="63" fillId="0" borderId="0" xfId="0" applyFont="1" applyAlignment="1">
      <alignment horizontal="center" vertical="center"/>
    </xf>
    <xf numFmtId="0" fontId="151" fillId="0" borderId="0" xfId="0" applyFont="1" applyAlignment="1">
      <alignment horizontal="center" vertical="center"/>
    </xf>
    <xf numFmtId="0" fontId="86" fillId="0" borderId="0" xfId="0" applyFont="1" applyAlignment="1" applyProtection="1">
      <alignment horizontal="center" vertical="center" wrapText="1"/>
      <protection locked="0"/>
    </xf>
    <xf numFmtId="0" fontId="38" fillId="0" borderId="0" xfId="0" applyFont="1" applyProtection="1">
      <alignment vertical="center"/>
      <protection hidden="1"/>
    </xf>
    <xf numFmtId="0" fontId="13" fillId="0" borderId="0" xfId="0" applyFont="1" applyProtection="1">
      <alignment vertical="center"/>
      <protection hidden="1"/>
    </xf>
    <xf numFmtId="0" fontId="160" fillId="0" borderId="0" xfId="0" applyFont="1" applyAlignment="1" applyProtection="1">
      <alignment horizontal="left" vertical="center" wrapTex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shrinkToFit="1"/>
      <protection hidden="1"/>
    </xf>
    <xf numFmtId="0" fontId="160" fillId="0" borderId="0" xfId="0" applyFont="1" applyAlignment="1" applyProtection="1">
      <alignment horizontal="left" vertical="center"/>
      <protection hidden="1"/>
    </xf>
    <xf numFmtId="0" fontId="93" fillId="0" borderId="0" xfId="0" applyFont="1" applyAlignment="1" applyProtection="1">
      <alignment horizontal="center" vertical="center"/>
      <protection hidden="1"/>
    </xf>
    <xf numFmtId="0" fontId="85" fillId="0" borderId="0" xfId="0" applyFont="1" applyAlignment="1" applyProtection="1">
      <alignment horizontal="left" vertical="center" wrapText="1"/>
      <protection hidden="1"/>
    </xf>
    <xf numFmtId="190" fontId="38" fillId="0" borderId="0" xfId="0" applyNumberFormat="1" applyFont="1" applyProtection="1">
      <alignment vertical="center"/>
      <protection hidden="1"/>
    </xf>
    <xf numFmtId="0" fontId="85" fillId="0" borderId="0" xfId="0" applyFont="1" applyAlignment="1" applyProtection="1">
      <alignment vertical="center" wrapText="1"/>
      <protection hidden="1"/>
    </xf>
    <xf numFmtId="0" fontId="13" fillId="0" borderId="0" xfId="0" applyFont="1" applyAlignment="1" applyProtection="1">
      <alignment horizontal="center" vertical="center"/>
      <protection hidden="1"/>
    </xf>
    <xf numFmtId="0" fontId="93" fillId="0" borderId="0" xfId="0" applyFont="1" applyProtection="1">
      <alignment vertical="center"/>
      <protection hidden="1"/>
    </xf>
    <xf numFmtId="0" fontId="161"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38"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0" fontId="162" fillId="0" borderId="0" xfId="0" applyFont="1" applyAlignment="1" applyProtection="1">
      <alignment horizontal="left" vertical="center"/>
      <protection hidden="1"/>
    </xf>
    <xf numFmtId="3" fontId="17" fillId="0" borderId="0" xfId="0" applyNumberFormat="1" applyFont="1" applyAlignment="1">
      <alignment horizontal="center" vertical="center"/>
    </xf>
    <xf numFmtId="178" fontId="81" fillId="0" borderId="232" xfId="3" applyNumberFormat="1" applyFont="1" applyFill="1" applyBorder="1" applyAlignment="1" applyProtection="1">
      <alignment vertical="center" shrinkToFit="1"/>
    </xf>
    <xf numFmtId="178" fontId="81" fillId="0" borderId="273" xfId="0" applyNumberFormat="1" applyFont="1" applyBorder="1" applyAlignment="1">
      <alignment vertical="center" shrinkToFit="1"/>
    </xf>
    <xf numFmtId="178" fontId="81" fillId="0" borderId="273" xfId="0" applyNumberFormat="1" applyFont="1" applyBorder="1" applyAlignment="1">
      <alignment horizontal="center" vertical="center" shrinkToFit="1"/>
    </xf>
    <xf numFmtId="0" fontId="164" fillId="0" borderId="0" xfId="0" applyFont="1">
      <alignment vertical="center"/>
    </xf>
    <xf numFmtId="0" fontId="165" fillId="0" borderId="0" xfId="0" applyFont="1">
      <alignment vertical="center"/>
    </xf>
    <xf numFmtId="0" fontId="166" fillId="0" borderId="0" xfId="0" applyFont="1" applyAlignment="1">
      <alignment horizontal="justify" vertical="center"/>
    </xf>
    <xf numFmtId="0" fontId="167" fillId="0" borderId="0" xfId="0" applyFont="1" applyAlignment="1">
      <alignment vertical="center" wrapText="1"/>
    </xf>
    <xf numFmtId="0" fontId="164" fillId="16" borderId="0" xfId="0" applyFont="1" applyFill="1" applyAlignment="1">
      <alignment vertical="center" wrapText="1"/>
    </xf>
    <xf numFmtId="0" fontId="168" fillId="16" borderId="0" xfId="12" applyFont="1" applyFill="1" applyBorder="1" applyAlignment="1">
      <alignment vertical="center" wrapText="1"/>
    </xf>
    <xf numFmtId="0" fontId="168" fillId="16" borderId="266" xfId="12" applyFont="1" applyFill="1" applyBorder="1" applyAlignment="1">
      <alignment vertical="center" wrapText="1"/>
    </xf>
    <xf numFmtId="0" fontId="164" fillId="16" borderId="261" xfId="0" applyFont="1" applyFill="1" applyBorder="1" applyAlignment="1">
      <alignment vertical="center" wrapText="1"/>
    </xf>
    <xf numFmtId="0" fontId="164" fillId="16" borderId="263" xfId="0" applyFont="1" applyFill="1" applyBorder="1" applyAlignment="1">
      <alignment vertical="center" wrapText="1"/>
    </xf>
    <xf numFmtId="0" fontId="164" fillId="16" borderId="262" xfId="0" applyFont="1" applyFill="1" applyBorder="1" applyAlignment="1">
      <alignment vertical="center" wrapText="1"/>
    </xf>
    <xf numFmtId="0" fontId="87" fillId="0" borderId="0" xfId="0" applyFont="1" applyAlignment="1" applyProtection="1">
      <alignment horizontal="center" vertical="center" wrapText="1"/>
      <protection locked="0"/>
    </xf>
    <xf numFmtId="0" fontId="87" fillId="0" borderId="0" xfId="0" applyFont="1" applyAlignment="1">
      <alignment horizontal="center" vertical="center" wrapText="1"/>
    </xf>
    <xf numFmtId="180" fontId="85" fillId="0" borderId="30" xfId="3" applyNumberFormat="1" applyFont="1" applyFill="1" applyBorder="1" applyAlignment="1" applyProtection="1">
      <alignment horizontal="center" vertical="center" shrinkToFit="1"/>
    </xf>
    <xf numFmtId="180" fontId="81" fillId="0" borderId="52" xfId="3" applyNumberFormat="1" applyFont="1" applyFill="1" applyBorder="1" applyAlignment="1" applyProtection="1">
      <alignment vertical="center" shrinkToFit="1"/>
      <protection locked="0"/>
    </xf>
    <xf numFmtId="176" fontId="80" fillId="0" borderId="279" xfId="0" applyNumberFormat="1" applyFont="1" applyBorder="1" applyAlignment="1">
      <alignment horizontal="center" vertical="center" shrinkToFit="1"/>
    </xf>
    <xf numFmtId="176" fontId="80" fillId="0" borderId="2" xfId="0" applyNumberFormat="1" applyFont="1" applyBorder="1" applyAlignment="1">
      <alignment horizontal="center" vertical="center" shrinkToFit="1"/>
    </xf>
    <xf numFmtId="176" fontId="80" fillId="0" borderId="183" xfId="0" applyNumberFormat="1" applyFont="1" applyBorder="1" applyAlignment="1">
      <alignment horizontal="center" vertical="center" shrinkToFit="1"/>
    </xf>
    <xf numFmtId="180" fontId="85" fillId="0" borderId="82" xfId="3" applyNumberFormat="1" applyFont="1" applyFill="1" applyBorder="1" applyAlignment="1" applyProtection="1">
      <alignment horizontal="center" vertical="center" shrinkToFit="1"/>
    </xf>
    <xf numFmtId="180" fontId="85" fillId="0" borderId="83" xfId="3" applyNumberFormat="1" applyFont="1" applyFill="1" applyBorder="1" applyAlignment="1" applyProtection="1">
      <alignment horizontal="center" vertical="center" shrinkToFit="1"/>
    </xf>
    <xf numFmtId="176" fontId="76" fillId="0" borderId="28" xfId="0" applyNumberFormat="1" applyFont="1" applyBorder="1" applyAlignment="1" applyProtection="1">
      <alignment vertical="center" shrinkToFit="1"/>
      <protection locked="0"/>
    </xf>
    <xf numFmtId="180" fontId="113" fillId="0" borderId="215" xfId="3" applyNumberFormat="1" applyFont="1" applyFill="1" applyBorder="1" applyAlignment="1" applyProtection="1">
      <alignment horizontal="right" vertical="center" shrinkToFit="1"/>
    </xf>
    <xf numFmtId="180" fontId="113" fillId="0" borderId="178" xfId="3" applyNumberFormat="1" applyFont="1" applyFill="1" applyBorder="1" applyAlignment="1" applyProtection="1">
      <alignment horizontal="right" vertical="center" shrinkToFit="1"/>
    </xf>
    <xf numFmtId="176" fontId="76" fillId="0" borderId="30" xfId="0" applyNumberFormat="1" applyFont="1" applyBorder="1" applyAlignment="1" applyProtection="1">
      <alignment horizontal="center" vertical="center" shrinkToFit="1"/>
      <protection locked="0"/>
    </xf>
    <xf numFmtId="0" fontId="169" fillId="0" borderId="0" xfId="0" applyFont="1">
      <alignment vertical="center"/>
    </xf>
    <xf numFmtId="0" fontId="169" fillId="0" borderId="0" xfId="0" applyFont="1" applyAlignment="1">
      <alignment horizontal="center" vertical="center"/>
    </xf>
    <xf numFmtId="186" fontId="169" fillId="0" borderId="0" xfId="0" applyNumberFormat="1" applyFont="1">
      <alignment vertical="center"/>
    </xf>
    <xf numFmtId="187" fontId="169" fillId="0" borderId="0" xfId="0" applyNumberFormat="1" applyFont="1" applyAlignment="1">
      <alignment horizontal="center" vertical="center"/>
    </xf>
    <xf numFmtId="188" fontId="169" fillId="0" borderId="0" xfId="0" applyNumberFormat="1" applyFont="1" applyAlignment="1">
      <alignment horizontal="center" vertical="center"/>
    </xf>
    <xf numFmtId="0" fontId="169" fillId="0" borderId="0" xfId="0" applyFont="1" applyAlignment="1">
      <alignment horizontal="center" vertical="center" textRotation="255"/>
    </xf>
    <xf numFmtId="187" fontId="169" fillId="0" borderId="0" xfId="0" applyNumberFormat="1" applyFont="1">
      <alignment vertical="center"/>
    </xf>
    <xf numFmtId="188" fontId="169" fillId="0" borderId="0" xfId="0" applyNumberFormat="1" applyFont="1">
      <alignment vertical="center"/>
    </xf>
    <xf numFmtId="0" fontId="169" fillId="0" borderId="0" xfId="0" applyFont="1" applyAlignment="1">
      <alignment vertical="center" wrapText="1"/>
    </xf>
    <xf numFmtId="0" fontId="169" fillId="0" borderId="0" xfId="0" applyFont="1" applyAlignment="1">
      <alignment horizontal="left" vertical="center" wrapText="1"/>
    </xf>
    <xf numFmtId="188" fontId="169" fillId="0" borderId="0" xfId="0" applyNumberFormat="1" applyFont="1" applyAlignment="1">
      <alignment horizontal="left" vertical="center"/>
    </xf>
    <xf numFmtId="0" fontId="170" fillId="0" borderId="0" xfId="0" applyFont="1">
      <alignment vertical="center"/>
    </xf>
    <xf numFmtId="0" fontId="170" fillId="0" borderId="0" xfId="0" applyFont="1" applyAlignment="1">
      <alignment horizontal="right" vertical="center"/>
    </xf>
    <xf numFmtId="0" fontId="171" fillId="0" borderId="0" xfId="0" applyFont="1">
      <alignment vertical="center"/>
    </xf>
    <xf numFmtId="0" fontId="169" fillId="0" borderId="0" xfId="0" applyFont="1" applyAlignment="1">
      <alignment horizontal="right" vertical="center"/>
    </xf>
    <xf numFmtId="0" fontId="169" fillId="0" borderId="0" xfId="0" applyFont="1" applyAlignment="1">
      <alignment horizontal="justify" vertical="center"/>
    </xf>
    <xf numFmtId="0" fontId="172" fillId="0" borderId="0" xfId="0" applyFont="1" applyAlignment="1">
      <alignment vertical="center" wrapText="1"/>
    </xf>
    <xf numFmtId="0" fontId="173" fillId="0" borderId="0" xfId="0" applyFont="1" applyAlignment="1">
      <alignment vertical="center" wrapText="1"/>
    </xf>
    <xf numFmtId="188" fontId="169" fillId="0" borderId="0" xfId="0" applyNumberFormat="1" applyFont="1" applyAlignment="1">
      <alignment vertical="center" wrapText="1"/>
    </xf>
    <xf numFmtId="0" fontId="169" fillId="16" borderId="0" xfId="0" applyFont="1" applyFill="1" applyAlignment="1">
      <alignment vertical="center" wrapText="1"/>
    </xf>
    <xf numFmtId="188" fontId="173" fillId="0" borderId="0" xfId="0" applyNumberFormat="1" applyFont="1" applyAlignment="1">
      <alignment vertical="center" wrapText="1"/>
    </xf>
    <xf numFmtId="187" fontId="170" fillId="0" borderId="0" xfId="0" applyNumberFormat="1" applyFont="1" applyAlignment="1">
      <alignment horizontal="right" vertical="center"/>
    </xf>
    <xf numFmtId="187" fontId="169" fillId="0" borderId="0" xfId="0" applyNumberFormat="1" applyFont="1" applyAlignment="1">
      <alignment horizontal="right" vertical="center"/>
    </xf>
    <xf numFmtId="187" fontId="170" fillId="0" borderId="0" xfId="0" applyNumberFormat="1" applyFont="1">
      <alignment vertical="center"/>
    </xf>
    <xf numFmtId="0" fontId="174" fillId="0" borderId="0" xfId="0" applyFont="1" applyAlignment="1">
      <alignment horizontal="justify" vertical="center"/>
    </xf>
    <xf numFmtId="56" fontId="169" fillId="0" borderId="0" xfId="0" applyNumberFormat="1" applyFont="1">
      <alignment vertical="center"/>
    </xf>
    <xf numFmtId="0" fontId="169" fillId="0" borderId="39" xfId="0" applyFont="1" applyBorder="1">
      <alignment vertical="center"/>
    </xf>
    <xf numFmtId="0" fontId="169" fillId="0" borderId="21" xfId="0" applyFont="1" applyBorder="1">
      <alignment vertical="center"/>
    </xf>
    <xf numFmtId="0" fontId="67" fillId="0" borderId="0" xfId="8" applyFont="1">
      <alignment vertical="center"/>
    </xf>
    <xf numFmtId="0" fontId="115" fillId="0" borderId="0" xfId="8" applyFont="1">
      <alignment vertical="center"/>
    </xf>
    <xf numFmtId="0" fontId="175" fillId="0" borderId="0" xfId="8" applyFont="1" applyAlignment="1">
      <alignment horizontal="center" vertical="center"/>
    </xf>
    <xf numFmtId="0" fontId="175" fillId="0" borderId="13" xfId="8" applyFont="1" applyBorder="1" applyAlignment="1">
      <alignment horizontal="center" vertical="center"/>
    </xf>
    <xf numFmtId="0" fontId="67" fillId="0" borderId="0" xfId="8" applyFont="1" applyAlignment="1">
      <alignment horizontal="center" vertical="center"/>
    </xf>
    <xf numFmtId="0" fontId="175" fillId="0" borderId="0" xfId="8" applyFont="1" applyAlignment="1">
      <alignment horizontal="center" vertical="center" wrapText="1"/>
    </xf>
    <xf numFmtId="0" fontId="77" fillId="0" borderId="285" xfId="8" applyFont="1" applyBorder="1" applyAlignment="1">
      <alignment horizontal="center" vertical="center" textRotation="255"/>
    </xf>
    <xf numFmtId="0" fontId="77" fillId="0" borderId="286" xfId="8" applyFont="1" applyBorder="1" applyAlignment="1">
      <alignment horizontal="center" vertical="center" textRotation="255"/>
    </xf>
    <xf numFmtId="49" fontId="67" fillId="0" borderId="0" xfId="8" applyNumberFormat="1" applyFont="1" applyAlignment="1">
      <alignment horizontal="right" vertical="center"/>
    </xf>
    <xf numFmtId="180" fontId="85" fillId="0" borderId="278" xfId="3" applyNumberFormat="1" applyFont="1" applyFill="1" applyBorder="1" applyAlignment="1" applyProtection="1">
      <alignment horizontal="center" vertical="center" shrinkToFit="1"/>
    </xf>
    <xf numFmtId="0" fontId="146" fillId="0" borderId="0" xfId="0" applyFont="1" applyProtection="1">
      <alignment vertical="center"/>
      <protection hidden="1"/>
    </xf>
    <xf numFmtId="0" fontId="85" fillId="0" borderId="0" xfId="0" applyFont="1" applyAlignment="1" applyProtection="1">
      <alignment horizontal="left" vertical="center"/>
      <protection hidden="1"/>
    </xf>
    <xf numFmtId="0" fontId="81" fillId="0" borderId="0" xfId="0" applyFont="1" applyAlignment="1">
      <alignment vertical="center" justifyLastLine="1"/>
    </xf>
    <xf numFmtId="178" fontId="81" fillId="0" borderId="14" xfId="3" applyNumberFormat="1" applyFont="1" applyFill="1" applyBorder="1" applyAlignment="1" applyProtection="1">
      <alignment horizontal="center" vertical="center" shrinkToFit="1"/>
    </xf>
    <xf numFmtId="178" fontId="78" fillId="0" borderId="3" xfId="3" applyNumberFormat="1" applyFont="1" applyFill="1" applyBorder="1" applyAlignment="1" applyProtection="1">
      <alignment horizontal="center" vertical="center" shrinkToFit="1"/>
    </xf>
    <xf numFmtId="181" fontId="113" fillId="0" borderId="26" xfId="3" applyNumberFormat="1" applyFont="1" applyFill="1" applyBorder="1" applyAlignment="1" applyProtection="1">
      <alignment horizontal="right" vertical="center" shrinkToFit="1"/>
    </xf>
    <xf numFmtId="181" fontId="113" fillId="0" borderId="290" xfId="3" applyNumberFormat="1" applyFont="1" applyFill="1" applyBorder="1" applyAlignment="1" applyProtection="1">
      <alignment horizontal="right" vertical="center" shrinkToFit="1"/>
    </xf>
    <xf numFmtId="191" fontId="81" fillId="0" borderId="15" xfId="0" applyNumberFormat="1" applyFont="1" applyBorder="1" applyAlignment="1">
      <alignment horizontal="center" vertical="center" wrapText="1" justifyLastLine="1"/>
    </xf>
    <xf numFmtId="191" fontId="81" fillId="0" borderId="55" xfId="0" applyNumberFormat="1" applyFont="1" applyBorder="1" applyAlignment="1">
      <alignment horizontal="center" vertical="center" justifyLastLine="1"/>
    </xf>
    <xf numFmtId="191" fontId="81" fillId="0" borderId="10" xfId="0" applyNumberFormat="1" applyFont="1" applyBorder="1" applyAlignment="1">
      <alignment horizontal="center" vertical="center" justifyLastLine="1"/>
    </xf>
    <xf numFmtId="191" fontId="82" fillId="0" borderId="14" xfId="0" applyNumberFormat="1" applyFont="1" applyBorder="1" applyAlignment="1">
      <alignment horizontal="center" vertical="center"/>
    </xf>
    <xf numFmtId="191" fontId="82" fillId="0" borderId="15" xfId="0" applyNumberFormat="1" applyFont="1" applyBorder="1" applyAlignment="1">
      <alignment horizontal="center" vertical="center"/>
    </xf>
    <xf numFmtId="191" fontId="81" fillId="0" borderId="14" xfId="0" applyNumberFormat="1" applyFont="1" applyBorder="1" applyAlignment="1">
      <alignment horizontal="center" vertical="center" justifyLastLine="1"/>
    </xf>
    <xf numFmtId="191" fontId="81" fillId="0" borderId="15" xfId="0" applyNumberFormat="1" applyFont="1" applyBorder="1" applyAlignment="1">
      <alignment horizontal="center" vertical="center" justifyLastLine="1"/>
    </xf>
    <xf numFmtId="191" fontId="93" fillId="0" borderId="15" xfId="0" applyNumberFormat="1" applyFont="1" applyBorder="1" applyAlignment="1">
      <alignment vertical="center" justifyLastLine="1"/>
    </xf>
    <xf numFmtId="191" fontId="81" fillId="0" borderId="10" xfId="0" applyNumberFormat="1" applyFont="1" applyBorder="1" applyAlignment="1">
      <alignment vertical="center" justifyLastLine="1"/>
    </xf>
    <xf numFmtId="191" fontId="81" fillId="0" borderId="269" xfId="0" applyNumberFormat="1" applyFont="1" applyBorder="1" applyAlignment="1">
      <alignment vertical="center" justifyLastLine="1"/>
    </xf>
    <xf numFmtId="191" fontId="81" fillId="0" borderId="70" xfId="0" applyNumberFormat="1" applyFont="1" applyBorder="1" applyAlignment="1">
      <alignment vertical="center" textRotation="255" wrapText="1"/>
    </xf>
    <xf numFmtId="191" fontId="81" fillId="0" borderId="75" xfId="0" applyNumberFormat="1" applyFont="1" applyBorder="1" applyAlignment="1">
      <alignment horizontal="center" vertical="center" justifyLastLine="1"/>
    </xf>
    <xf numFmtId="191" fontId="81" fillId="0" borderId="131" xfId="0" applyNumberFormat="1" applyFont="1" applyBorder="1" applyAlignment="1">
      <alignment horizontal="center" vertical="center" wrapText="1" justifyLastLine="1"/>
    </xf>
    <xf numFmtId="191" fontId="81" fillId="0" borderId="76" xfId="0" applyNumberFormat="1" applyFont="1" applyBorder="1" applyAlignment="1">
      <alignment horizontal="center" vertical="center" wrapText="1" justifyLastLine="1"/>
    </xf>
    <xf numFmtId="191" fontId="81" fillId="0" borderId="75" xfId="0" applyNumberFormat="1" applyFont="1" applyBorder="1" applyAlignment="1">
      <alignment horizontal="center" vertical="center" wrapText="1" justifyLastLine="1"/>
    </xf>
    <xf numFmtId="191" fontId="67" fillId="0" borderId="131" xfId="0" applyNumberFormat="1" applyFont="1" applyBorder="1" applyAlignment="1">
      <alignment vertical="center" shrinkToFit="1"/>
    </xf>
    <xf numFmtId="191" fontId="81" fillId="0" borderId="76" xfId="0" applyNumberFormat="1" applyFont="1" applyBorder="1" applyAlignment="1">
      <alignment horizontal="left" vertical="center"/>
    </xf>
    <xf numFmtId="191" fontId="82" fillId="0" borderId="76" xfId="0" applyNumberFormat="1" applyFont="1" applyBorder="1">
      <alignment vertical="center"/>
    </xf>
    <xf numFmtId="191" fontId="82" fillId="0" borderId="18" xfId="0" applyNumberFormat="1" applyFont="1" applyBorder="1" applyAlignment="1">
      <alignment horizontal="left" vertical="center"/>
    </xf>
    <xf numFmtId="178" fontId="102" fillId="0" borderId="0" xfId="0" applyNumberFormat="1" applyFont="1" applyAlignment="1">
      <alignment horizontal="center" vertical="center" shrinkToFit="1"/>
    </xf>
    <xf numFmtId="0" fontId="93" fillId="0" borderId="0" xfId="0" applyFont="1" applyAlignment="1">
      <alignment horizontal="center" vertical="center"/>
    </xf>
    <xf numFmtId="0" fontId="87" fillId="0" borderId="3" xfId="0" applyFont="1" applyBorder="1" applyAlignment="1">
      <alignment horizontal="center" vertical="center"/>
    </xf>
    <xf numFmtId="0" fontId="87" fillId="0" borderId="2" xfId="0" applyFont="1" applyBorder="1" applyAlignment="1">
      <alignment horizontal="center" vertical="center"/>
    </xf>
    <xf numFmtId="0" fontId="87" fillId="0" borderId="2" xfId="0" applyFont="1" applyBorder="1" applyAlignment="1">
      <alignment horizontal="left" vertical="center"/>
    </xf>
    <xf numFmtId="0" fontId="87" fillId="0" borderId="2" xfId="0" applyFont="1" applyBorder="1">
      <alignment vertical="center"/>
    </xf>
    <xf numFmtId="0" fontId="87" fillId="0" borderId="11" xfId="0" applyFont="1" applyBorder="1">
      <alignment vertical="center"/>
    </xf>
    <xf numFmtId="0" fontId="87" fillId="0" borderId="3" xfId="0" applyFont="1" applyBorder="1">
      <alignment vertical="center"/>
    </xf>
    <xf numFmtId="0" fontId="87" fillId="0" borderId="2" xfId="0" applyFont="1" applyBorder="1" applyProtection="1">
      <alignment vertical="center"/>
      <protection locked="0"/>
    </xf>
    <xf numFmtId="0" fontId="87" fillId="0" borderId="13" xfId="0" applyFont="1" applyBorder="1">
      <alignment vertical="center"/>
    </xf>
    <xf numFmtId="0" fontId="87" fillId="0" borderId="14" xfId="0" applyFont="1" applyBorder="1" applyAlignment="1">
      <alignment horizontal="left" vertical="center"/>
    </xf>
    <xf numFmtId="0" fontId="87" fillId="0" borderId="10" xfId="0" applyFont="1" applyBorder="1" applyAlignment="1">
      <alignment horizontal="left" vertical="center"/>
    </xf>
    <xf numFmtId="0" fontId="87" fillId="0" borderId="15" xfId="0" applyFont="1" applyBorder="1">
      <alignment vertical="center"/>
    </xf>
    <xf numFmtId="0" fontId="87" fillId="0" borderId="14" xfId="0" applyFont="1" applyBorder="1">
      <alignment vertical="center"/>
    </xf>
    <xf numFmtId="0" fontId="87" fillId="0" borderId="10" xfId="0" applyFont="1" applyBorder="1">
      <alignment vertical="center"/>
    </xf>
    <xf numFmtId="0" fontId="87" fillId="0" borderId="2" xfId="0" applyFont="1" applyBorder="1" applyAlignment="1">
      <alignment horizontal="center" vertical="center" shrinkToFit="1"/>
    </xf>
    <xf numFmtId="0" fontId="87" fillId="0" borderId="11" xfId="0" applyFont="1" applyBorder="1" applyAlignment="1">
      <alignment horizontal="center" vertical="center"/>
    </xf>
    <xf numFmtId="0" fontId="87" fillId="0" borderId="2" xfId="0" applyFont="1" applyBorder="1" applyAlignment="1">
      <alignment horizontal="right" vertical="center"/>
    </xf>
    <xf numFmtId="0" fontId="87" fillId="0" borderId="2" xfId="0" applyFont="1" applyBorder="1" applyAlignment="1" applyProtection="1">
      <alignment horizontal="center" vertical="center" shrinkToFit="1"/>
      <protection locked="0"/>
    </xf>
    <xf numFmtId="0" fontId="87" fillId="0" borderId="10" xfId="0" applyFont="1" applyBorder="1" applyAlignment="1">
      <alignment horizontal="center" vertical="center"/>
    </xf>
    <xf numFmtId="0" fontId="87" fillId="0" borderId="10" xfId="0" applyFont="1" applyBorder="1" applyAlignment="1">
      <alignment horizontal="center" vertical="center" shrinkToFit="1"/>
    </xf>
    <xf numFmtId="0" fontId="87" fillId="0" borderId="15" xfId="0" applyFont="1" applyBorder="1" applyAlignment="1">
      <alignment horizontal="center" vertical="center" shrinkToFit="1"/>
    </xf>
    <xf numFmtId="0" fontId="87" fillId="0" borderId="14" xfId="0" applyFont="1" applyBorder="1" applyAlignment="1">
      <alignment horizontal="center" vertical="center"/>
    </xf>
    <xf numFmtId="0" fontId="87" fillId="0" borderId="10" xfId="0" applyFont="1" applyBorder="1" applyAlignment="1" applyProtection="1">
      <alignment horizontal="center" vertical="center" shrinkToFit="1"/>
      <protection locked="0"/>
    </xf>
    <xf numFmtId="0" fontId="87" fillId="0" borderId="3" xfId="0" applyFont="1" applyBorder="1" applyAlignment="1">
      <alignment horizontal="left" vertical="center"/>
    </xf>
    <xf numFmtId="0" fontId="87" fillId="0" borderId="10" xfId="0" applyFont="1" applyBorder="1" applyProtection="1">
      <alignment vertical="center"/>
      <protection locked="0"/>
    </xf>
    <xf numFmtId="178" fontId="90" fillId="0" borderId="0" xfId="0" applyNumberFormat="1" applyFont="1" applyAlignment="1">
      <alignment horizontal="center" vertical="center"/>
    </xf>
    <xf numFmtId="178" fontId="90" fillId="0" borderId="10" xfId="0" applyNumberFormat="1" applyFont="1" applyBorder="1" applyAlignment="1">
      <alignment horizontal="center" vertical="center"/>
    </xf>
    <xf numFmtId="178" fontId="81" fillId="0" borderId="0" xfId="0" applyNumberFormat="1" applyFont="1" applyAlignment="1">
      <alignment horizontal="center" vertical="center" textRotation="255"/>
    </xf>
    <xf numFmtId="178" fontId="81" fillId="0" borderId="55" xfId="0" applyNumberFormat="1" applyFont="1" applyBorder="1" applyAlignment="1">
      <alignment vertical="center" textRotation="255"/>
    </xf>
    <xf numFmtId="178" fontId="81" fillId="0" borderId="17" xfId="0" applyNumberFormat="1" applyFont="1" applyBorder="1" applyAlignment="1">
      <alignment vertical="center" textRotation="255"/>
    </xf>
    <xf numFmtId="0" fontId="93" fillId="0" borderId="17" xfId="0" applyFont="1" applyBorder="1" applyAlignment="1">
      <alignment horizontal="center" vertical="center"/>
    </xf>
    <xf numFmtId="178" fontId="102" fillId="0" borderId="17" xfId="0" applyNumberFormat="1" applyFont="1" applyBorder="1" applyAlignment="1">
      <alignment horizontal="center" vertical="center"/>
    </xf>
    <xf numFmtId="178" fontId="102" fillId="0" borderId="17" xfId="0" applyNumberFormat="1" applyFont="1" applyBorder="1" applyAlignment="1">
      <alignment horizontal="center" vertical="center" shrinkToFit="1"/>
    </xf>
    <xf numFmtId="0" fontId="76" fillId="0" borderId="2" xfId="0" applyFont="1" applyBorder="1" applyAlignment="1">
      <alignment horizontal="center" vertical="center"/>
    </xf>
    <xf numFmtId="0" fontId="76" fillId="0" borderId="17" xfId="0" applyFont="1" applyBorder="1" applyAlignment="1">
      <alignment horizontal="center" vertical="center"/>
    </xf>
    <xf numFmtId="0" fontId="177" fillId="0" borderId="0" xfId="0" applyFont="1" applyAlignment="1">
      <alignment vertical="top" shrinkToFit="1"/>
    </xf>
    <xf numFmtId="0" fontId="178" fillId="0" borderId="0" xfId="0" applyFont="1" applyAlignment="1">
      <alignment vertical="top"/>
    </xf>
    <xf numFmtId="178" fontId="55" fillId="0" borderId="0" xfId="0" applyNumberFormat="1" applyFont="1">
      <alignment vertical="center"/>
    </xf>
    <xf numFmtId="0" fontId="178" fillId="0" borderId="0" xfId="0" applyFont="1" applyAlignment="1">
      <alignment vertical="center" wrapText="1"/>
    </xf>
    <xf numFmtId="6" fontId="114" fillId="0" borderId="0" xfId="6" applyFont="1" applyFill="1" applyBorder="1" applyAlignment="1" applyProtection="1">
      <alignment vertical="center" wrapText="1"/>
    </xf>
    <xf numFmtId="0" fontId="119" fillId="0" borderId="34" xfId="0" applyFont="1" applyBorder="1" applyAlignment="1"/>
    <xf numFmtId="0" fontId="119" fillId="0" borderId="38" xfId="0" applyFont="1" applyBorder="1" applyAlignment="1"/>
    <xf numFmtId="0" fontId="179" fillId="0" borderId="38" xfId="0" applyFont="1" applyBorder="1" applyAlignment="1">
      <alignment vertical="center" wrapText="1"/>
    </xf>
    <xf numFmtId="0" fontId="179" fillId="0" borderId="39" xfId="0" applyFont="1" applyBorder="1" applyAlignment="1">
      <alignment vertical="center" wrapText="1"/>
    </xf>
    <xf numFmtId="179" fontId="114" fillId="0" borderId="21" xfId="6" applyNumberFormat="1" applyFont="1" applyFill="1" applyBorder="1" applyAlignment="1" applyProtection="1">
      <alignment vertical="center" wrapText="1"/>
    </xf>
    <xf numFmtId="0" fontId="179" fillId="0" borderId="0" xfId="0" applyFont="1" applyAlignment="1">
      <alignment vertical="center" wrapText="1"/>
    </xf>
    <xf numFmtId="49" fontId="36" fillId="0" borderId="0" xfId="0" applyNumberFormat="1" applyFont="1" applyAlignment="1"/>
    <xf numFmtId="49" fontId="52" fillId="0" borderId="34" xfId="0" applyNumberFormat="1" applyFont="1" applyBorder="1" applyAlignment="1"/>
    <xf numFmtId="49" fontId="52" fillId="0" borderId="38" xfId="0" applyNumberFormat="1" applyFont="1" applyBorder="1" applyAlignment="1"/>
    <xf numFmtId="49" fontId="52" fillId="0" borderId="0" xfId="0" applyNumberFormat="1" applyFont="1" applyAlignment="1"/>
    <xf numFmtId="49" fontId="52" fillId="0" borderId="21" xfId="6" applyNumberFormat="1" applyFont="1" applyFill="1" applyBorder="1" applyAlignment="1" applyProtection="1">
      <alignment vertical="center"/>
    </xf>
    <xf numFmtId="49" fontId="52" fillId="0" borderId="38" xfId="0" applyNumberFormat="1" applyFont="1" applyBorder="1">
      <alignment vertical="center"/>
    </xf>
    <xf numFmtId="49" fontId="52" fillId="0" borderId="39" xfId="0" applyNumberFormat="1" applyFont="1" applyBorder="1">
      <alignment vertical="center"/>
    </xf>
    <xf numFmtId="49" fontId="52" fillId="0" borderId="0" xfId="0" applyNumberFormat="1" applyFont="1">
      <alignment vertical="center"/>
    </xf>
    <xf numFmtId="49" fontId="52" fillId="0" borderId="13" xfId="0" applyNumberFormat="1" applyFont="1" applyBorder="1" applyAlignment="1"/>
    <xf numFmtId="49" fontId="52" fillId="0" borderId="87" xfId="0" applyNumberFormat="1" applyFont="1" applyBorder="1" applyAlignment="1"/>
    <xf numFmtId="6" fontId="111" fillId="0" borderId="0" xfId="6" applyFont="1" applyFill="1" applyBorder="1" applyAlignment="1" applyProtection="1">
      <alignment horizontal="left" vertical="center" wrapText="1"/>
    </xf>
    <xf numFmtId="6" fontId="114" fillId="0" borderId="0" xfId="6" applyFont="1" applyFill="1" applyBorder="1" applyAlignment="1" applyProtection="1">
      <alignment vertical="center"/>
    </xf>
    <xf numFmtId="180" fontId="114" fillId="0" borderId="21" xfId="6" applyNumberFormat="1" applyFont="1" applyFill="1" applyBorder="1" applyAlignment="1" applyProtection="1">
      <alignment vertical="center" wrapText="1"/>
    </xf>
    <xf numFmtId="0" fontId="119" fillId="0" borderId="0" xfId="0" applyFont="1" applyAlignment="1">
      <alignment vertical="center" wrapText="1" shrinkToFit="1"/>
    </xf>
    <xf numFmtId="0" fontId="119" fillId="0" borderId="0" xfId="0" applyFont="1" applyProtection="1">
      <alignment vertical="center"/>
      <protection locked="0"/>
    </xf>
    <xf numFmtId="180" fontId="119" fillId="0" borderId="0" xfId="0" applyNumberFormat="1" applyFont="1" applyAlignment="1" applyProtection="1">
      <alignment vertical="center" shrinkToFit="1"/>
      <protection locked="0"/>
    </xf>
    <xf numFmtId="180" fontId="114" fillId="0" borderId="21" xfId="0" applyNumberFormat="1" applyFont="1" applyBorder="1" applyAlignment="1">
      <alignment vertical="center" wrapText="1" shrinkToFit="1"/>
    </xf>
    <xf numFmtId="0" fontId="67" fillId="0" borderId="0" xfId="8" applyFont="1" applyAlignment="1" applyProtection="1">
      <alignment vertical="center" wrapText="1"/>
      <protection locked="0"/>
    </xf>
    <xf numFmtId="0" fontId="67" fillId="0" borderId="12" xfId="8" applyFont="1" applyBorder="1" applyAlignment="1" applyProtection="1">
      <alignment vertical="center" wrapText="1"/>
      <protection locked="0"/>
    </xf>
    <xf numFmtId="6" fontId="111" fillId="0" borderId="2" xfId="6" applyFont="1" applyFill="1" applyBorder="1" applyAlignment="1" applyProtection="1">
      <alignment horizontal="left" vertical="center" wrapText="1"/>
    </xf>
    <xf numFmtId="0" fontId="86" fillId="0" borderId="0" xfId="8" applyFont="1" applyAlignment="1">
      <alignment horizontal="center" vertical="center"/>
    </xf>
    <xf numFmtId="0" fontId="86" fillId="0" borderId="0" xfId="8" applyFont="1" applyAlignment="1">
      <alignment horizontal="center" vertical="center" wrapText="1"/>
    </xf>
    <xf numFmtId="0" fontId="86" fillId="0" borderId="12" xfId="8" applyFont="1" applyBorder="1" applyAlignment="1">
      <alignment horizontal="center" vertical="center" wrapText="1"/>
    </xf>
    <xf numFmtId="0" fontId="77" fillId="0" borderId="0" xfId="8" applyFont="1" applyAlignment="1">
      <alignment horizontal="center" vertical="center" textRotation="255"/>
    </xf>
    <xf numFmtId="0" fontId="92" fillId="0" borderId="15" xfId="8" applyFont="1" applyBorder="1" applyAlignment="1">
      <alignment horizontal="center" vertical="center"/>
    </xf>
    <xf numFmtId="0" fontId="92" fillId="0" borderId="10" xfId="8" applyFont="1" applyBorder="1" applyAlignment="1">
      <alignment horizontal="center" vertical="center"/>
    </xf>
    <xf numFmtId="0" fontId="92" fillId="0" borderId="14" xfId="8" applyFont="1" applyBorder="1" applyAlignment="1">
      <alignment horizontal="center" vertical="center"/>
    </xf>
    <xf numFmtId="20" fontId="67" fillId="0" borderId="0" xfId="8" applyNumberFormat="1" applyFont="1">
      <alignment vertical="center"/>
    </xf>
    <xf numFmtId="0" fontId="67" fillId="0" borderId="0" xfId="8" applyFont="1" applyAlignment="1">
      <alignment vertical="center" wrapText="1"/>
    </xf>
    <xf numFmtId="0" fontId="77" fillId="0" borderId="315" xfId="8" applyFont="1" applyBorder="1" applyAlignment="1">
      <alignment horizontal="center" vertical="center" textRotation="255"/>
    </xf>
    <xf numFmtId="49" fontId="124" fillId="0" borderId="0" xfId="0" applyNumberFormat="1" applyFont="1" applyAlignment="1">
      <alignment horizontal="center" vertical="center"/>
    </xf>
    <xf numFmtId="0" fontId="124" fillId="0" borderId="0" xfId="0" applyFont="1">
      <alignment vertical="center"/>
    </xf>
    <xf numFmtId="49" fontId="134" fillId="0" borderId="13" xfId="0" applyNumberFormat="1" applyFont="1" applyBorder="1" applyAlignment="1">
      <alignment horizontal="left" vertical="center" wrapText="1"/>
    </xf>
    <xf numFmtId="0" fontId="86" fillId="0" borderId="2" xfId="0" applyFont="1" applyBorder="1" applyAlignment="1">
      <alignment horizontal="left" vertical="center"/>
    </xf>
    <xf numFmtId="49" fontId="86" fillId="0" borderId="0" xfId="0" applyNumberFormat="1" applyFont="1" applyAlignment="1" applyProtection="1">
      <alignment horizontal="right" vertical="center" shrinkToFit="1"/>
      <protection locked="0"/>
    </xf>
    <xf numFmtId="49" fontId="65" fillId="0" borderId="0" xfId="0" applyNumberFormat="1" applyFont="1" applyAlignment="1" applyProtection="1">
      <alignment horizontal="center" vertical="center" shrinkToFit="1"/>
      <protection locked="0"/>
    </xf>
    <xf numFmtId="0" fontId="65" fillId="0" borderId="0" xfId="0" applyFont="1" applyAlignment="1" applyProtection="1">
      <alignment horizontal="right" vertical="center" shrinkToFit="1"/>
      <protection locked="0"/>
    </xf>
    <xf numFmtId="49" fontId="134" fillId="0" borderId="0" xfId="0" applyNumberFormat="1" applyFont="1" applyAlignment="1">
      <alignment horizontal="left" vertical="center" wrapText="1"/>
    </xf>
    <xf numFmtId="49" fontId="134" fillId="0" borderId="13" xfId="0" applyNumberFormat="1" applyFont="1" applyBorder="1" applyAlignment="1">
      <alignment horizontal="center" vertical="center"/>
    </xf>
    <xf numFmtId="0" fontId="86" fillId="0" borderId="1" xfId="0" applyFont="1" applyBorder="1" applyAlignment="1">
      <alignment horizontal="left" vertical="center"/>
    </xf>
    <xf numFmtId="0" fontId="181" fillId="0" borderId="0" xfId="0" applyFont="1" applyAlignment="1">
      <alignment horizontal="center" vertical="center"/>
    </xf>
    <xf numFmtId="0" fontId="164" fillId="0" borderId="0" xfId="0" applyFont="1" applyAlignment="1">
      <alignment horizontal="center" vertical="center"/>
    </xf>
    <xf numFmtId="0" fontId="182" fillId="0" borderId="0" xfId="0" applyFont="1">
      <alignment vertical="center"/>
    </xf>
    <xf numFmtId="0" fontId="164" fillId="0" borderId="0" xfId="0" applyFont="1" applyAlignment="1">
      <alignment vertical="center" wrapText="1"/>
    </xf>
    <xf numFmtId="0" fontId="183" fillId="0" borderId="0" xfId="0" applyFont="1">
      <alignment vertical="center"/>
    </xf>
    <xf numFmtId="0" fontId="164" fillId="0" borderId="0" xfId="0" applyFont="1" applyAlignment="1">
      <alignment horizontal="center" vertical="center" wrapText="1"/>
    </xf>
    <xf numFmtId="0" fontId="182" fillId="0" borderId="0" xfId="0" applyFont="1" applyAlignment="1">
      <alignment horizontal="center" vertical="center" wrapText="1"/>
    </xf>
    <xf numFmtId="0" fontId="182" fillId="0" borderId="0" xfId="0" applyFont="1" applyAlignment="1">
      <alignment horizontal="center" vertical="center"/>
    </xf>
    <xf numFmtId="181" fontId="164" fillId="0" borderId="0" xfId="0" applyNumberFormat="1" applyFont="1">
      <alignment vertical="center"/>
    </xf>
    <xf numFmtId="0" fontId="183" fillId="0" borderId="0" xfId="0" applyFont="1" applyAlignment="1">
      <alignment vertical="center" shrinkToFit="1"/>
    </xf>
    <xf numFmtId="38" fontId="164" fillId="0" borderId="0" xfId="1" applyFont="1" applyBorder="1" applyAlignment="1">
      <alignment horizontal="center" vertical="center"/>
    </xf>
    <xf numFmtId="0" fontId="184" fillId="0" borderId="0" xfId="0" applyFont="1">
      <alignment vertical="center"/>
    </xf>
    <xf numFmtId="0" fontId="185" fillId="0" borderId="0" xfId="0" applyFont="1">
      <alignment vertical="center"/>
    </xf>
    <xf numFmtId="0" fontId="164" fillId="3" borderId="0" xfId="0" applyFont="1" applyFill="1">
      <alignment vertical="center"/>
    </xf>
    <xf numFmtId="0" fontId="164" fillId="12" borderId="0" xfId="0" applyFont="1" applyFill="1">
      <alignment vertical="center"/>
    </xf>
    <xf numFmtId="189" fontId="164" fillId="0" borderId="0" xfId="0" applyNumberFormat="1" applyFont="1" applyAlignment="1">
      <alignment horizontal="right" vertical="center"/>
    </xf>
    <xf numFmtId="0" fontId="164" fillId="15" borderId="0" xfId="0" applyFont="1" applyFill="1">
      <alignment vertical="center"/>
    </xf>
    <xf numFmtId="0" fontId="180" fillId="0" borderId="0" xfId="0" applyFont="1" applyAlignment="1">
      <alignment horizontal="center" vertical="center"/>
    </xf>
    <xf numFmtId="185" fontId="164" fillId="0" borderId="0" xfId="0" applyNumberFormat="1" applyFont="1">
      <alignment vertical="center"/>
    </xf>
    <xf numFmtId="0" fontId="164" fillId="3" borderId="0" xfId="0" applyFont="1" applyFill="1" applyAlignment="1">
      <alignment horizontal="center" vertical="center"/>
    </xf>
    <xf numFmtId="185" fontId="164" fillId="3" borderId="0" xfId="1" applyNumberFormat="1" applyFont="1" applyFill="1" applyBorder="1">
      <alignment vertical="center"/>
    </xf>
    <xf numFmtId="185" fontId="164" fillId="3" borderId="0" xfId="0" applyNumberFormat="1" applyFont="1" applyFill="1">
      <alignment vertical="center"/>
    </xf>
    <xf numFmtId="0" fontId="183" fillId="0" borderId="0" xfId="0" applyFont="1" applyAlignment="1">
      <alignment horizontal="center" vertical="center" shrinkToFit="1"/>
    </xf>
    <xf numFmtId="0" fontId="183" fillId="0" borderId="0" xfId="0" applyFont="1" applyAlignment="1">
      <alignment horizontal="center" vertical="center"/>
    </xf>
    <xf numFmtId="185" fontId="164" fillId="0" borderId="0" xfId="1" applyNumberFormat="1" applyFont="1" applyBorder="1">
      <alignment vertical="center"/>
    </xf>
    <xf numFmtId="0" fontId="164" fillId="5" borderId="0" xfId="0" applyFont="1" applyFill="1" applyAlignment="1">
      <alignment horizontal="center" vertical="center"/>
    </xf>
    <xf numFmtId="185" fontId="164" fillId="5" borderId="0" xfId="0" applyNumberFormat="1" applyFont="1" applyFill="1">
      <alignment vertical="center"/>
    </xf>
    <xf numFmtId="185" fontId="164" fillId="5" borderId="0" xfId="1" applyNumberFormat="1" applyFont="1" applyFill="1" applyBorder="1">
      <alignment vertical="center"/>
    </xf>
    <xf numFmtId="0" fontId="164" fillId="5" borderId="0" xfId="0" applyFont="1" applyFill="1">
      <alignment vertical="center"/>
    </xf>
    <xf numFmtId="182" fontId="164" fillId="0" borderId="0" xfId="0" applyNumberFormat="1" applyFont="1">
      <alignment vertical="center"/>
    </xf>
    <xf numFmtId="0" fontId="183" fillId="0" borderId="264" xfId="0" applyFont="1" applyBorder="1" applyAlignment="1">
      <alignment horizontal="center" vertical="center" shrinkToFit="1"/>
    </xf>
    <xf numFmtId="185" fontId="182" fillId="0" borderId="0" xfId="0" applyNumberFormat="1" applyFont="1">
      <alignment vertical="center"/>
    </xf>
    <xf numFmtId="0" fontId="164" fillId="13" borderId="0" xfId="0" applyFont="1" applyFill="1">
      <alignment vertical="center"/>
    </xf>
    <xf numFmtId="0" fontId="182" fillId="0" borderId="2" xfId="0" applyFont="1" applyBorder="1">
      <alignment vertical="center"/>
    </xf>
    <xf numFmtId="177" fontId="164" fillId="0" borderId="0" xfId="0" applyNumberFormat="1" applyFont="1">
      <alignment vertical="center"/>
    </xf>
    <xf numFmtId="0" fontId="164" fillId="14" borderId="0" xfId="0" applyFont="1" applyFill="1">
      <alignment vertical="center"/>
    </xf>
    <xf numFmtId="0" fontId="186" fillId="0" borderId="0" xfId="0" applyFont="1" applyAlignment="1">
      <alignment horizontal="center" vertical="center" wrapText="1"/>
    </xf>
    <xf numFmtId="0" fontId="164" fillId="0" borderId="0" xfId="0" applyFont="1" applyAlignment="1">
      <alignment horizontal="right" vertical="center"/>
    </xf>
    <xf numFmtId="0" fontId="187" fillId="0" borderId="0" xfId="0" applyFont="1">
      <alignment vertical="center"/>
    </xf>
    <xf numFmtId="0" fontId="187" fillId="0" borderId="0" xfId="0" applyFont="1" applyAlignment="1">
      <alignment horizontal="center" vertical="center"/>
    </xf>
    <xf numFmtId="0" fontId="92" fillId="0" borderId="0" xfId="8" applyFont="1" applyAlignment="1">
      <alignment horizontal="center" vertical="center"/>
    </xf>
    <xf numFmtId="0" fontId="175" fillId="0" borderId="0" xfId="8" applyFont="1" applyAlignment="1" applyProtection="1">
      <alignment horizontal="center" vertical="center"/>
      <protection locked="0"/>
    </xf>
    <xf numFmtId="0" fontId="86" fillId="0" borderId="0" xfId="8" applyFont="1" applyAlignment="1" applyProtection="1">
      <alignment vertical="center" wrapText="1"/>
      <protection locked="0"/>
    </xf>
    <xf numFmtId="180" fontId="74" fillId="0" borderId="21" xfId="0" applyNumberFormat="1" applyFont="1" applyBorder="1" applyAlignment="1">
      <alignment horizontal="center" vertical="center" wrapText="1" shrinkToFit="1"/>
    </xf>
    <xf numFmtId="180" fontId="74" fillId="0" borderId="21" xfId="0" applyNumberFormat="1" applyFont="1" applyBorder="1" applyAlignment="1">
      <alignment horizontal="center" vertical="center"/>
    </xf>
    <xf numFmtId="180" fontId="107" fillId="0" borderId="21" xfId="0" applyNumberFormat="1" applyFont="1" applyBorder="1" applyAlignment="1" applyProtection="1">
      <alignment horizontal="center" vertical="center"/>
      <protection locked="0"/>
    </xf>
    <xf numFmtId="180" fontId="107" fillId="0" borderId="21" xfId="0" applyNumberFormat="1" applyFont="1" applyBorder="1" applyAlignment="1" applyProtection="1">
      <alignment horizontal="center" vertical="center" shrinkToFit="1"/>
      <protection locked="0"/>
    </xf>
    <xf numFmtId="181" fontId="119" fillId="0" borderId="0" xfId="0" applyNumberFormat="1" applyFont="1" applyAlignment="1">
      <alignment horizontal="left" vertical="center"/>
    </xf>
    <xf numFmtId="0" fontId="74" fillId="0" borderId="12" xfId="0" applyFont="1" applyBorder="1">
      <alignment vertical="center"/>
    </xf>
    <xf numFmtId="0" fontId="114" fillId="0" borderId="0" xfId="0" applyFont="1" applyAlignment="1">
      <alignment horizontal="left" vertical="center" wrapText="1"/>
    </xf>
    <xf numFmtId="0" fontId="192" fillId="0" borderId="17" xfId="0" applyFont="1" applyBorder="1" applyAlignment="1">
      <alignment horizontal="center" vertical="center"/>
    </xf>
    <xf numFmtId="49" fontId="192" fillId="0" borderId="17" xfId="0" applyNumberFormat="1" applyFont="1" applyBorder="1" applyAlignment="1">
      <alignment horizontal="center" vertical="center"/>
    </xf>
    <xf numFmtId="0" fontId="185" fillId="0" borderId="0" xfId="0" applyFont="1" applyAlignment="1">
      <alignment vertical="center" shrinkToFit="1"/>
    </xf>
    <xf numFmtId="0" fontId="187" fillId="0" borderId="0" xfId="0" applyFont="1" applyAlignment="1">
      <alignment horizontal="center" vertical="center" shrinkToFit="1"/>
    </xf>
    <xf numFmtId="0" fontId="185" fillId="0" borderId="0" xfId="0" applyFont="1" applyAlignment="1" applyProtection="1">
      <alignment horizontal="center" vertical="center" shrinkToFit="1"/>
      <protection locked="0"/>
    </xf>
    <xf numFmtId="0" fontId="185" fillId="0" borderId="0" xfId="0" applyFont="1" applyAlignment="1">
      <alignment horizontal="right" vertical="center" shrinkToFit="1"/>
    </xf>
    <xf numFmtId="0" fontId="195" fillId="0" borderId="0" xfId="0" applyFont="1" applyProtection="1">
      <alignment vertical="center"/>
      <protection locked="0" hidden="1"/>
    </xf>
    <xf numFmtId="0" fontId="196" fillId="0" borderId="0" xfId="0" applyFont="1" applyProtection="1">
      <alignment vertical="center"/>
      <protection hidden="1"/>
    </xf>
    <xf numFmtId="0" fontId="196" fillId="0" borderId="0" xfId="0" applyFont="1">
      <alignment vertical="center"/>
    </xf>
    <xf numFmtId="0" fontId="197" fillId="0" borderId="0" xfId="0" applyFont="1" applyProtection="1">
      <alignment vertical="center"/>
      <protection hidden="1"/>
    </xf>
    <xf numFmtId="0" fontId="197" fillId="0" borderId="0" xfId="0" applyFont="1">
      <alignment vertical="center"/>
    </xf>
    <xf numFmtId="178" fontId="198" fillId="0" borderId="0" xfId="0" applyNumberFormat="1" applyFont="1" applyAlignment="1" applyProtection="1">
      <alignment horizontal="center" vertical="center"/>
      <protection hidden="1"/>
    </xf>
    <xf numFmtId="0" fontId="198" fillId="0" borderId="0" xfId="0" applyFont="1" applyAlignment="1" applyProtection="1">
      <alignment horizontal="center" vertical="center"/>
      <protection hidden="1"/>
    </xf>
    <xf numFmtId="0" fontId="164" fillId="0" borderId="0" xfId="0" applyFont="1" applyProtection="1">
      <alignment vertical="center"/>
      <protection hidden="1"/>
    </xf>
    <xf numFmtId="0" fontId="164" fillId="0" borderId="0" xfId="0" applyFont="1" applyAlignment="1" applyProtection="1">
      <alignment vertical="center" shrinkToFit="1"/>
      <protection hidden="1"/>
    </xf>
    <xf numFmtId="38" fontId="194" fillId="0" borderId="0" xfId="3" applyFont="1" applyFill="1" applyBorder="1" applyAlignment="1" applyProtection="1">
      <alignment horizontal="left" shrinkToFit="1"/>
      <protection hidden="1"/>
    </xf>
    <xf numFmtId="0" fontId="182" fillId="0" borderId="0" xfId="0" applyFont="1" applyProtection="1">
      <alignment vertical="center"/>
      <protection hidden="1"/>
    </xf>
    <xf numFmtId="38" fontId="194" fillId="0" borderId="0" xfId="3" applyFont="1" applyFill="1" applyBorder="1" applyAlignment="1" applyProtection="1">
      <alignment horizontal="left" shrinkToFit="1"/>
    </xf>
    <xf numFmtId="180" fontId="85" fillId="0" borderId="83" xfId="3" applyNumberFormat="1" applyFont="1" applyFill="1" applyBorder="1" applyAlignment="1" applyProtection="1">
      <alignment vertical="center" shrinkToFit="1"/>
      <protection locked="0"/>
    </xf>
    <xf numFmtId="38" fontId="97" fillId="0" borderId="34" xfId="2" applyFont="1" applyFill="1" applyBorder="1" applyAlignment="1" applyProtection="1">
      <alignment horizontal="right" vertical="center" shrinkToFit="1"/>
    </xf>
    <xf numFmtId="38" fontId="97" fillId="0" borderId="233" xfId="2" applyFont="1" applyFill="1" applyBorder="1" applyAlignment="1" applyProtection="1">
      <alignment horizontal="right" vertical="center" shrinkToFit="1"/>
    </xf>
    <xf numFmtId="0" fontId="199" fillId="0" borderId="0" xfId="0" applyFont="1" applyAlignment="1">
      <alignment horizontal="right" vertical="center"/>
    </xf>
    <xf numFmtId="0" fontId="38" fillId="0" borderId="0" xfId="0" applyFont="1" applyAlignment="1">
      <alignment horizontal="center" vertical="center"/>
    </xf>
    <xf numFmtId="0" fontId="199" fillId="0" borderId="0" xfId="0" applyFont="1">
      <alignment vertical="center"/>
    </xf>
    <xf numFmtId="0" fontId="38" fillId="0" borderId="0" xfId="0" applyFont="1" applyAlignment="1">
      <alignment horizontal="right" vertical="center"/>
    </xf>
    <xf numFmtId="0" fontId="24" fillId="0" borderId="0" xfId="0" applyFont="1" applyAlignment="1">
      <alignment vertical="center" wrapText="1"/>
    </xf>
    <xf numFmtId="0" fontId="85" fillId="0" borderId="15" xfId="0" applyFont="1" applyBorder="1" applyAlignment="1">
      <alignment horizontal="center" vertical="center"/>
    </xf>
    <xf numFmtId="0" fontId="67" fillId="4" borderId="24" xfId="0" applyFont="1" applyFill="1" applyBorder="1" applyAlignment="1">
      <alignment horizontal="right" vertical="center"/>
    </xf>
    <xf numFmtId="38" fontId="93" fillId="18" borderId="132" xfId="3" applyFont="1" applyFill="1" applyBorder="1" applyAlignment="1" applyProtection="1">
      <alignment horizontal="right" vertical="center"/>
    </xf>
    <xf numFmtId="0" fontId="73" fillId="7" borderId="69" xfId="0" applyFont="1" applyFill="1" applyBorder="1" applyAlignment="1" applyProtection="1">
      <alignment horizontal="center" vertical="center" wrapText="1"/>
      <protection locked="0"/>
    </xf>
    <xf numFmtId="0" fontId="67" fillId="4" borderId="89" xfId="0" applyFont="1" applyFill="1" applyBorder="1" applyAlignment="1">
      <alignment horizontal="right" vertical="center"/>
    </xf>
    <xf numFmtId="38" fontId="93" fillId="18" borderId="133" xfId="3" applyFont="1" applyFill="1" applyBorder="1" applyAlignment="1" applyProtection="1">
      <alignment horizontal="right" vertical="center"/>
    </xf>
    <xf numFmtId="0" fontId="73" fillId="7" borderId="74" xfId="0" applyFont="1" applyFill="1" applyBorder="1" applyAlignment="1" applyProtection="1">
      <alignment horizontal="center" vertical="center" wrapText="1"/>
      <protection locked="0"/>
    </xf>
    <xf numFmtId="0" fontId="200" fillId="0" borderId="0" xfId="0" applyFont="1" applyAlignment="1" applyProtection="1">
      <alignment vertical="center" wrapText="1"/>
      <protection locked="0"/>
    </xf>
    <xf numFmtId="0" fontId="119" fillId="0" borderId="0" xfId="0" applyFont="1" applyAlignment="1">
      <alignment horizontal="center" vertical="center"/>
    </xf>
    <xf numFmtId="0" fontId="201" fillId="0" borderId="0" xfId="0" applyFont="1" applyAlignment="1" applyProtection="1">
      <alignment horizontal="center" vertical="center" wrapText="1"/>
      <protection locked="0"/>
    </xf>
    <xf numFmtId="49" fontId="202" fillId="0" borderId="0" xfId="0" applyNumberFormat="1" applyFont="1" applyAlignment="1" applyProtection="1">
      <alignment horizontal="center" vertical="center" wrapText="1"/>
      <protection locked="0"/>
    </xf>
    <xf numFmtId="38" fontId="201" fillId="0" borderId="0" xfId="3" applyFont="1" applyFill="1" applyBorder="1" applyAlignment="1" applyProtection="1">
      <alignment horizontal="center" vertical="center"/>
      <protection locked="0"/>
    </xf>
    <xf numFmtId="49" fontId="202" fillId="0" borderId="0" xfId="0" applyNumberFormat="1" applyFont="1" applyAlignment="1" applyProtection="1">
      <alignment horizontal="center" vertical="center"/>
      <protection locked="0"/>
    </xf>
    <xf numFmtId="0" fontId="23" fillId="0" borderId="0" xfId="0" applyFont="1" applyAlignment="1">
      <alignment vertical="center" wrapText="1"/>
    </xf>
    <xf numFmtId="0" fontId="191" fillId="0" borderId="0" xfId="0" applyFont="1" applyAlignment="1">
      <alignment vertical="center" wrapText="1"/>
    </xf>
    <xf numFmtId="0" fontId="188" fillId="0" borderId="0" xfId="0" applyFont="1" applyAlignment="1">
      <alignment vertical="center" wrapText="1"/>
    </xf>
    <xf numFmtId="0" fontId="188" fillId="0" borderId="2" xfId="0" applyFont="1" applyBorder="1" applyAlignment="1">
      <alignment vertical="center" wrapText="1"/>
    </xf>
    <xf numFmtId="0" fontId="160" fillId="19" borderId="0" xfId="0" applyFont="1" applyFill="1" applyAlignment="1" applyProtection="1">
      <alignment horizontal="left" vertical="center" wrapText="1"/>
      <protection hidden="1"/>
    </xf>
    <xf numFmtId="0" fontId="17" fillId="19" borderId="0" xfId="0" applyFont="1" applyFill="1" applyAlignment="1" applyProtection="1">
      <alignment horizontal="left" vertical="center" wrapText="1"/>
      <protection hidden="1"/>
    </xf>
    <xf numFmtId="0" fontId="17" fillId="19" borderId="0" xfId="0" applyFont="1" applyFill="1" applyAlignment="1" applyProtection="1">
      <alignment horizontal="center" vertical="center"/>
      <protection hidden="1"/>
    </xf>
    <xf numFmtId="0" fontId="162" fillId="19" borderId="0" xfId="0" applyFont="1" applyFill="1" applyAlignment="1" applyProtection="1">
      <alignment horizontal="left" vertical="center"/>
      <protection hidden="1"/>
    </xf>
    <xf numFmtId="49" fontId="193" fillId="0" borderId="0" xfId="0" applyNumberFormat="1" applyFont="1" applyAlignment="1">
      <alignment horizontal="center" vertical="center"/>
    </xf>
    <xf numFmtId="181" fontId="94" fillId="4" borderId="74" xfId="0" applyNumberFormat="1" applyFont="1" applyFill="1" applyBorder="1" applyAlignment="1" applyProtection="1">
      <alignment vertical="center" shrinkToFit="1"/>
      <protection locked="0"/>
    </xf>
    <xf numFmtId="178" fontId="78" fillId="0" borderId="2" xfId="3" applyNumberFormat="1" applyFont="1" applyFill="1" applyBorder="1" applyAlignment="1" applyProtection="1">
      <alignment horizontal="center" vertical="center" shrinkToFit="1"/>
    </xf>
    <xf numFmtId="176" fontId="113" fillId="0" borderId="0" xfId="3" applyNumberFormat="1" applyFont="1" applyFill="1" applyBorder="1" applyAlignment="1" applyProtection="1">
      <alignment horizontal="right" vertical="center" shrinkToFit="1"/>
    </xf>
    <xf numFmtId="6" fontId="117" fillId="0" borderId="38" xfId="4" applyFont="1" applyFill="1" applyBorder="1" applyAlignment="1" applyProtection="1">
      <alignment horizontal="right" vertical="center" shrinkToFit="1"/>
    </xf>
    <xf numFmtId="49" fontId="113" fillId="0" borderId="12" xfId="3" applyNumberFormat="1" applyFont="1" applyFill="1" applyBorder="1" applyAlignment="1" applyProtection="1">
      <alignment horizontal="right" vertical="center" shrinkToFit="1"/>
    </xf>
    <xf numFmtId="6" fontId="117" fillId="0" borderId="0" xfId="4" applyFont="1" applyFill="1" applyBorder="1" applyAlignment="1" applyProtection="1">
      <alignment horizontal="center" vertical="center" shrinkToFit="1"/>
    </xf>
    <xf numFmtId="49" fontId="206" fillId="0" borderId="12" xfId="3" applyNumberFormat="1" applyFont="1" applyFill="1" applyBorder="1" applyAlignment="1" applyProtection="1">
      <alignment horizontal="right" vertical="center" shrinkToFit="1"/>
    </xf>
    <xf numFmtId="180" fontId="206" fillId="0" borderId="12" xfId="3" applyNumberFormat="1" applyFont="1" applyFill="1" applyBorder="1" applyAlignment="1" applyProtection="1">
      <alignment horizontal="right" vertical="center" shrinkToFit="1"/>
    </xf>
    <xf numFmtId="49" fontId="17" fillId="0" borderId="0" xfId="0" applyNumberFormat="1" applyFont="1" applyAlignment="1" applyProtection="1">
      <alignment horizontal="center" vertical="center"/>
      <protection hidden="1"/>
    </xf>
    <xf numFmtId="0" fontId="161" fillId="0" borderId="0" xfId="0" applyFont="1" applyAlignment="1">
      <alignment horizontal="left" vertical="center"/>
    </xf>
    <xf numFmtId="0" fontId="17" fillId="6" borderId="0" xfId="0" applyFont="1" applyFill="1" applyAlignment="1">
      <alignment horizontal="center" vertical="center"/>
    </xf>
    <xf numFmtId="49" fontId="38" fillId="0" borderId="0" xfId="0" applyNumberFormat="1" applyFont="1">
      <alignment vertical="center"/>
    </xf>
    <xf numFmtId="0" fontId="161" fillId="0" borderId="0" xfId="0" applyFont="1" applyAlignment="1">
      <alignment horizontal="center" vertical="center"/>
    </xf>
    <xf numFmtId="0" fontId="17" fillId="0" borderId="0" xfId="0" applyFont="1" applyAlignment="1">
      <alignment horizontal="center" vertical="center" wrapText="1"/>
    </xf>
    <xf numFmtId="0" fontId="17" fillId="6" borderId="0" xfId="0" applyFont="1" applyFill="1" applyAlignment="1">
      <alignment horizontal="left" vertical="center"/>
    </xf>
    <xf numFmtId="49" fontId="17" fillId="0" borderId="0" xfId="0" applyNumberFormat="1" applyFont="1" applyAlignment="1">
      <alignment horizontal="center" vertical="center"/>
    </xf>
    <xf numFmtId="0" fontId="161" fillId="0" borderId="0" xfId="0" applyFont="1">
      <alignment vertical="center"/>
    </xf>
    <xf numFmtId="0" fontId="17" fillId="6" borderId="0" xfId="0" applyFont="1" applyFill="1" applyAlignment="1">
      <alignment horizontal="left" vertical="center" wrapText="1"/>
    </xf>
    <xf numFmtId="0" fontId="17" fillId="6" borderId="0" xfId="0" applyFont="1" applyFill="1" applyAlignment="1" applyProtection="1">
      <alignment horizontal="center" vertical="center"/>
      <protection hidden="1"/>
    </xf>
    <xf numFmtId="49" fontId="17" fillId="6" borderId="0" xfId="0" applyNumberFormat="1" applyFont="1" applyFill="1" applyAlignment="1">
      <alignment horizontal="center" vertical="center"/>
    </xf>
    <xf numFmtId="3" fontId="17" fillId="0" borderId="0" xfId="0" applyNumberFormat="1" applyFont="1" applyAlignment="1" applyProtection="1">
      <alignment horizontal="center" vertical="center"/>
      <protection hidden="1"/>
    </xf>
    <xf numFmtId="0" fontId="208" fillId="0" borderId="0" xfId="0" applyFont="1" applyAlignment="1">
      <alignment vertical="center" wrapText="1"/>
    </xf>
    <xf numFmtId="38" fontId="209" fillId="0" borderId="0" xfId="3" applyFont="1" applyFill="1" applyBorder="1" applyAlignment="1" applyProtection="1">
      <alignment horizontal="center" vertical="center"/>
      <protection locked="0"/>
    </xf>
    <xf numFmtId="0" fontId="73" fillId="7" borderId="72" xfId="0" applyFont="1" applyFill="1" applyBorder="1" applyAlignment="1" applyProtection="1">
      <alignment horizontal="center" vertical="center" wrapText="1"/>
      <protection locked="0"/>
    </xf>
    <xf numFmtId="0" fontId="67" fillId="4" borderId="329" xfId="0" applyFont="1" applyFill="1" applyBorder="1" applyAlignment="1">
      <alignment horizontal="right" vertical="center"/>
    </xf>
    <xf numFmtId="38" fontId="93" fillId="18" borderId="330" xfId="3" applyFont="1" applyFill="1" applyBorder="1" applyAlignment="1" applyProtection="1">
      <alignment horizontal="right" vertical="center"/>
    </xf>
    <xf numFmtId="0" fontId="210" fillId="0" borderId="0" xfId="0" applyFont="1" applyProtection="1">
      <alignment vertical="center"/>
      <protection locked="0"/>
    </xf>
    <xf numFmtId="0" fontId="73" fillId="7" borderId="71" xfId="0" applyFont="1" applyFill="1" applyBorder="1" applyAlignment="1" applyProtection="1">
      <alignment horizontal="center" vertical="center" wrapText="1"/>
      <protection locked="0"/>
    </xf>
    <xf numFmtId="0" fontId="67" fillId="4" borderId="331" xfId="0" applyFont="1" applyFill="1" applyBorder="1" applyAlignment="1">
      <alignment horizontal="right" vertical="center"/>
    </xf>
    <xf numFmtId="38" fontId="93" fillId="18" borderId="332" xfId="3" applyFont="1" applyFill="1" applyBorder="1" applyAlignment="1" applyProtection="1">
      <alignment horizontal="right" vertical="center"/>
    </xf>
    <xf numFmtId="0" fontId="67" fillId="0" borderId="10" xfId="0" applyFont="1" applyBorder="1" applyAlignment="1">
      <alignment horizontal="right" vertical="center"/>
    </xf>
    <xf numFmtId="38" fontId="93" fillId="0" borderId="10" xfId="3" applyFont="1" applyFill="1" applyBorder="1" applyAlignment="1" applyProtection="1">
      <alignment horizontal="right" vertical="center"/>
    </xf>
    <xf numFmtId="0" fontId="209" fillId="0" borderId="0" xfId="0" applyFont="1" applyAlignment="1">
      <alignment vertical="center" wrapText="1"/>
    </xf>
    <xf numFmtId="49" fontId="211" fillId="0" borderId="0" xfId="0" applyNumberFormat="1" applyFont="1" applyAlignment="1" applyProtection="1">
      <alignment vertical="center" wrapText="1"/>
      <protection locked="0"/>
    </xf>
    <xf numFmtId="176" fontId="80" fillId="0" borderId="170" xfId="0" applyNumberFormat="1" applyFont="1" applyBorder="1" applyAlignment="1">
      <alignment horizontal="center" vertical="center" shrinkToFit="1"/>
    </xf>
    <xf numFmtId="180" fontId="85" fillId="0" borderId="174" xfId="3" applyNumberFormat="1" applyFont="1" applyFill="1" applyBorder="1" applyAlignment="1" applyProtection="1">
      <alignment horizontal="center" vertical="center" shrinkToFit="1"/>
    </xf>
    <xf numFmtId="176" fontId="80" fillId="0" borderId="333" xfId="0" applyNumberFormat="1" applyFont="1" applyBorder="1" applyAlignment="1">
      <alignment horizontal="center" vertical="center" shrinkToFit="1"/>
    </xf>
    <xf numFmtId="180" fontId="113" fillId="0" borderId="43" xfId="3" applyNumberFormat="1" applyFont="1" applyFill="1" applyBorder="1" applyAlignment="1" applyProtection="1">
      <alignment horizontal="right" vertical="center" shrinkToFit="1"/>
    </xf>
    <xf numFmtId="180" fontId="113" fillId="0" borderId="12" xfId="3" applyNumberFormat="1" applyFont="1" applyFill="1" applyBorder="1" applyAlignment="1" applyProtection="1">
      <alignment horizontal="right" vertical="center" shrinkToFit="1"/>
    </xf>
    <xf numFmtId="0" fontId="86" fillId="0" borderId="12" xfId="8" applyFont="1" applyBorder="1" applyAlignment="1">
      <alignment horizontal="center" vertical="center"/>
    </xf>
    <xf numFmtId="0" fontId="213" fillId="0" borderId="0" xfId="16" applyFont="1"/>
    <xf numFmtId="0" fontId="214" fillId="0" borderId="0" xfId="16" applyFont="1" applyAlignment="1">
      <alignment horizontal="center"/>
    </xf>
    <xf numFmtId="0" fontId="215" fillId="0" borderId="0" xfId="16" applyFont="1" applyAlignment="1">
      <alignment horizontal="center" vertical="center"/>
    </xf>
    <xf numFmtId="0" fontId="217" fillId="0" borderId="0" xfId="16" applyFont="1" applyAlignment="1">
      <alignment horizontal="center" vertical="center"/>
    </xf>
    <xf numFmtId="0" fontId="217" fillId="0" borderId="0" xfId="16" applyFont="1" applyAlignment="1">
      <alignment horizontal="left" vertical="center"/>
    </xf>
    <xf numFmtId="0" fontId="214" fillId="0" borderId="0" xfId="16" applyFont="1" applyAlignment="1">
      <alignment horizontal="center" vertical="center"/>
    </xf>
    <xf numFmtId="0" fontId="217" fillId="0" borderId="0" xfId="16" applyFont="1" applyAlignment="1">
      <alignment horizontal="center"/>
    </xf>
    <xf numFmtId="0" fontId="222" fillId="0" borderId="0" xfId="16" applyFont="1"/>
    <xf numFmtId="0" fontId="221" fillId="0" borderId="0" xfId="16" applyFont="1"/>
    <xf numFmtId="0" fontId="227" fillId="0" borderId="0" xfId="16" applyFont="1"/>
    <xf numFmtId="0" fontId="228" fillId="0" borderId="0" xfId="16" applyFont="1" applyAlignment="1">
      <alignment horizontal="center" vertical="center"/>
    </xf>
    <xf numFmtId="193" fontId="224" fillId="0" borderId="0" xfId="16" applyNumberFormat="1" applyFont="1" applyAlignment="1">
      <alignment horizontal="center"/>
    </xf>
    <xf numFmtId="193" fontId="224" fillId="0" borderId="343" xfId="16" applyNumberFormat="1" applyFont="1" applyBorder="1" applyAlignment="1">
      <alignment horizontal="center"/>
    </xf>
    <xf numFmtId="0" fontId="234" fillId="0" borderId="344" xfId="16" applyFont="1" applyBorder="1" applyAlignment="1">
      <alignment horizontal="center" vertical="center"/>
    </xf>
    <xf numFmtId="0" fontId="224" fillId="0" borderId="0" xfId="16" applyFont="1" applyAlignment="1">
      <alignment horizontal="center" vertical="center" textRotation="255"/>
    </xf>
    <xf numFmtId="193" fontId="235" fillId="22" borderId="335" xfId="16" applyNumberFormat="1" applyFont="1" applyFill="1" applyBorder="1" applyAlignment="1">
      <alignment horizontal="center" vertical="center"/>
    </xf>
    <xf numFmtId="193" fontId="235" fillId="22" borderId="334" xfId="16" applyNumberFormat="1" applyFont="1" applyFill="1" applyBorder="1" applyAlignment="1">
      <alignment horizontal="center" vertical="center"/>
    </xf>
    <xf numFmtId="20" fontId="238" fillId="22" borderId="345" xfId="16" applyNumberFormat="1" applyFont="1" applyFill="1" applyBorder="1" applyAlignment="1">
      <alignment horizontal="center" vertical="center"/>
    </xf>
    <xf numFmtId="20" fontId="238" fillId="22" borderId="348" xfId="16" applyNumberFormat="1" applyFont="1" applyFill="1" applyBorder="1" applyAlignment="1">
      <alignment horizontal="center" vertical="center"/>
    </xf>
    <xf numFmtId="193" fontId="238" fillId="22" borderId="345" xfId="16" applyNumberFormat="1" applyFont="1" applyFill="1" applyBorder="1" applyAlignment="1">
      <alignment horizontal="center" vertical="center"/>
    </xf>
    <xf numFmtId="193" fontId="238" fillId="22" borderId="348" xfId="16" applyNumberFormat="1" applyFont="1" applyFill="1" applyBorder="1" applyAlignment="1">
      <alignment horizontal="center" vertical="center"/>
    </xf>
    <xf numFmtId="20" fontId="238" fillId="22" borderId="339" xfId="16" applyNumberFormat="1" applyFont="1" applyFill="1" applyBorder="1" applyAlignment="1">
      <alignment horizontal="center" vertical="center"/>
    </xf>
    <xf numFmtId="20" fontId="238" fillId="22" borderId="338" xfId="16" applyNumberFormat="1" applyFont="1" applyFill="1" applyBorder="1" applyAlignment="1">
      <alignment horizontal="center" vertical="center"/>
    </xf>
    <xf numFmtId="193" fontId="235" fillId="0" borderId="0" xfId="16" applyNumberFormat="1" applyFont="1" applyAlignment="1">
      <alignment horizontal="center"/>
    </xf>
    <xf numFmtId="193" fontId="235" fillId="0" borderId="334" xfId="16" applyNumberFormat="1" applyFont="1" applyBorder="1" applyAlignment="1">
      <alignment horizontal="center" vertical="center"/>
    </xf>
    <xf numFmtId="0" fontId="237" fillId="0" borderId="349" xfId="16" applyFont="1" applyBorder="1" applyAlignment="1">
      <alignment horizontal="center" vertical="center"/>
    </xf>
    <xf numFmtId="0" fontId="237" fillId="0" borderId="350" xfId="16" applyFont="1" applyBorder="1" applyAlignment="1">
      <alignment horizontal="center" vertical="center"/>
    </xf>
    <xf numFmtId="193" fontId="235" fillId="0" borderId="351" xfId="16" applyNumberFormat="1" applyFont="1" applyBorder="1" applyAlignment="1">
      <alignment horizontal="center" vertical="center"/>
    </xf>
    <xf numFmtId="0" fontId="237" fillId="0" borderId="352" xfId="16" applyFont="1" applyBorder="1" applyAlignment="1">
      <alignment horizontal="center" vertical="center"/>
    </xf>
    <xf numFmtId="20" fontId="238" fillId="0" borderId="0" xfId="16" applyNumberFormat="1" applyFont="1" applyAlignment="1">
      <alignment horizontal="center"/>
    </xf>
    <xf numFmtId="20" fontId="238" fillId="0" borderId="348" xfId="16" applyNumberFormat="1" applyFont="1" applyBorder="1" applyAlignment="1">
      <alignment horizontal="center" vertical="center"/>
    </xf>
    <xf numFmtId="0" fontId="237" fillId="0" borderId="348" xfId="16" applyFont="1" applyBorder="1" applyAlignment="1">
      <alignment horizontal="center" vertical="center"/>
    </xf>
    <xf numFmtId="0" fontId="237" fillId="0" borderId="345" xfId="16" applyFont="1" applyBorder="1" applyAlignment="1">
      <alignment horizontal="center" vertical="center"/>
    </xf>
    <xf numFmtId="0" fontId="237" fillId="0" borderId="353" xfId="16" applyFont="1" applyBorder="1" applyAlignment="1">
      <alignment horizontal="center" vertical="center"/>
    </xf>
    <xf numFmtId="193" fontId="238" fillId="0" borderId="0" xfId="16" applyNumberFormat="1" applyFont="1" applyAlignment="1">
      <alignment horizontal="center"/>
    </xf>
    <xf numFmtId="193" fontId="238" fillId="0" borderId="348" xfId="16" applyNumberFormat="1" applyFont="1" applyBorder="1" applyAlignment="1">
      <alignment horizontal="center" vertical="center"/>
    </xf>
    <xf numFmtId="0" fontId="238" fillId="0" borderId="0" xfId="16" applyFont="1" applyAlignment="1">
      <alignment horizontal="center" vertical="center" textRotation="255"/>
    </xf>
    <xf numFmtId="20" fontId="238" fillId="24" borderId="338" xfId="16" applyNumberFormat="1" applyFont="1" applyFill="1" applyBorder="1" applyAlignment="1">
      <alignment horizontal="center" vertical="center"/>
    </xf>
    <xf numFmtId="0" fontId="237" fillId="0" borderId="357" xfId="16" applyFont="1" applyBorder="1" applyAlignment="1">
      <alignment horizontal="center" vertical="center"/>
    </xf>
    <xf numFmtId="0" fontId="237" fillId="0" borderId="358" xfId="16" applyFont="1" applyBorder="1" applyAlignment="1">
      <alignment horizontal="center" vertical="center"/>
    </xf>
    <xf numFmtId="20" fontId="238" fillId="24" borderId="357" xfId="16" applyNumberFormat="1" applyFont="1" applyFill="1" applyBorder="1" applyAlignment="1">
      <alignment horizontal="center" vertical="center"/>
    </xf>
    <xf numFmtId="0" fontId="237" fillId="0" borderId="359" xfId="16" applyFont="1" applyBorder="1" applyAlignment="1">
      <alignment horizontal="center" vertical="center"/>
    </xf>
    <xf numFmtId="193" fontId="235" fillId="24" borderId="334" xfId="16" applyNumberFormat="1" applyFont="1" applyFill="1" applyBorder="1" applyAlignment="1">
      <alignment horizontal="center" vertical="center"/>
    </xf>
    <xf numFmtId="0" fontId="237" fillId="0" borderId="351" xfId="16" applyFont="1" applyBorder="1" applyAlignment="1">
      <alignment horizontal="center" vertical="center"/>
    </xf>
    <xf numFmtId="0" fontId="237" fillId="0" borderId="360" xfId="16" applyFont="1" applyBorder="1" applyAlignment="1">
      <alignment horizontal="center" vertical="center"/>
    </xf>
    <xf numFmtId="193" fontId="235" fillId="24" borderId="351" xfId="16" applyNumberFormat="1" applyFont="1" applyFill="1" applyBorder="1" applyAlignment="1">
      <alignment horizontal="center" vertical="center"/>
    </xf>
    <xf numFmtId="0" fontId="237" fillId="0" borderId="361" xfId="16" applyFont="1" applyBorder="1" applyAlignment="1">
      <alignment horizontal="center" vertical="center"/>
    </xf>
    <xf numFmtId="20" fontId="238" fillId="24" borderId="348" xfId="16" applyNumberFormat="1" applyFont="1" applyFill="1" applyBorder="1" applyAlignment="1">
      <alignment horizontal="center" vertical="center"/>
    </xf>
    <xf numFmtId="193" fontId="238" fillId="24" borderId="348" xfId="16" applyNumberFormat="1" applyFont="1" applyFill="1" applyBorder="1" applyAlignment="1">
      <alignment horizontal="center" vertical="center"/>
    </xf>
    <xf numFmtId="0" fontId="237" fillId="0" borderId="354" xfId="16" applyFont="1" applyBorder="1" applyAlignment="1">
      <alignment horizontal="center" vertical="center"/>
    </xf>
    <xf numFmtId="0" fontId="237" fillId="0" borderId="355" xfId="16" applyFont="1" applyBorder="1" applyAlignment="1">
      <alignment horizontal="center" vertical="center"/>
    </xf>
    <xf numFmtId="20" fontId="238" fillId="0" borderId="346" xfId="16" applyNumberFormat="1" applyFont="1" applyBorder="1" applyAlignment="1">
      <alignment horizontal="center" vertical="center"/>
    </xf>
    <xf numFmtId="20" fontId="238" fillId="0" borderId="357" xfId="16" applyNumberFormat="1" applyFont="1" applyBorder="1" applyAlignment="1">
      <alignment horizontal="center" vertical="center"/>
    </xf>
    <xf numFmtId="20" fontId="238" fillId="0" borderId="338" xfId="16" applyNumberFormat="1" applyFont="1" applyBorder="1" applyAlignment="1">
      <alignment horizontal="center" vertical="center"/>
    </xf>
    <xf numFmtId="193" fontId="239" fillId="0" borderId="362" xfId="16" applyNumberFormat="1" applyFont="1" applyBorder="1" applyAlignment="1">
      <alignment horizontal="center" vertical="center"/>
    </xf>
    <xf numFmtId="0" fontId="237" fillId="0" borderId="362" xfId="16" applyFont="1" applyBorder="1" applyAlignment="1">
      <alignment horizontal="center" vertical="center"/>
    </xf>
    <xf numFmtId="0" fontId="237" fillId="0" borderId="363" xfId="16" applyFont="1" applyBorder="1" applyAlignment="1">
      <alignment horizontal="center" vertical="center"/>
    </xf>
    <xf numFmtId="0" fontId="237" fillId="0" borderId="364" xfId="16" applyFont="1" applyBorder="1" applyAlignment="1">
      <alignment horizontal="center" vertical="center"/>
    </xf>
    <xf numFmtId="193" fontId="240" fillId="0" borderId="368" xfId="16" applyNumberFormat="1" applyFont="1" applyBorder="1" applyAlignment="1">
      <alignment horizontal="center" vertical="center"/>
    </xf>
    <xf numFmtId="0" fontId="237" fillId="0" borderId="368" xfId="16" applyFont="1" applyBorder="1" applyAlignment="1">
      <alignment horizontal="center" vertical="center"/>
    </xf>
    <xf numFmtId="0" fontId="237" fillId="0" borderId="369" xfId="16" applyFont="1" applyBorder="1" applyAlignment="1">
      <alignment horizontal="center" vertical="center"/>
    </xf>
    <xf numFmtId="0" fontId="237" fillId="0" borderId="370" xfId="16" applyFont="1" applyBorder="1" applyAlignment="1">
      <alignment horizontal="center" vertical="center"/>
    </xf>
    <xf numFmtId="0" fontId="237" fillId="0" borderId="351" xfId="16" applyFont="1" applyBorder="1" applyAlignment="1">
      <alignment horizontal="center" vertical="center" wrapText="1"/>
    </xf>
    <xf numFmtId="193" fontId="235" fillId="24" borderId="360" xfId="16" applyNumberFormat="1" applyFont="1" applyFill="1" applyBorder="1" applyAlignment="1">
      <alignment horizontal="center" vertical="center"/>
    </xf>
    <xf numFmtId="20" fontId="238" fillId="24" borderId="345" xfId="16" applyNumberFormat="1" applyFont="1" applyFill="1" applyBorder="1" applyAlignment="1">
      <alignment horizontal="center" vertical="center"/>
    </xf>
    <xf numFmtId="193" fontId="238" fillId="0" borderId="371" xfId="16" applyNumberFormat="1" applyFont="1" applyBorder="1" applyAlignment="1">
      <alignment horizontal="center" vertical="center"/>
    </xf>
    <xf numFmtId="20" fontId="238" fillId="0" borderId="372" xfId="16" applyNumberFormat="1" applyFont="1" applyBorder="1" applyAlignment="1">
      <alignment horizontal="center" vertical="center"/>
    </xf>
    <xf numFmtId="193" fontId="235" fillId="0" borderId="373" xfId="16" applyNumberFormat="1" applyFont="1" applyBorder="1" applyAlignment="1">
      <alignment horizontal="center" vertical="center"/>
    </xf>
    <xf numFmtId="0" fontId="237" fillId="0" borderId="360" xfId="16" applyFont="1" applyBorder="1" applyAlignment="1">
      <alignment horizontal="center" vertical="center" wrapText="1"/>
    </xf>
    <xf numFmtId="20" fontId="238" fillId="0" borderId="371" xfId="16" applyNumberFormat="1" applyFont="1" applyBorder="1" applyAlignment="1">
      <alignment horizontal="center" vertical="center"/>
    </xf>
    <xf numFmtId="0" fontId="237" fillId="0" borderId="345" xfId="16" applyFont="1" applyBorder="1" applyAlignment="1">
      <alignment horizontal="center" vertical="center" wrapText="1"/>
    </xf>
    <xf numFmtId="0" fontId="237" fillId="0" borderId="358" xfId="16" applyFont="1" applyBorder="1" applyAlignment="1">
      <alignment horizontal="center" vertical="center" wrapText="1"/>
    </xf>
    <xf numFmtId="193" fontId="235" fillId="26" borderId="334" xfId="16" applyNumberFormat="1" applyFont="1" applyFill="1" applyBorder="1" applyAlignment="1">
      <alignment horizontal="center" vertical="center"/>
    </xf>
    <xf numFmtId="193" fontId="235" fillId="26" borderId="373" xfId="16" applyNumberFormat="1" applyFont="1" applyFill="1" applyBorder="1" applyAlignment="1">
      <alignment horizontal="center" vertical="center"/>
    </xf>
    <xf numFmtId="20" fontId="238" fillId="26" borderId="348" xfId="16" applyNumberFormat="1" applyFont="1" applyFill="1" applyBorder="1" applyAlignment="1">
      <alignment horizontal="center" vertical="center"/>
    </xf>
    <xf numFmtId="20" fontId="238" fillId="26" borderId="371" xfId="16" applyNumberFormat="1" applyFont="1" applyFill="1" applyBorder="1" applyAlignment="1">
      <alignment horizontal="center" vertical="center"/>
    </xf>
    <xf numFmtId="193" fontId="238" fillId="26" borderId="348" xfId="16" applyNumberFormat="1" applyFont="1" applyFill="1" applyBorder="1" applyAlignment="1">
      <alignment horizontal="center" vertical="center"/>
    </xf>
    <xf numFmtId="193" fontId="238" fillId="26" borderId="371" xfId="16" applyNumberFormat="1" applyFont="1" applyFill="1" applyBorder="1" applyAlignment="1">
      <alignment horizontal="center" vertical="center"/>
    </xf>
    <xf numFmtId="20" fontId="238" fillId="26" borderId="338" xfId="16" applyNumberFormat="1" applyFont="1" applyFill="1" applyBorder="1" applyAlignment="1">
      <alignment horizontal="center" vertical="center"/>
    </xf>
    <xf numFmtId="20" fontId="238" fillId="26" borderId="372" xfId="16" applyNumberFormat="1" applyFont="1" applyFill="1" applyBorder="1" applyAlignment="1">
      <alignment horizontal="center" vertical="center"/>
    </xf>
    <xf numFmtId="193" fontId="235" fillId="24" borderId="373" xfId="16" applyNumberFormat="1" applyFont="1" applyFill="1" applyBorder="1" applyAlignment="1">
      <alignment horizontal="center" vertical="center"/>
    </xf>
    <xf numFmtId="20" fontId="238" fillId="24" borderId="371" xfId="16" applyNumberFormat="1" applyFont="1" applyFill="1" applyBorder="1" applyAlignment="1">
      <alignment horizontal="center" vertical="center"/>
    </xf>
    <xf numFmtId="193" fontId="238" fillId="24" borderId="371" xfId="16" applyNumberFormat="1" applyFont="1" applyFill="1" applyBorder="1" applyAlignment="1">
      <alignment horizontal="center" vertical="center"/>
    </xf>
    <xf numFmtId="20" fontId="238" fillId="24" borderId="372" xfId="16" applyNumberFormat="1" applyFont="1" applyFill="1" applyBorder="1" applyAlignment="1">
      <alignment horizontal="center" vertical="center"/>
    </xf>
    <xf numFmtId="0" fontId="214" fillId="0" borderId="358" xfId="16" applyFont="1" applyBorder="1" applyAlignment="1">
      <alignment horizontal="center" vertical="center"/>
    </xf>
    <xf numFmtId="0" fontId="214" fillId="0" borderId="359" xfId="16" applyFont="1" applyBorder="1" applyAlignment="1">
      <alignment horizontal="center" vertical="center"/>
    </xf>
    <xf numFmtId="193" fontId="235" fillId="24" borderId="337" xfId="16" applyNumberFormat="1" applyFont="1" applyFill="1" applyBorder="1" applyAlignment="1">
      <alignment horizontal="center" vertical="center"/>
    </xf>
    <xf numFmtId="0" fontId="214" fillId="0" borderId="360" xfId="16" applyFont="1" applyBorder="1" applyAlignment="1">
      <alignment horizontal="center" vertical="center"/>
    </xf>
    <xf numFmtId="0" fontId="214" fillId="0" borderId="361" xfId="16" applyFont="1" applyBorder="1" applyAlignment="1">
      <alignment horizontal="center" vertical="center"/>
    </xf>
    <xf numFmtId="0" fontId="214" fillId="0" borderId="345" xfId="16" applyFont="1" applyBorder="1" applyAlignment="1">
      <alignment horizontal="center" vertical="center"/>
    </xf>
    <xf numFmtId="0" fontId="214" fillId="0" borderId="353" xfId="16" applyFont="1" applyBorder="1" applyAlignment="1">
      <alignment horizontal="center" vertical="center"/>
    </xf>
    <xf numFmtId="20" fontId="238" fillId="24" borderId="341" xfId="16" applyNumberFormat="1" applyFont="1" applyFill="1" applyBorder="1" applyAlignment="1">
      <alignment horizontal="center" vertical="center"/>
    </xf>
    <xf numFmtId="0" fontId="214" fillId="0" borderId="357" xfId="16" applyFont="1" applyBorder="1" applyAlignment="1">
      <alignment horizontal="center" vertical="center"/>
    </xf>
    <xf numFmtId="193" fontId="238" fillId="26" borderId="338" xfId="16" applyNumberFormat="1" applyFont="1" applyFill="1" applyBorder="1" applyAlignment="1">
      <alignment horizontal="center" vertical="center"/>
    </xf>
    <xf numFmtId="193" fontId="238" fillId="26" borderId="372" xfId="16" applyNumberFormat="1" applyFont="1" applyFill="1" applyBorder="1" applyAlignment="1">
      <alignment horizontal="center" vertical="center"/>
    </xf>
    <xf numFmtId="20" fontId="235" fillId="0" borderId="0" xfId="16" applyNumberFormat="1" applyFont="1" applyAlignment="1">
      <alignment horizontal="center"/>
    </xf>
    <xf numFmtId="20" fontId="235" fillId="26" borderId="334" xfId="16" applyNumberFormat="1" applyFont="1" applyFill="1" applyBorder="1" applyAlignment="1">
      <alignment horizontal="center" vertical="center"/>
    </xf>
    <xf numFmtId="20" fontId="235" fillId="26" borderId="373" xfId="16" applyNumberFormat="1" applyFont="1" applyFill="1" applyBorder="1" applyAlignment="1">
      <alignment horizontal="center" vertical="center"/>
    </xf>
    <xf numFmtId="0" fontId="235" fillId="0" borderId="0" xfId="16" applyFont="1" applyAlignment="1">
      <alignment horizontal="center" vertical="center" textRotation="255"/>
    </xf>
    <xf numFmtId="0" fontId="237" fillId="22" borderId="351" xfId="16" applyFont="1" applyFill="1" applyBorder="1" applyAlignment="1">
      <alignment horizontal="center" vertical="center"/>
    </xf>
    <xf numFmtId="0" fontId="237" fillId="22" borderId="360" xfId="16" applyFont="1" applyFill="1" applyBorder="1" applyAlignment="1">
      <alignment horizontal="center" vertical="center"/>
    </xf>
    <xf numFmtId="0" fontId="237" fillId="22" borderId="361" xfId="16" applyFont="1" applyFill="1" applyBorder="1" applyAlignment="1">
      <alignment horizontal="center" vertical="center"/>
    </xf>
    <xf numFmtId="0" fontId="237" fillId="22" borderId="33" xfId="16" applyFont="1" applyFill="1" applyBorder="1" applyAlignment="1">
      <alignment horizontal="center" vertical="center"/>
    </xf>
    <xf numFmtId="0" fontId="237" fillId="22" borderId="279" xfId="16" applyFont="1" applyFill="1" applyBorder="1" applyAlignment="1">
      <alignment horizontal="center" vertical="center"/>
    </xf>
    <xf numFmtId="0" fontId="237" fillId="22" borderId="86" xfId="16" applyFont="1" applyFill="1" applyBorder="1" applyAlignment="1">
      <alignment horizontal="center" vertical="center"/>
    </xf>
    <xf numFmtId="0" fontId="237" fillId="22" borderId="348" xfId="16" applyFont="1" applyFill="1" applyBorder="1" applyAlignment="1">
      <alignment horizontal="center" vertical="center"/>
    </xf>
    <xf numFmtId="0" fontId="237" fillId="22" borderId="345" xfId="16" applyFont="1" applyFill="1" applyBorder="1" applyAlignment="1">
      <alignment horizontal="center" vertical="center"/>
    </xf>
    <xf numFmtId="0" fontId="237" fillId="22" borderId="353" xfId="16" applyFont="1" applyFill="1" applyBorder="1" applyAlignment="1">
      <alignment horizontal="center" vertical="center"/>
    </xf>
    <xf numFmtId="0" fontId="237" fillId="22" borderId="32" xfId="16" applyFont="1" applyFill="1" applyBorder="1" applyAlignment="1">
      <alignment horizontal="center" vertical="center"/>
    </xf>
    <xf numFmtId="0" fontId="237" fillId="22" borderId="27" xfId="16" applyFont="1" applyFill="1" applyBorder="1" applyAlignment="1">
      <alignment horizontal="center" vertical="center"/>
    </xf>
    <xf numFmtId="0" fontId="237" fillId="22" borderId="28" xfId="16" applyFont="1" applyFill="1" applyBorder="1" applyAlignment="1">
      <alignment horizontal="center" vertical="center"/>
    </xf>
    <xf numFmtId="0" fontId="237" fillId="22" borderId="357" xfId="16" applyFont="1" applyFill="1" applyBorder="1" applyAlignment="1">
      <alignment horizontal="center" vertical="center"/>
    </xf>
    <xf numFmtId="0" fontId="237" fillId="22" borderId="358" xfId="16" applyFont="1" applyFill="1" applyBorder="1" applyAlignment="1">
      <alignment horizontal="center" vertical="center"/>
    </xf>
    <xf numFmtId="0" fontId="237" fillId="22" borderId="359" xfId="16" applyFont="1" applyFill="1" applyBorder="1" applyAlignment="1">
      <alignment horizontal="center" vertical="center"/>
    </xf>
    <xf numFmtId="0" fontId="237" fillId="22" borderId="374" xfId="16" applyFont="1" applyFill="1" applyBorder="1" applyAlignment="1">
      <alignment horizontal="center" vertical="center"/>
    </xf>
    <xf numFmtId="0" fontId="237" fillId="22" borderId="375" xfId="16" applyFont="1" applyFill="1" applyBorder="1" applyAlignment="1">
      <alignment horizontal="center" vertical="center"/>
    </xf>
    <xf numFmtId="0" fontId="237" fillId="22" borderId="376" xfId="16" applyFont="1" applyFill="1" applyBorder="1" applyAlignment="1">
      <alignment horizontal="center" vertical="center"/>
    </xf>
    <xf numFmtId="20" fontId="224" fillId="0" borderId="0" xfId="16" applyNumberFormat="1" applyFont="1" applyAlignment="1">
      <alignment horizontal="center"/>
    </xf>
    <xf numFmtId="0" fontId="67" fillId="0" borderId="324" xfId="0" applyFont="1" applyBorder="1">
      <alignment vertical="center"/>
    </xf>
    <xf numFmtId="0" fontId="104" fillId="0" borderId="324" xfId="0" applyFont="1" applyBorder="1" applyAlignment="1" applyProtection="1">
      <alignment vertical="center" wrapText="1"/>
      <protection hidden="1"/>
    </xf>
    <xf numFmtId="0" fontId="67" fillId="0" borderId="324" xfId="0" applyFont="1" applyBorder="1" applyAlignment="1" applyProtection="1">
      <alignment horizontal="left" vertical="center" wrapText="1"/>
      <protection hidden="1"/>
    </xf>
    <xf numFmtId="0" fontId="67" fillId="0" borderId="325" xfId="0" applyFont="1" applyBorder="1" applyAlignment="1" applyProtection="1">
      <alignment horizontal="left" vertical="center" wrapText="1"/>
      <protection hidden="1"/>
    </xf>
    <xf numFmtId="0" fontId="85" fillId="0" borderId="324" xfId="0" applyFont="1" applyBorder="1" applyAlignment="1" applyProtection="1">
      <alignment horizontal="left" vertical="center" wrapText="1"/>
      <protection hidden="1"/>
    </xf>
    <xf numFmtId="0" fontId="85" fillId="0" borderId="324" xfId="0" applyFont="1" applyBorder="1" applyAlignment="1" applyProtection="1">
      <alignment vertical="center" wrapText="1"/>
      <protection hidden="1"/>
    </xf>
    <xf numFmtId="0" fontId="79" fillId="0" borderId="324" xfId="0" applyFont="1" applyBorder="1" applyAlignment="1" applyProtection="1">
      <alignment horizontal="left" vertical="center" wrapText="1"/>
      <protection hidden="1"/>
    </xf>
    <xf numFmtId="0" fontId="140" fillId="0" borderId="324" xfId="0" applyFont="1" applyBorder="1" applyAlignment="1">
      <alignment vertical="center" wrapText="1"/>
    </xf>
    <xf numFmtId="0" fontId="38" fillId="0" borderId="324" xfId="0" applyFont="1" applyBorder="1" applyAlignment="1">
      <alignment vertical="center" wrapText="1"/>
    </xf>
    <xf numFmtId="0" fontId="93" fillId="0" borderId="324" xfId="0" applyFont="1" applyBorder="1" applyAlignment="1">
      <alignment vertical="center" wrapText="1"/>
    </xf>
    <xf numFmtId="0" fontId="85" fillId="0" borderId="377" xfId="0" applyFont="1" applyBorder="1" applyAlignment="1" applyProtection="1">
      <alignment horizontal="left" vertical="center" wrapText="1"/>
      <protection hidden="1"/>
    </xf>
    <xf numFmtId="0" fontId="86" fillId="0" borderId="323" xfId="0" applyFont="1" applyBorder="1" applyAlignment="1" applyProtection="1">
      <alignment horizontal="left" vertical="center" wrapText="1"/>
      <protection hidden="1"/>
    </xf>
    <xf numFmtId="0" fontId="86" fillId="0" borderId="324" xfId="0" applyFont="1" applyBorder="1" applyAlignment="1" applyProtection="1">
      <alignment vertical="center" wrapText="1"/>
      <protection hidden="1"/>
    </xf>
    <xf numFmtId="0" fontId="86" fillId="0" borderId="0" xfId="0" applyFont="1" applyAlignment="1" applyProtection="1">
      <alignment vertical="center" wrapText="1"/>
      <protection hidden="1"/>
    </xf>
    <xf numFmtId="0" fontId="0" fillId="0" borderId="21" xfId="0" applyBorder="1" applyAlignment="1" applyProtection="1">
      <alignment horizontal="left" vertical="center" wrapText="1"/>
      <protection hidden="1"/>
    </xf>
    <xf numFmtId="0" fontId="243" fillId="0" borderId="21" xfId="0" applyFont="1" applyBorder="1" applyAlignment="1" applyProtection="1">
      <alignment horizontal="left" vertical="center" wrapText="1"/>
      <protection hidden="1"/>
    </xf>
    <xf numFmtId="0" fontId="160" fillId="0" borderId="21" xfId="0" applyFont="1" applyBorder="1" applyAlignment="1" applyProtection="1">
      <alignment horizontal="left" vertical="center" wrapText="1"/>
      <protection hidden="1"/>
    </xf>
    <xf numFmtId="0" fontId="17" fillId="0" borderId="21" xfId="0" applyFont="1" applyBorder="1" applyAlignment="1" applyProtection="1">
      <alignment horizontal="left" vertical="center" wrapText="1"/>
      <protection hidden="1"/>
    </xf>
    <xf numFmtId="0" fontId="17" fillId="0" borderId="21" xfId="0" applyFont="1" applyBorder="1" applyAlignment="1" applyProtection="1">
      <alignment horizontal="center" vertical="center"/>
      <protection hidden="1"/>
    </xf>
    <xf numFmtId="0" fontId="242" fillId="6" borderId="21" xfId="0" applyFont="1" applyFill="1" applyBorder="1" applyAlignment="1" applyProtection="1">
      <alignment horizontal="left" vertical="center" wrapText="1"/>
      <protection hidden="1"/>
    </xf>
    <xf numFmtId="0" fontId="17" fillId="6" borderId="21" xfId="0" applyFont="1" applyFill="1" applyBorder="1" applyAlignment="1" applyProtection="1">
      <alignment horizontal="left" vertical="center" wrapText="1"/>
      <protection hidden="1"/>
    </xf>
    <xf numFmtId="0" fontId="17" fillId="6" borderId="21" xfId="0" applyFont="1" applyFill="1" applyBorder="1" applyAlignment="1" applyProtection="1">
      <alignment horizontal="center" vertical="center"/>
      <protection hidden="1"/>
    </xf>
    <xf numFmtId="0" fontId="38" fillId="0" borderId="21" xfId="0" applyFont="1" applyBorder="1">
      <alignment vertical="center"/>
    </xf>
    <xf numFmtId="0" fontId="242" fillId="0" borderId="21" xfId="0" applyFont="1" applyBorder="1" applyAlignment="1" applyProtection="1">
      <alignment horizontal="left" vertical="center" wrapText="1"/>
      <protection hidden="1"/>
    </xf>
    <xf numFmtId="0" fontId="85" fillId="0" borderId="21" xfId="0" applyFont="1" applyBorder="1" applyAlignment="1" applyProtection="1">
      <alignment horizontal="left" vertical="center" wrapText="1"/>
      <protection hidden="1"/>
    </xf>
    <xf numFmtId="0" fontId="243" fillId="0" borderId="0" xfId="0" applyFont="1" applyAlignment="1">
      <alignment horizontal="center" vertical="center"/>
    </xf>
    <xf numFmtId="0" fontId="92" fillId="0" borderId="17" xfId="8" applyFont="1" applyBorder="1" applyAlignment="1">
      <alignment horizontal="center" vertical="center"/>
    </xf>
    <xf numFmtId="0" fontId="87" fillId="0" borderId="0" xfId="8" applyFont="1" applyAlignment="1">
      <alignment horizontal="center" vertical="center"/>
    </xf>
    <xf numFmtId="0" fontId="175" fillId="0" borderId="12" xfId="8" applyFont="1" applyBorder="1" applyAlignment="1" applyProtection="1">
      <alignment horizontal="center" vertical="center"/>
      <protection locked="0"/>
    </xf>
    <xf numFmtId="0" fontId="175" fillId="0" borderId="264" xfId="8" applyFont="1" applyBorder="1" applyAlignment="1">
      <alignment horizontal="center" vertical="center"/>
    </xf>
    <xf numFmtId="0" fontId="175" fillId="0" borderId="12" xfId="8" applyFont="1" applyBorder="1" applyAlignment="1">
      <alignment horizontal="center" vertical="center"/>
    </xf>
    <xf numFmtId="0" fontId="67" fillId="0" borderId="12" xfId="8" applyFont="1" applyBorder="1" applyAlignment="1">
      <alignment vertical="center" wrapText="1"/>
    </xf>
    <xf numFmtId="0" fontId="67" fillId="0" borderId="2" xfId="8" applyFont="1" applyBorder="1" applyAlignment="1" applyProtection="1">
      <alignment vertical="center" wrapText="1"/>
      <protection locked="0"/>
    </xf>
    <xf numFmtId="0" fontId="67" fillId="0" borderId="3" xfId="8" applyFont="1" applyBorder="1" applyAlignment="1" applyProtection="1">
      <alignment vertical="center" wrapText="1"/>
      <protection locked="0"/>
    </xf>
    <xf numFmtId="0" fontId="67" fillId="0" borderId="2" xfId="8" applyFont="1" applyBorder="1" applyAlignment="1">
      <alignment vertical="center" wrapText="1"/>
    </xf>
    <xf numFmtId="0" fontId="67" fillId="0" borderId="3" xfId="8" applyFont="1" applyBorder="1" applyAlignment="1">
      <alignment vertical="center" wrapText="1"/>
    </xf>
    <xf numFmtId="0" fontId="86" fillId="0" borderId="0" xfId="8" applyFont="1">
      <alignment vertical="center"/>
    </xf>
    <xf numFmtId="0" fontId="86" fillId="0" borderId="0" xfId="8" applyFont="1" applyAlignment="1">
      <alignment vertical="center" wrapText="1"/>
    </xf>
    <xf numFmtId="0" fontId="87" fillId="0" borderId="0" xfId="8" applyFont="1" applyAlignment="1">
      <alignment vertical="center" wrapText="1"/>
    </xf>
    <xf numFmtId="49" fontId="86" fillId="0" borderId="0" xfId="8" applyNumberFormat="1" applyFont="1">
      <alignment vertical="center"/>
    </xf>
    <xf numFmtId="0" fontId="86" fillId="0" borderId="0" xfId="8" applyFont="1" applyAlignment="1">
      <alignment vertical="center" shrinkToFit="1"/>
    </xf>
    <xf numFmtId="193" fontId="235" fillId="0" borderId="360" xfId="16" applyNumberFormat="1" applyFont="1" applyBorder="1" applyAlignment="1">
      <alignment horizontal="center" vertical="center"/>
    </xf>
    <xf numFmtId="20" fontId="238" fillId="0" borderId="345" xfId="16" applyNumberFormat="1" applyFont="1" applyBorder="1" applyAlignment="1">
      <alignment horizontal="center" vertical="center"/>
    </xf>
    <xf numFmtId="193" fontId="238" fillId="0" borderId="345" xfId="16" applyNumberFormat="1" applyFont="1" applyBorder="1" applyAlignment="1">
      <alignment horizontal="center" vertical="center"/>
    </xf>
    <xf numFmtId="20" fontId="238" fillId="0" borderId="358" xfId="16" applyNumberFormat="1" applyFont="1" applyBorder="1" applyAlignment="1">
      <alignment horizontal="center" vertical="center"/>
    </xf>
    <xf numFmtId="193" fontId="238" fillId="24" borderId="345" xfId="16" applyNumberFormat="1" applyFont="1" applyFill="1" applyBorder="1" applyAlignment="1">
      <alignment horizontal="center" vertical="center"/>
    </xf>
    <xf numFmtId="20" fontId="238" fillId="24" borderId="358" xfId="16" applyNumberFormat="1" applyFont="1" applyFill="1" applyBorder="1" applyAlignment="1">
      <alignment horizontal="center" vertical="center"/>
    </xf>
    <xf numFmtId="193" fontId="238" fillId="0" borderId="353" xfId="16" applyNumberFormat="1" applyFont="1" applyBorder="1" applyAlignment="1">
      <alignment horizontal="center" vertical="center"/>
    </xf>
    <xf numFmtId="20" fontId="238" fillId="0" borderId="359" xfId="16" applyNumberFormat="1" applyFont="1" applyBorder="1" applyAlignment="1">
      <alignment horizontal="center" vertical="center"/>
    </xf>
    <xf numFmtId="193" fontId="235" fillId="0" borderId="361" xfId="16" applyNumberFormat="1" applyFont="1" applyBorder="1" applyAlignment="1">
      <alignment horizontal="center" vertical="center"/>
    </xf>
    <xf numFmtId="20" fontId="238" fillId="0" borderId="353" xfId="16" applyNumberFormat="1" applyFont="1" applyBorder="1" applyAlignment="1">
      <alignment horizontal="center" vertical="center"/>
    </xf>
    <xf numFmtId="193" fontId="235" fillId="26" borderId="361" xfId="16" applyNumberFormat="1" applyFont="1" applyFill="1" applyBorder="1" applyAlignment="1">
      <alignment horizontal="center" vertical="center"/>
    </xf>
    <xf numFmtId="20" fontId="238" fillId="26" borderId="353" xfId="16" applyNumberFormat="1" applyFont="1" applyFill="1" applyBorder="1" applyAlignment="1">
      <alignment horizontal="center" vertical="center"/>
    </xf>
    <xf numFmtId="193" fontId="238" fillId="26" borderId="353" xfId="16" applyNumberFormat="1" applyFont="1" applyFill="1" applyBorder="1" applyAlignment="1">
      <alignment horizontal="center" vertical="center"/>
    </xf>
    <xf numFmtId="20" fontId="238" fillId="26" borderId="359" xfId="16" applyNumberFormat="1" applyFont="1" applyFill="1" applyBorder="1" applyAlignment="1">
      <alignment horizontal="center" vertical="center"/>
    </xf>
    <xf numFmtId="193" fontId="235" fillId="24" borderId="361" xfId="16" applyNumberFormat="1" applyFont="1" applyFill="1" applyBorder="1" applyAlignment="1">
      <alignment horizontal="center" vertical="center"/>
    </xf>
    <xf numFmtId="20" fontId="238" fillId="24" borderId="353" xfId="16" applyNumberFormat="1" applyFont="1" applyFill="1" applyBorder="1" applyAlignment="1">
      <alignment horizontal="center" vertical="center"/>
    </xf>
    <xf numFmtId="193" fontId="238" fillId="24" borderId="353" xfId="16" applyNumberFormat="1" applyFont="1" applyFill="1" applyBorder="1" applyAlignment="1">
      <alignment horizontal="center" vertical="center"/>
    </xf>
    <xf numFmtId="20" fontId="238" fillId="24" borderId="359" xfId="16" applyNumberFormat="1" applyFont="1" applyFill="1" applyBorder="1" applyAlignment="1">
      <alignment horizontal="center" vertical="center"/>
    </xf>
    <xf numFmtId="193" fontId="235" fillId="24" borderId="336" xfId="16" applyNumberFormat="1" applyFont="1" applyFill="1" applyBorder="1" applyAlignment="1">
      <alignment horizontal="center" vertical="center"/>
    </xf>
    <xf numFmtId="20" fontId="238" fillId="24" borderId="339" xfId="16" applyNumberFormat="1" applyFont="1" applyFill="1" applyBorder="1" applyAlignment="1">
      <alignment horizontal="center" vertical="center"/>
    </xf>
    <xf numFmtId="193" fontId="238" fillId="26" borderId="359" xfId="16" applyNumberFormat="1" applyFont="1" applyFill="1" applyBorder="1" applyAlignment="1">
      <alignment horizontal="center" vertical="center"/>
    </xf>
    <xf numFmtId="20" fontId="235" fillId="26" borderId="361" xfId="16" applyNumberFormat="1" applyFont="1" applyFill="1" applyBorder="1" applyAlignment="1">
      <alignment horizontal="center" vertical="center"/>
    </xf>
    <xf numFmtId="0" fontId="237" fillId="0" borderId="21" xfId="16" applyFont="1" applyBorder="1" applyAlignment="1">
      <alignment horizontal="left" vertical="center"/>
    </xf>
    <xf numFmtId="49" fontId="134" fillId="8" borderId="56" xfId="0" applyNumberFormat="1" applyFont="1" applyFill="1" applyBorder="1" applyAlignment="1">
      <alignment horizontal="left" vertical="center"/>
    </xf>
    <xf numFmtId="49" fontId="134" fillId="8" borderId="17" xfId="0" applyNumberFormat="1" applyFont="1" applyFill="1" applyBorder="1" applyAlignment="1">
      <alignment horizontal="left" vertical="center"/>
    </xf>
    <xf numFmtId="49" fontId="134" fillId="8" borderId="55" xfId="0" applyNumberFormat="1" applyFont="1" applyFill="1" applyBorder="1" applyAlignment="1">
      <alignment horizontal="left" vertical="center"/>
    </xf>
    <xf numFmtId="49" fontId="134" fillId="28" borderId="56" xfId="0" applyNumberFormat="1" applyFont="1" applyFill="1" applyBorder="1" applyAlignment="1">
      <alignment horizontal="left" vertical="center"/>
    </xf>
    <xf numFmtId="49" fontId="134" fillId="28" borderId="17" xfId="0" applyNumberFormat="1" applyFont="1" applyFill="1" applyBorder="1" applyAlignment="1">
      <alignment horizontal="left" vertical="center"/>
    </xf>
    <xf numFmtId="49" fontId="134" fillId="28" borderId="55" xfId="0" applyNumberFormat="1" applyFont="1" applyFill="1" applyBorder="1" applyAlignment="1">
      <alignment horizontal="left" vertical="center"/>
    </xf>
    <xf numFmtId="178" fontId="111" fillId="0" borderId="190" xfId="0" applyNumberFormat="1" applyFont="1" applyBorder="1" applyAlignment="1">
      <alignment horizontal="center" vertical="center"/>
    </xf>
    <xf numFmtId="178" fontId="104" fillId="0" borderId="17" xfId="0" applyNumberFormat="1" applyFont="1" applyBorder="1" applyAlignment="1">
      <alignment horizontal="center" vertical="center"/>
    </xf>
    <xf numFmtId="0" fontId="251" fillId="0" borderId="0" xfId="0" applyFont="1">
      <alignment vertical="center"/>
    </xf>
    <xf numFmtId="0" fontId="180" fillId="0" borderId="0" xfId="0" applyFont="1">
      <alignment vertical="center"/>
    </xf>
    <xf numFmtId="0" fontId="85" fillId="4" borderId="11" xfId="0" applyFont="1" applyFill="1" applyBorder="1" applyAlignment="1">
      <alignment vertical="center" textRotation="255" wrapText="1" shrinkToFit="1"/>
    </xf>
    <xf numFmtId="0" fontId="85" fillId="4" borderId="3" xfId="0" applyFont="1" applyFill="1" applyBorder="1" applyAlignment="1">
      <alignment vertical="center" textRotation="255" wrapText="1" shrinkToFit="1"/>
    </xf>
    <xf numFmtId="0" fontId="85" fillId="4" borderId="56" xfId="0" applyFont="1" applyFill="1" applyBorder="1" applyAlignment="1">
      <alignment vertical="center" justifyLastLine="1"/>
    </xf>
    <xf numFmtId="0" fontId="85" fillId="4" borderId="17" xfId="0" applyFont="1" applyFill="1" applyBorder="1" applyAlignment="1">
      <alignment vertical="center" justifyLastLine="1"/>
    </xf>
    <xf numFmtId="0" fontId="85" fillId="4" borderId="57" xfId="0" applyFont="1" applyFill="1" applyBorder="1" applyAlignment="1">
      <alignment vertical="center" justifyLastLine="1"/>
    </xf>
    <xf numFmtId="0" fontId="111" fillId="4" borderId="157" xfId="0" applyFont="1" applyFill="1" applyBorder="1" applyAlignment="1" applyProtection="1">
      <alignment vertical="center" justifyLastLine="1"/>
      <protection locked="0"/>
    </xf>
    <xf numFmtId="0" fontId="111" fillId="4" borderId="58" xfId="0" applyFont="1" applyFill="1" applyBorder="1" applyAlignment="1" applyProtection="1">
      <alignment vertical="center" justifyLastLine="1"/>
      <protection locked="0"/>
    </xf>
    <xf numFmtId="0" fontId="111" fillId="4" borderId="61" xfId="0" applyFont="1" applyFill="1" applyBorder="1" applyAlignment="1" applyProtection="1">
      <alignment vertical="center" justifyLastLine="1"/>
      <protection locked="0"/>
    </xf>
    <xf numFmtId="0" fontId="73" fillId="4" borderId="157" xfId="0" applyFont="1" applyFill="1" applyBorder="1" applyAlignment="1" applyProtection="1">
      <alignment horizontal="center" vertical="center"/>
      <protection locked="0"/>
    </xf>
    <xf numFmtId="0" fontId="237" fillId="0" borderId="400" xfId="16" applyFont="1" applyBorder="1" applyAlignment="1">
      <alignment horizontal="center" vertical="center"/>
    </xf>
    <xf numFmtId="0" fontId="237" fillId="0" borderId="401" xfId="16" applyFont="1" applyBorder="1" applyAlignment="1">
      <alignment horizontal="center" vertical="center"/>
    </xf>
    <xf numFmtId="0" fontId="237" fillId="0" borderId="402" xfId="16" applyFont="1" applyBorder="1" applyAlignment="1">
      <alignment horizontal="center" vertical="center"/>
    </xf>
    <xf numFmtId="0" fontId="237" fillId="0" borderId="403" xfId="16" applyFont="1" applyBorder="1" applyAlignment="1">
      <alignment horizontal="center" vertical="center"/>
    </xf>
    <xf numFmtId="0" fontId="237" fillId="0" borderId="404" xfId="16" applyFont="1" applyBorder="1" applyAlignment="1">
      <alignment horizontal="center" vertical="center"/>
    </xf>
    <xf numFmtId="0" fontId="237" fillId="0" borderId="405" xfId="16" applyFont="1" applyBorder="1" applyAlignment="1">
      <alignment horizontal="center" vertical="center"/>
    </xf>
    <xf numFmtId="0" fontId="237" fillId="0" borderId="406" xfId="16" applyFont="1" applyBorder="1" applyAlignment="1">
      <alignment horizontal="center" vertical="center"/>
    </xf>
    <xf numFmtId="0" fontId="237" fillId="0" borderId="407" xfId="16" applyFont="1" applyBorder="1" applyAlignment="1">
      <alignment horizontal="center" vertical="center"/>
    </xf>
    <xf numFmtId="0" fontId="237" fillId="0" borderId="408" xfId="16" applyFont="1" applyBorder="1" applyAlignment="1">
      <alignment horizontal="center" vertical="center"/>
    </xf>
    <xf numFmtId="0" fontId="237" fillId="0" borderId="401" xfId="16" applyFont="1" applyBorder="1" applyAlignment="1">
      <alignment horizontal="center" vertical="center" wrapText="1"/>
    </xf>
    <xf numFmtId="0" fontId="237" fillId="0" borderId="405" xfId="16" applyFont="1" applyBorder="1" applyAlignment="1">
      <alignment horizontal="center" vertical="center" wrapText="1"/>
    </xf>
    <xf numFmtId="0" fontId="214" fillId="0" borderId="405" xfId="16" applyFont="1" applyBorder="1" applyAlignment="1">
      <alignment horizontal="center" vertical="center"/>
    </xf>
    <xf numFmtId="0" fontId="214" fillId="0" borderId="401" xfId="16" applyFont="1" applyBorder="1" applyAlignment="1">
      <alignment horizontal="center" vertical="center"/>
    </xf>
    <xf numFmtId="0" fontId="214" fillId="0" borderId="403" xfId="16" applyFont="1" applyBorder="1" applyAlignment="1">
      <alignment horizontal="center" vertical="center"/>
    </xf>
    <xf numFmtId="0" fontId="237" fillId="22" borderId="400" xfId="16" applyFont="1" applyFill="1" applyBorder="1" applyAlignment="1">
      <alignment horizontal="center" vertical="center"/>
    </xf>
    <xf numFmtId="0" fontId="237" fillId="22" borderId="411" xfId="16" applyFont="1" applyFill="1" applyBorder="1" applyAlignment="1">
      <alignment horizontal="center" vertical="center"/>
    </xf>
    <xf numFmtId="0" fontId="237" fillId="22" borderId="402" xfId="16" applyFont="1" applyFill="1" applyBorder="1" applyAlignment="1">
      <alignment horizontal="center" vertical="center"/>
    </xf>
    <xf numFmtId="0" fontId="237" fillId="22" borderId="412" xfId="16" applyFont="1" applyFill="1" applyBorder="1" applyAlignment="1">
      <alignment horizontal="center" vertical="center"/>
    </xf>
    <xf numFmtId="0" fontId="237" fillId="22" borderId="404" xfId="16" applyFont="1" applyFill="1" applyBorder="1" applyAlignment="1">
      <alignment horizontal="center" vertical="center"/>
    </xf>
    <xf numFmtId="0" fontId="237" fillId="22" borderId="413" xfId="16" applyFont="1" applyFill="1" applyBorder="1" applyAlignment="1">
      <alignment horizontal="center" vertical="center"/>
    </xf>
    <xf numFmtId="0" fontId="237" fillId="0" borderId="414" xfId="16" applyFont="1" applyBorder="1" applyAlignment="1">
      <alignment horizontal="center" vertical="center"/>
    </xf>
    <xf numFmtId="0" fontId="237" fillId="0" borderId="415" xfId="16" applyFont="1" applyBorder="1" applyAlignment="1">
      <alignment horizontal="center" vertical="center"/>
    </xf>
    <xf numFmtId="0" fontId="81" fillId="0" borderId="74" xfId="0" applyFont="1" applyBorder="1" applyAlignment="1">
      <alignment vertical="center" textRotation="255" wrapText="1"/>
    </xf>
    <xf numFmtId="0" fontId="213" fillId="0" borderId="0" xfId="16" applyFont="1" applyAlignment="1">
      <alignment horizontal="center" vertical="center"/>
    </xf>
    <xf numFmtId="0" fontId="259" fillId="0" borderId="0" xfId="16" applyFont="1" applyAlignment="1">
      <alignment horizontal="center" vertical="center"/>
    </xf>
    <xf numFmtId="0" fontId="260" fillId="0" borderId="0" xfId="16" applyFont="1" applyAlignment="1">
      <alignment horizontal="center" vertical="center"/>
    </xf>
    <xf numFmtId="0" fontId="260" fillId="0" borderId="10" xfId="16" applyFont="1" applyBorder="1" applyAlignment="1">
      <alignment horizontal="center" vertical="center"/>
    </xf>
    <xf numFmtId="0" fontId="260" fillId="0" borderId="2" xfId="16" applyFont="1" applyBorder="1" applyAlignment="1">
      <alignment horizontal="center" vertical="center" wrapText="1"/>
    </xf>
    <xf numFmtId="195" fontId="42" fillId="0" borderId="0" xfId="0" applyNumberFormat="1" applyFont="1" applyAlignment="1">
      <alignment vertical="center" wrapText="1"/>
    </xf>
    <xf numFmtId="0" fontId="49" fillId="0" borderId="0" xfId="0" applyFont="1" applyProtection="1">
      <alignment vertical="center"/>
      <protection locked="0"/>
    </xf>
    <xf numFmtId="0" fontId="77" fillId="0" borderId="2" xfId="0" applyFont="1" applyBorder="1">
      <alignment vertical="center"/>
    </xf>
    <xf numFmtId="0" fontId="87" fillId="0" borderId="0" xfId="0" applyFont="1" applyAlignment="1">
      <alignment horizontal="center" vertical="center" wrapText="1"/>
    </xf>
    <xf numFmtId="0" fontId="87" fillId="0" borderId="12" xfId="0" applyFont="1" applyBorder="1" applyAlignment="1">
      <alignment horizontal="center" vertical="center" wrapText="1"/>
    </xf>
    <xf numFmtId="0" fontId="164" fillId="16" borderId="263" xfId="0" applyFont="1" applyFill="1" applyBorder="1" applyAlignment="1">
      <alignment vertical="center" wrapText="1"/>
    </xf>
    <xf numFmtId="0" fontId="164" fillId="16" borderId="262" xfId="0" applyFont="1" applyFill="1" applyBorder="1" applyAlignment="1">
      <alignment vertical="center" wrapText="1"/>
    </xf>
    <xf numFmtId="0" fontId="78" fillId="0" borderId="115" xfId="0" applyFont="1" applyBorder="1" applyAlignment="1">
      <alignment horizontal="center" vertical="center" wrapText="1"/>
    </xf>
    <xf numFmtId="0" fontId="78" fillId="0" borderId="116" xfId="0" applyFont="1" applyBorder="1" applyAlignment="1">
      <alignment horizontal="center" vertical="center" wrapText="1"/>
    </xf>
    <xf numFmtId="0" fontId="78" fillId="0" borderId="0" xfId="0" applyFont="1" applyAlignment="1">
      <alignment horizontal="center" vertical="center" wrapText="1"/>
    </xf>
    <xf numFmtId="0" fontId="87" fillId="0" borderId="0" xfId="0" applyFont="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10"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2" xfId="0" applyFont="1" applyBorder="1" applyAlignment="1" applyProtection="1">
      <alignment horizontal="center" vertical="center"/>
      <protection locked="0"/>
    </xf>
    <xf numFmtId="0" fontId="87" fillId="0" borderId="3" xfId="0" applyFont="1" applyBorder="1" applyAlignment="1" applyProtection="1">
      <alignment horizontal="center" vertical="center"/>
      <protection locked="0"/>
    </xf>
    <xf numFmtId="0" fontId="78" fillId="0" borderId="0" xfId="0" applyFont="1" applyAlignment="1">
      <alignment horizontal="left" vertical="center" wrapText="1"/>
    </xf>
    <xf numFmtId="0" fontId="143" fillId="0" borderId="111" xfId="0" applyFont="1" applyBorder="1" applyAlignment="1">
      <alignment horizontal="left" vertical="center" wrapText="1"/>
    </xf>
    <xf numFmtId="0" fontId="143" fillId="0" borderId="10" xfId="0" applyFont="1" applyBorder="1" applyAlignment="1">
      <alignment horizontal="left" vertical="center" wrapText="1"/>
    </xf>
    <xf numFmtId="0" fontId="143" fillId="0" borderId="14" xfId="0" applyFont="1" applyBorder="1" applyAlignment="1">
      <alignment horizontal="left" vertical="center" wrapText="1"/>
    </xf>
    <xf numFmtId="0" fontId="143" fillId="0" borderId="260" xfId="0" applyFont="1" applyBorder="1" applyAlignment="1">
      <alignment horizontal="left" vertical="center" wrapText="1"/>
    </xf>
    <xf numFmtId="0" fontId="143" fillId="0" borderId="0" xfId="0" applyFont="1" applyAlignment="1">
      <alignment horizontal="left" vertical="center" wrapText="1"/>
    </xf>
    <xf numFmtId="0" fontId="143" fillId="0" borderId="12" xfId="0" applyFont="1" applyBorder="1" applyAlignment="1">
      <alignment horizontal="left" vertical="center" wrapText="1"/>
    </xf>
    <xf numFmtId="0" fontId="143" fillId="0" borderId="270" xfId="0" applyFont="1" applyBorder="1" applyAlignment="1">
      <alignment horizontal="left" vertical="center" wrapText="1"/>
    </xf>
    <xf numFmtId="0" fontId="143" fillId="0" borderId="2" xfId="0" applyFont="1" applyBorder="1" applyAlignment="1">
      <alignment horizontal="left" vertical="center" wrapText="1"/>
    </xf>
    <xf numFmtId="0" fontId="143" fillId="0" borderId="3" xfId="0" applyFont="1" applyBorder="1" applyAlignment="1">
      <alignment horizontal="left" vertical="center" wrapText="1"/>
    </xf>
    <xf numFmtId="0" fontId="86" fillId="0" borderId="0" xfId="0" applyFont="1" applyAlignment="1">
      <alignment horizontal="left" vertical="center"/>
    </xf>
    <xf numFmtId="0" fontId="86" fillId="0" borderId="106" xfId="0" applyFont="1" applyBorder="1" applyAlignment="1">
      <alignment horizontal="left" vertical="center"/>
    </xf>
    <xf numFmtId="0" fontId="87" fillId="0" borderId="56"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55" xfId="0" applyFont="1" applyBorder="1" applyAlignment="1">
      <alignment horizontal="center" vertical="center" wrapText="1"/>
    </xf>
    <xf numFmtId="0" fontId="86" fillId="0" borderId="0" xfId="0" applyFont="1" applyAlignment="1">
      <alignment horizontal="center" vertical="center" wrapText="1"/>
    </xf>
    <xf numFmtId="0" fontId="82" fillId="0" borderId="0" xfId="0" applyFont="1" applyAlignment="1">
      <alignment horizontal="center" vertical="center" shrinkToFit="1"/>
    </xf>
    <xf numFmtId="0" fontId="82" fillId="0" borderId="0" xfId="0" applyFont="1" applyAlignment="1">
      <alignment horizontal="center" vertical="center" wrapText="1"/>
    </xf>
    <xf numFmtId="0" fontId="168" fillId="16" borderId="267" xfId="12" applyFont="1" applyFill="1" applyBorder="1" applyAlignment="1">
      <alignment vertical="center" wrapText="1"/>
    </xf>
    <xf numFmtId="0" fontId="168" fillId="16" borderId="268" xfId="12" applyFont="1" applyFill="1" applyBorder="1" applyAlignment="1">
      <alignment vertical="center" wrapText="1"/>
    </xf>
    <xf numFmtId="49" fontId="81" fillId="0" borderId="117" xfId="0" applyNumberFormat="1" applyFont="1" applyBorder="1" applyAlignment="1">
      <alignment horizontal="center" vertical="center"/>
    </xf>
    <xf numFmtId="0" fontId="67" fillId="0" borderId="117" xfId="0" applyFont="1" applyBorder="1">
      <alignment vertical="center"/>
    </xf>
    <xf numFmtId="0" fontId="67" fillId="0" borderId="118" xfId="0" applyFont="1" applyBorder="1">
      <alignment vertical="center"/>
    </xf>
    <xf numFmtId="49" fontId="81" fillId="0" borderId="124" xfId="0" applyNumberFormat="1" applyFont="1" applyBorder="1" applyAlignment="1">
      <alignment horizontal="center" vertical="center"/>
    </xf>
    <xf numFmtId="49" fontId="81" fillId="0" borderId="4" xfId="0" applyNumberFormat="1" applyFont="1" applyBorder="1" applyAlignment="1">
      <alignment horizontal="center" vertical="center"/>
    </xf>
    <xf numFmtId="49" fontId="81" fillId="0" borderId="122" xfId="0" applyNumberFormat="1" applyFont="1" applyBorder="1" applyAlignment="1">
      <alignment horizontal="center" vertical="center"/>
    </xf>
    <xf numFmtId="49" fontId="81" fillId="0" borderId="7" xfId="0" applyNumberFormat="1" applyFont="1" applyBorder="1" applyAlignment="1">
      <alignment horizontal="center" vertical="center"/>
    </xf>
    <xf numFmtId="49" fontId="85" fillId="4" borderId="113" xfId="0" applyNumberFormat="1" applyFont="1" applyFill="1" applyBorder="1" applyAlignment="1">
      <alignment horizontal="center" vertical="center" wrapText="1"/>
    </xf>
    <xf numFmtId="49" fontId="85" fillId="4" borderId="110" xfId="0" applyNumberFormat="1" applyFont="1" applyFill="1" applyBorder="1" applyAlignment="1">
      <alignment horizontal="center" vertical="center" wrapText="1"/>
    </xf>
    <xf numFmtId="49" fontId="85" fillId="4" borderId="122" xfId="0" applyNumberFormat="1" applyFont="1" applyFill="1" applyBorder="1" applyAlignment="1">
      <alignment horizontal="center" vertical="center" wrapText="1"/>
    </xf>
    <xf numFmtId="49" fontId="85" fillId="4" borderId="260" xfId="0" applyNumberFormat="1" applyFont="1" applyFill="1" applyBorder="1" applyAlignment="1">
      <alignment horizontal="center" vertical="center" wrapText="1"/>
    </xf>
    <xf numFmtId="49" fontId="85" fillId="4" borderId="0" xfId="0" applyNumberFormat="1" applyFont="1" applyFill="1" applyAlignment="1">
      <alignment horizontal="center" vertical="center" wrapText="1"/>
    </xf>
    <xf numFmtId="49" fontId="85" fillId="4" borderId="106" xfId="0" applyNumberFormat="1" applyFont="1" applyFill="1" applyBorder="1" applyAlignment="1">
      <alignment horizontal="center" vertical="center" wrapText="1"/>
    </xf>
    <xf numFmtId="49" fontId="85" fillId="4" borderId="112" xfId="0" applyNumberFormat="1" applyFont="1" applyFill="1" applyBorder="1" applyAlignment="1">
      <alignment horizontal="center" vertical="center" wrapText="1"/>
    </xf>
    <xf numFmtId="49" fontId="85" fillId="4" borderId="6" xfId="0" applyNumberFormat="1" applyFont="1" applyFill="1" applyBorder="1" applyAlignment="1">
      <alignment horizontal="center" vertical="center" wrapText="1"/>
    </xf>
    <xf numFmtId="49" fontId="85" fillId="4" borderId="7" xfId="0" applyNumberFormat="1" applyFont="1" applyFill="1" applyBorder="1" applyAlignment="1">
      <alignment horizontal="center" vertical="center" wrapText="1"/>
    </xf>
    <xf numFmtId="0" fontId="87" fillId="0" borderId="115" xfId="0" applyFont="1" applyBorder="1" applyAlignment="1">
      <alignment horizontal="center" vertical="center" textRotation="255"/>
    </xf>
    <xf numFmtId="0" fontId="87" fillId="0" borderId="116" xfId="0" applyFont="1" applyBorder="1" applyAlignment="1">
      <alignment horizontal="center" vertical="center" textRotation="255"/>
    </xf>
    <xf numFmtId="0" fontId="86" fillId="0" borderId="2" xfId="0" applyFont="1" applyBorder="1" applyAlignment="1">
      <alignment horizontal="left" vertical="center"/>
    </xf>
    <xf numFmtId="0" fontId="86" fillId="0" borderId="0" xfId="0" applyFont="1">
      <alignment vertical="center"/>
    </xf>
    <xf numFmtId="0" fontId="86" fillId="0" borderId="106" xfId="0" applyFont="1" applyBorder="1">
      <alignment vertical="center"/>
    </xf>
    <xf numFmtId="49" fontId="85" fillId="0" borderId="0" xfId="0" applyNumberFormat="1" applyFont="1" applyAlignment="1">
      <alignment horizontal="center" vertical="center"/>
    </xf>
    <xf numFmtId="0" fontId="67" fillId="0" borderId="12" xfId="0" applyFont="1" applyBorder="1">
      <alignment vertical="center"/>
    </xf>
    <xf numFmtId="0" fontId="67" fillId="0" borderId="2" xfId="0" applyFont="1" applyBorder="1">
      <alignment vertical="center"/>
    </xf>
    <xf numFmtId="0" fontId="67" fillId="0" borderId="3" xfId="0" applyFont="1" applyBorder="1">
      <alignment vertical="center"/>
    </xf>
    <xf numFmtId="0" fontId="86" fillId="0" borderId="3" xfId="0" applyFont="1" applyBorder="1" applyAlignment="1">
      <alignment horizontal="left" vertical="center"/>
    </xf>
    <xf numFmtId="0" fontId="86" fillId="0" borderId="12" xfId="0" applyFont="1" applyBorder="1" applyAlignment="1">
      <alignment horizontal="left" vertical="center"/>
    </xf>
    <xf numFmtId="49" fontId="78" fillId="0" borderId="8" xfId="0" applyNumberFormat="1" applyFont="1" applyBorder="1" applyAlignment="1">
      <alignment horizontal="left" vertical="center"/>
    </xf>
    <xf numFmtId="49" fontId="78" fillId="0" borderId="119" xfId="0" applyNumberFormat="1" applyFont="1" applyBorder="1" applyAlignment="1">
      <alignment horizontal="left" vertical="center"/>
    </xf>
    <xf numFmtId="49" fontId="85" fillId="0" borderId="113" xfId="0" applyNumberFormat="1" applyFont="1" applyBorder="1" applyAlignment="1">
      <alignment horizontal="center" vertical="center" wrapText="1"/>
    </xf>
    <xf numFmtId="49" fontId="85" fillId="0" borderId="110" xfId="0" applyNumberFormat="1" applyFont="1" applyBorder="1" applyAlignment="1">
      <alignment horizontal="center" vertical="center" wrapText="1"/>
    </xf>
    <xf numFmtId="49" fontId="85" fillId="0" borderId="127" xfId="0" applyNumberFormat="1" applyFont="1" applyBorder="1" applyAlignment="1">
      <alignment horizontal="center" vertical="center" wrapText="1"/>
    </xf>
    <xf numFmtId="49" fontId="85" fillId="0" borderId="260" xfId="0" applyNumberFormat="1" applyFont="1" applyBorder="1" applyAlignment="1">
      <alignment horizontal="center" vertical="center" wrapText="1"/>
    </xf>
    <xf numFmtId="49" fontId="85" fillId="0" borderId="0" xfId="0" applyNumberFormat="1" applyFont="1" applyAlignment="1">
      <alignment horizontal="center" vertical="center" wrapText="1"/>
    </xf>
    <xf numFmtId="49" fontId="85" fillId="0" borderId="12" xfId="0" applyNumberFormat="1" applyFont="1" applyBorder="1" applyAlignment="1">
      <alignment horizontal="center" vertical="center" wrapText="1"/>
    </xf>
    <xf numFmtId="49" fontId="85" fillId="0" borderId="112" xfId="0" applyNumberFormat="1" applyFont="1" applyBorder="1" applyAlignment="1">
      <alignment horizontal="center" vertical="center" wrapText="1"/>
    </xf>
    <xf numFmtId="49" fontId="85" fillId="0" borderId="6" xfId="0" applyNumberFormat="1" applyFont="1" applyBorder="1" applyAlignment="1">
      <alignment horizontal="center" vertical="center" wrapText="1"/>
    </xf>
    <xf numFmtId="49" fontId="85" fillId="0" borderId="5" xfId="0" applyNumberFormat="1" applyFont="1" applyBorder="1" applyAlignment="1">
      <alignment horizontal="center" vertical="center" wrapText="1"/>
    </xf>
    <xf numFmtId="0" fontId="82" fillId="0" borderId="8" xfId="0" applyFont="1" applyBorder="1" applyAlignment="1">
      <alignment horizontal="left" vertical="center"/>
    </xf>
    <xf numFmtId="0" fontId="82" fillId="0" borderId="119" xfId="0" applyFont="1" applyBorder="1" applyAlignment="1">
      <alignment horizontal="left" vertical="center"/>
    </xf>
    <xf numFmtId="49" fontId="81" fillId="0" borderId="110" xfId="0" applyNumberFormat="1" applyFont="1" applyBorder="1" applyAlignment="1">
      <alignment horizontal="center" vertical="center"/>
    </xf>
    <xf numFmtId="49" fontId="81" fillId="0" borderId="6" xfId="0" applyNumberFormat="1" applyFont="1" applyBorder="1" applyAlignment="1">
      <alignment horizontal="center" vertical="center"/>
    </xf>
    <xf numFmtId="49" fontId="85" fillId="0" borderId="8" xfId="0" applyNumberFormat="1" applyFont="1" applyBorder="1" applyAlignment="1">
      <alignment horizontal="center" vertical="center"/>
    </xf>
    <xf numFmtId="0" fontId="86" fillId="0" borderId="13" xfId="0" applyFont="1" applyBorder="1" applyAlignment="1">
      <alignment horizontal="center" vertical="center"/>
    </xf>
    <xf numFmtId="0" fontId="86" fillId="0" borderId="0" xfId="0" applyFont="1" applyAlignment="1">
      <alignment horizontal="center" vertical="center"/>
    </xf>
    <xf numFmtId="0" fontId="86" fillId="0" borderId="11" xfId="0" applyFont="1" applyBorder="1" applyAlignment="1">
      <alignment horizontal="center" vertical="center"/>
    </xf>
    <xf numFmtId="0" fontId="86" fillId="0" borderId="2" xfId="0" applyFont="1" applyBorder="1" applyAlignment="1">
      <alignment horizontal="center" vertical="center"/>
    </xf>
    <xf numFmtId="49" fontId="78" fillId="0" borderId="1" xfId="0" applyNumberFormat="1" applyFont="1" applyBorder="1" applyAlignment="1">
      <alignment horizontal="center" vertical="center" textRotation="255"/>
    </xf>
    <xf numFmtId="49" fontId="78" fillId="0" borderId="118" xfId="0" applyNumberFormat="1" applyFont="1" applyBorder="1" applyAlignment="1">
      <alignment horizontal="center" vertical="center" textRotation="255"/>
    </xf>
    <xf numFmtId="49" fontId="81" fillId="0" borderId="0" xfId="0" applyNumberFormat="1" applyFont="1" applyAlignment="1">
      <alignment horizontal="center" vertical="center"/>
    </xf>
    <xf numFmtId="49" fontId="80" fillId="0" borderId="0" xfId="0" applyNumberFormat="1" applyFont="1" applyAlignment="1">
      <alignment horizontal="center" vertical="center"/>
    </xf>
    <xf numFmtId="49" fontId="80" fillId="0" borderId="6" xfId="0" applyNumberFormat="1" applyFont="1" applyBorder="1" applyAlignment="1">
      <alignment horizontal="center" vertical="center"/>
    </xf>
    <xf numFmtId="49" fontId="81" fillId="0" borderId="106" xfId="0" applyNumberFormat="1" applyFont="1" applyBorder="1" applyAlignment="1">
      <alignment horizontal="center" vertical="center"/>
    </xf>
    <xf numFmtId="0" fontId="76" fillId="0" borderId="0" xfId="0" applyFont="1" applyAlignment="1">
      <alignment horizontal="center" vertical="center"/>
    </xf>
    <xf numFmtId="49" fontId="78" fillId="0" borderId="123" xfId="0" applyNumberFormat="1" applyFont="1" applyBorder="1" applyAlignment="1">
      <alignment horizontal="center" vertical="center" textRotation="255"/>
    </xf>
    <xf numFmtId="49" fontId="78" fillId="0" borderId="116" xfId="0" applyNumberFormat="1" applyFont="1" applyBorder="1" applyAlignment="1">
      <alignment horizontal="center" vertical="center" textRotation="255"/>
    </xf>
    <xf numFmtId="49" fontId="79" fillId="0" borderId="10" xfId="0" applyNumberFormat="1" applyFont="1" applyBorder="1" applyAlignment="1">
      <alignment horizontal="center" vertical="center"/>
    </xf>
    <xf numFmtId="0" fontId="79" fillId="0" borderId="0" xfId="0" applyFont="1" applyAlignment="1" applyProtection="1">
      <alignment horizontal="center" vertical="center"/>
      <protection locked="0"/>
    </xf>
    <xf numFmtId="0" fontId="79" fillId="0" borderId="12" xfId="0" applyFont="1" applyBorder="1" applyAlignment="1" applyProtection="1">
      <alignment horizontal="center" vertical="center"/>
      <protection locked="0"/>
    </xf>
    <xf numFmtId="49" fontId="79" fillId="0" borderId="14"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80" fillId="0" borderId="2" xfId="0" applyNumberFormat="1" applyFont="1" applyBorder="1" applyAlignment="1">
      <alignment horizontal="center" vertical="center" shrinkToFit="1"/>
    </xf>
    <xf numFmtId="49" fontId="80" fillId="0" borderId="3" xfId="0" applyNumberFormat="1" applyFont="1" applyBorder="1" applyAlignment="1">
      <alignment horizontal="center" vertical="center" shrinkToFit="1"/>
    </xf>
    <xf numFmtId="0" fontId="79" fillId="0" borderId="0" xfId="0" applyFont="1" applyAlignment="1">
      <alignment horizontal="center" vertical="center"/>
    </xf>
    <xf numFmtId="0" fontId="78" fillId="0" borderId="123" xfId="0" applyFont="1" applyBorder="1" applyAlignment="1">
      <alignment horizontal="center" vertical="center" wrapText="1"/>
    </xf>
    <xf numFmtId="187" fontId="81" fillId="0" borderId="110" xfId="0" applyNumberFormat="1" applyFont="1" applyBorder="1" applyAlignment="1" applyProtection="1">
      <alignment horizontal="center" vertical="center"/>
      <protection locked="0"/>
    </xf>
    <xf numFmtId="0" fontId="81" fillId="0" borderId="6" xfId="0" applyFont="1" applyBorder="1" applyAlignment="1" applyProtection="1">
      <alignment horizontal="center" vertical="center"/>
      <protection locked="0"/>
    </xf>
    <xf numFmtId="49" fontId="81" fillId="0" borderId="0" xfId="0" applyNumberFormat="1" applyFont="1" applyAlignment="1">
      <alignment horizontal="left" vertical="center" shrinkToFit="1"/>
    </xf>
    <xf numFmtId="49" fontId="81" fillId="0" borderId="12" xfId="0" applyNumberFormat="1" applyFont="1" applyBorder="1" applyAlignment="1">
      <alignment horizontal="left" vertical="center" shrinkToFit="1"/>
    </xf>
    <xf numFmtId="0" fontId="79" fillId="0" borderId="6" xfId="0" applyFont="1" applyBorder="1" applyAlignment="1">
      <alignment horizontal="center" vertical="center" wrapText="1"/>
    </xf>
    <xf numFmtId="0" fontId="79" fillId="0" borderId="6" xfId="0" applyFont="1" applyBorder="1" applyAlignment="1">
      <alignment horizontal="center" vertical="center"/>
    </xf>
    <xf numFmtId="0" fontId="81" fillId="0" borderId="5" xfId="0" applyFont="1" applyBorder="1" applyAlignment="1" applyProtection="1">
      <alignment horizontal="center" vertical="center"/>
      <protection locked="0"/>
    </xf>
    <xf numFmtId="0" fontId="79" fillId="0" borderId="12" xfId="0" applyFont="1" applyBorder="1" applyAlignment="1">
      <alignment horizontal="center" vertical="center"/>
    </xf>
    <xf numFmtId="0" fontId="81" fillId="0" borderId="8" xfId="0" applyFont="1" applyBorder="1" applyAlignment="1" applyProtection="1">
      <alignment horizontal="center" vertical="center"/>
      <protection locked="0"/>
    </xf>
    <xf numFmtId="0" fontId="81" fillId="0" borderId="2" xfId="0" applyFont="1" applyBorder="1" applyAlignment="1">
      <alignment horizontal="center" vertical="center"/>
    </xf>
    <xf numFmtId="0" fontId="81" fillId="0" borderId="3" xfId="0" applyFont="1" applyBorder="1" applyAlignment="1">
      <alignment horizontal="center" vertical="center"/>
    </xf>
    <xf numFmtId="0" fontId="78" fillId="0" borderId="39" xfId="0" applyFont="1" applyBorder="1" applyAlignment="1">
      <alignment horizontal="center" vertical="center" wrapText="1"/>
    </xf>
    <xf numFmtId="0" fontId="78" fillId="0" borderId="39" xfId="0" applyFont="1" applyBorder="1" applyAlignment="1">
      <alignment horizontal="center" vertical="center"/>
    </xf>
    <xf numFmtId="0" fontId="78" fillId="0" borderId="116" xfId="0" applyFont="1" applyBorder="1" applyAlignment="1">
      <alignment horizontal="center" vertical="center"/>
    </xf>
    <xf numFmtId="0" fontId="78" fillId="0" borderId="21" xfId="0" applyFont="1" applyBorder="1" applyAlignment="1">
      <alignment horizontal="center" vertical="center"/>
    </xf>
    <xf numFmtId="0" fontId="78" fillId="0" borderId="22" xfId="0" applyFont="1" applyBorder="1" applyAlignment="1">
      <alignment horizontal="center" vertical="center"/>
    </xf>
    <xf numFmtId="49" fontId="81" fillId="0" borderId="125" xfId="0" applyNumberFormat="1" applyFont="1" applyBorder="1" applyAlignment="1">
      <alignment horizontal="center" vertical="center"/>
    </xf>
    <xf numFmtId="49" fontId="81" fillId="0" borderId="126" xfId="0" applyNumberFormat="1" applyFont="1" applyBorder="1" applyAlignment="1">
      <alignment horizontal="center" vertical="center"/>
    </xf>
    <xf numFmtId="0" fontId="78" fillId="0" borderId="2" xfId="0" applyFont="1" applyBorder="1" applyAlignment="1">
      <alignment horizontal="center" vertical="center"/>
    </xf>
    <xf numFmtId="0" fontId="82" fillId="0" borderId="114" xfId="0" applyFont="1" applyBorder="1" applyAlignment="1">
      <alignment horizontal="center" vertical="center"/>
    </xf>
    <xf numFmtId="0" fontId="82" fillId="0" borderId="8" xfId="0" applyFont="1" applyBorder="1" applyAlignment="1">
      <alignment horizontal="center" vertical="center"/>
    </xf>
    <xf numFmtId="49" fontId="78" fillId="0" borderId="120" xfId="0" applyNumberFormat="1" applyFont="1" applyBorder="1" applyAlignment="1">
      <alignment horizontal="center" vertical="center" textRotation="255"/>
    </xf>
    <xf numFmtId="49" fontId="78" fillId="0" borderId="121" xfId="0" applyNumberFormat="1" applyFont="1" applyBorder="1" applyAlignment="1">
      <alignment horizontal="center" vertical="center" textRotation="255"/>
    </xf>
    <xf numFmtId="0" fontId="78" fillId="0" borderId="6" xfId="0" applyFont="1" applyBorder="1" applyAlignment="1">
      <alignment horizontal="center" vertical="center"/>
    </xf>
    <xf numFmtId="0" fontId="81" fillId="0" borderId="6" xfId="0" applyFont="1" applyBorder="1" applyAlignment="1">
      <alignment horizontal="center" vertical="center"/>
    </xf>
    <xf numFmtId="0" fontId="81" fillId="0" borderId="5" xfId="0" applyFont="1" applyBorder="1" applyAlignment="1">
      <alignment horizontal="center" vertical="center"/>
    </xf>
    <xf numFmtId="49" fontId="78" fillId="0" borderId="8" xfId="0" applyNumberFormat="1" applyFont="1" applyBorder="1" applyAlignment="1">
      <alignment horizontal="right" vertical="center"/>
    </xf>
    <xf numFmtId="49" fontId="81" fillId="0" borderId="8" xfId="0" applyNumberFormat="1" applyFont="1" applyBorder="1" applyAlignment="1">
      <alignment horizontal="center" vertical="center"/>
    </xf>
    <xf numFmtId="0" fontId="78" fillId="0" borderId="0" xfId="0" applyFont="1" applyAlignment="1">
      <alignment horizontal="center" vertical="center"/>
    </xf>
    <xf numFmtId="0" fontId="78" fillId="0" borderId="8" xfId="0" applyFont="1" applyBorder="1" applyAlignment="1">
      <alignment horizontal="center" vertical="center"/>
    </xf>
    <xf numFmtId="49" fontId="83" fillId="0" borderId="8" xfId="0" applyNumberFormat="1" applyFont="1" applyBorder="1" applyAlignment="1">
      <alignment horizontal="left" vertical="center"/>
    </xf>
    <xf numFmtId="49" fontId="83" fillId="0" borderId="119" xfId="0" applyNumberFormat="1" applyFont="1" applyBorder="1" applyAlignment="1">
      <alignment horizontal="left" vertical="center"/>
    </xf>
    <xf numFmtId="187" fontId="81" fillId="0" borderId="110" xfId="0" applyNumberFormat="1" applyFont="1" applyBorder="1" applyAlignment="1">
      <alignment horizontal="center" vertical="center"/>
    </xf>
    <xf numFmtId="49" fontId="163" fillId="0" borderId="0" xfId="0" applyNumberFormat="1" applyFont="1" applyAlignment="1">
      <alignment horizontal="left" vertical="center" shrinkToFit="1"/>
    </xf>
    <xf numFmtId="49" fontId="163" fillId="0" borderId="12" xfId="0" applyNumberFormat="1" applyFont="1" applyBorder="1" applyAlignment="1">
      <alignment horizontal="left" vertical="center" shrinkToFit="1"/>
    </xf>
    <xf numFmtId="0" fontId="81" fillId="0" borderId="8" xfId="0" applyFont="1" applyBorder="1" applyAlignment="1">
      <alignment horizontal="center" vertical="center"/>
    </xf>
    <xf numFmtId="49" fontId="80" fillId="0" borderId="110" xfId="0" applyNumberFormat="1" applyFont="1" applyBorder="1" applyAlignment="1">
      <alignment horizontal="center" vertical="center"/>
    </xf>
    <xf numFmtId="0" fontId="86" fillId="0" borderId="10" xfId="0" applyFont="1" applyBorder="1" applyAlignment="1">
      <alignment horizontal="left" vertical="center"/>
    </xf>
    <xf numFmtId="0" fontId="86" fillId="0" borderId="109" xfId="0" applyFont="1" applyBorder="1" applyAlignment="1">
      <alignment horizontal="left" vertical="center"/>
    </xf>
    <xf numFmtId="0" fontId="86" fillId="0" borderId="15" xfId="0" applyFont="1" applyBorder="1" applyAlignment="1">
      <alignment horizontal="center" vertical="center"/>
    </xf>
    <xf numFmtId="0" fontId="86" fillId="0" borderId="10" xfId="0" applyFont="1" applyBorder="1" applyAlignment="1">
      <alignment horizontal="center" vertical="center"/>
    </xf>
    <xf numFmtId="0" fontId="86" fillId="0" borderId="14" xfId="0" applyFont="1" applyBorder="1" applyAlignment="1">
      <alignment horizontal="center" vertical="center"/>
    </xf>
    <xf numFmtId="0" fontId="86" fillId="0" borderId="3" xfId="0" applyFont="1" applyBorder="1" applyAlignment="1">
      <alignment horizontal="center" vertical="center"/>
    </xf>
    <xf numFmtId="49" fontId="81" fillId="0" borderId="114" xfId="0" applyNumberFormat="1" applyFont="1" applyBorder="1" applyAlignment="1">
      <alignment horizontal="center" vertical="center"/>
    </xf>
    <xf numFmtId="181" fontId="84" fillId="0" borderId="111" xfId="0" applyNumberFormat="1" applyFont="1" applyBorder="1" applyAlignment="1" applyProtection="1">
      <alignment horizontal="center" vertical="center"/>
      <protection locked="0"/>
    </xf>
    <xf numFmtId="181" fontId="84" fillId="0" borderId="10" xfId="0" applyNumberFormat="1" applyFont="1" applyBorder="1" applyAlignment="1" applyProtection="1">
      <alignment horizontal="center" vertical="center"/>
      <protection locked="0"/>
    </xf>
    <xf numFmtId="181" fontId="84" fillId="0" borderId="112" xfId="0" applyNumberFormat="1" applyFont="1" applyBorder="1" applyAlignment="1" applyProtection="1">
      <alignment horizontal="center" vertical="center"/>
      <protection locked="0"/>
    </xf>
    <xf numFmtId="181" fontId="84" fillId="0" borderId="6" xfId="0" applyNumberFormat="1" applyFont="1" applyBorder="1" applyAlignment="1" applyProtection="1">
      <alignment horizontal="center" vertical="center"/>
      <protection locked="0"/>
    </xf>
    <xf numFmtId="49" fontId="78" fillId="0" borderId="110" xfId="0" applyNumberFormat="1" applyFont="1" applyBorder="1" applyAlignment="1">
      <alignment horizontal="right" vertical="center"/>
    </xf>
    <xf numFmtId="49" fontId="78" fillId="0" borderId="127" xfId="0" applyNumberFormat="1" applyFont="1" applyBorder="1" applyAlignment="1">
      <alignment horizontal="right" vertical="center"/>
    </xf>
    <xf numFmtId="49" fontId="78" fillId="0" borderId="6" xfId="0" applyNumberFormat="1" applyFont="1" applyBorder="1" applyAlignment="1">
      <alignment horizontal="right" vertical="center"/>
    </xf>
    <xf numFmtId="49" fontId="78" fillId="0" borderId="5" xfId="0" applyNumberFormat="1" applyFont="1" applyBorder="1" applyAlignment="1">
      <alignment horizontal="right" vertical="center"/>
    </xf>
    <xf numFmtId="0" fontId="82" fillId="0" borderId="114" xfId="0" applyFont="1" applyBorder="1" applyAlignment="1" applyProtection="1">
      <alignment horizontal="center" vertical="center"/>
      <protection locked="0"/>
    </xf>
    <xf numFmtId="0" fontId="82" fillId="0" borderId="8" xfId="0" applyFont="1" applyBorder="1" applyAlignment="1" applyProtection="1">
      <alignment horizontal="center" vertical="center"/>
      <protection locked="0"/>
    </xf>
    <xf numFmtId="176" fontId="76" fillId="0" borderId="0" xfId="0" applyNumberFormat="1" applyFont="1" applyAlignment="1">
      <alignment horizontal="right" vertical="center"/>
    </xf>
    <xf numFmtId="176" fontId="76" fillId="0" borderId="2" xfId="0" applyNumberFormat="1" applyFont="1" applyBorder="1" applyAlignment="1">
      <alignment horizontal="right" vertical="center"/>
    </xf>
    <xf numFmtId="49" fontId="81" fillId="0" borderId="10" xfId="0" applyNumberFormat="1" applyFont="1" applyBorder="1" applyAlignment="1">
      <alignment horizontal="center" vertical="center"/>
    </xf>
    <xf numFmtId="49" fontId="81" fillId="0" borderId="109" xfId="0" applyNumberFormat="1" applyFont="1" applyBorder="1" applyAlignment="1">
      <alignment horizontal="center" vertical="center"/>
    </xf>
    <xf numFmtId="0" fontId="79" fillId="0" borderId="10" xfId="0" applyFont="1" applyBorder="1" applyAlignment="1" applyProtection="1">
      <alignment horizontal="center" vertical="center"/>
      <protection locked="0"/>
    </xf>
    <xf numFmtId="0" fontId="79" fillId="0" borderId="14" xfId="0" applyFont="1" applyBorder="1" applyAlignment="1" applyProtection="1">
      <alignment horizontal="center" vertical="center"/>
      <protection locked="0"/>
    </xf>
    <xf numFmtId="49" fontId="80" fillId="0" borderId="2" xfId="0" applyNumberFormat="1" applyFont="1" applyBorder="1" applyAlignment="1" applyProtection="1">
      <alignment horizontal="center" vertical="center" shrinkToFit="1"/>
      <protection locked="0"/>
    </xf>
    <xf numFmtId="49" fontId="80" fillId="0" borderId="3" xfId="0" applyNumberFormat="1" applyFont="1" applyBorder="1" applyAlignment="1" applyProtection="1">
      <alignment horizontal="center" vertical="center" shrinkToFit="1"/>
      <protection locked="0"/>
    </xf>
    <xf numFmtId="49" fontId="63" fillId="0" borderId="0" xfId="0" applyNumberFormat="1" applyFont="1" applyAlignment="1" applyProtection="1">
      <alignment horizontal="left" vertical="center"/>
      <protection locked="0"/>
    </xf>
    <xf numFmtId="49" fontId="81" fillId="0" borderId="125" xfId="0" applyNumberFormat="1" applyFont="1" applyBorder="1" applyAlignment="1" applyProtection="1">
      <alignment horizontal="center" vertical="center"/>
      <protection locked="0"/>
    </xf>
    <xf numFmtId="49" fontId="81" fillId="0" borderId="126" xfId="0" applyNumberFormat="1" applyFont="1" applyBorder="1" applyAlignment="1" applyProtection="1">
      <alignment horizontal="center" vertical="center"/>
      <protection locked="0"/>
    </xf>
    <xf numFmtId="0" fontId="81" fillId="0" borderId="2" xfId="0" applyFont="1" applyBorder="1" applyAlignment="1" applyProtection="1">
      <alignment horizontal="center" vertical="center"/>
      <protection locked="0"/>
    </xf>
    <xf numFmtId="0" fontId="81" fillId="0" borderId="3" xfId="0" applyFont="1" applyBorder="1" applyAlignment="1" applyProtection="1">
      <alignment horizontal="center" vertical="center"/>
      <protection locked="0"/>
    </xf>
    <xf numFmtId="0" fontId="169" fillId="0" borderId="0" xfId="0" applyFont="1" applyAlignment="1">
      <alignment horizontal="center" vertical="center" textRotation="255"/>
    </xf>
    <xf numFmtId="0" fontId="169" fillId="0" borderId="0" xfId="0" applyFont="1" applyAlignment="1">
      <alignment horizontal="center" vertical="center"/>
    </xf>
    <xf numFmtId="49" fontId="81" fillId="0" borderId="110" xfId="0" applyNumberFormat="1" applyFont="1" applyBorder="1" applyAlignment="1" applyProtection="1">
      <alignment horizontal="center" vertical="center"/>
      <protection locked="0"/>
    </xf>
    <xf numFmtId="49" fontId="81" fillId="0" borderId="6" xfId="0" applyNumberFormat="1" applyFont="1" applyBorder="1" applyAlignment="1" applyProtection="1">
      <alignment horizontal="center" vertical="center"/>
      <protection locked="0"/>
    </xf>
    <xf numFmtId="49" fontId="85" fillId="0" borderId="8" xfId="0" applyNumberFormat="1" applyFont="1" applyBorder="1" applyAlignment="1" applyProtection="1">
      <alignment horizontal="center" vertical="center"/>
      <protection locked="0"/>
    </xf>
    <xf numFmtId="49" fontId="78" fillId="0" borderId="115" xfId="0" applyNumberFormat="1" applyFont="1" applyBorder="1" applyAlignment="1">
      <alignment horizontal="center" vertical="center" textRotation="255"/>
    </xf>
    <xf numFmtId="49" fontId="81" fillId="0" borderId="114" xfId="0" applyNumberFormat="1" applyFont="1" applyBorder="1" applyAlignment="1" applyProtection="1">
      <alignment horizontal="center" vertical="center"/>
      <protection locked="0"/>
    </xf>
    <xf numFmtId="49" fontId="81" fillId="0" borderId="8" xfId="0" applyNumberFormat="1" applyFont="1" applyBorder="1" applyAlignment="1" applyProtection="1">
      <alignment horizontal="center" vertical="center"/>
      <protection locked="0"/>
    </xf>
    <xf numFmtId="49" fontId="85" fillId="0" borderId="122" xfId="0" applyNumberFormat="1" applyFont="1" applyBorder="1" applyAlignment="1">
      <alignment horizontal="center" vertical="center" wrapText="1"/>
    </xf>
    <xf numFmtId="49" fontId="85" fillId="0" borderId="106" xfId="0" applyNumberFormat="1" applyFont="1" applyBorder="1" applyAlignment="1">
      <alignment horizontal="center" vertical="center" wrapText="1"/>
    </xf>
    <xf numFmtId="49" fontId="85" fillId="0" borderId="7" xfId="0" applyNumberFormat="1" applyFont="1" applyBorder="1" applyAlignment="1">
      <alignment horizontal="center" vertical="center" wrapText="1"/>
    </xf>
    <xf numFmtId="49" fontId="85" fillId="0" borderId="114" xfId="0" applyNumberFormat="1" applyFont="1" applyBorder="1" applyAlignment="1">
      <alignment horizontal="center" vertical="center"/>
    </xf>
    <xf numFmtId="0" fontId="82" fillId="0" borderId="0" xfId="0" applyFont="1" applyAlignment="1" applyProtection="1">
      <alignment horizontal="center" vertical="center" wrapText="1"/>
      <protection locked="0"/>
    </xf>
    <xf numFmtId="178" fontId="81" fillId="0" borderId="8" xfId="0" applyNumberFormat="1" applyFont="1" applyBorder="1" applyAlignment="1" applyProtection="1">
      <alignment horizontal="center" vertical="center"/>
      <protection locked="0"/>
    </xf>
    <xf numFmtId="49" fontId="80" fillId="0" borderId="113" xfId="0" applyNumberFormat="1" applyFont="1" applyBorder="1" applyAlignment="1" applyProtection="1">
      <alignment horizontal="center" vertical="center" shrinkToFit="1"/>
      <protection locked="0"/>
    </xf>
    <xf numFmtId="49" fontId="80" fillId="0" borderId="110" xfId="0" applyNumberFormat="1" applyFont="1" applyBorder="1" applyAlignment="1" applyProtection="1">
      <alignment horizontal="center" vertical="center" shrinkToFit="1"/>
      <protection locked="0"/>
    </xf>
    <xf numFmtId="49" fontId="80" fillId="0" borderId="112" xfId="0" applyNumberFormat="1" applyFont="1" applyBorder="1" applyAlignment="1" applyProtection="1">
      <alignment horizontal="center" vertical="center" shrinkToFit="1"/>
      <protection locked="0"/>
    </xf>
    <xf numFmtId="49" fontId="80" fillId="0" borderId="6" xfId="0" applyNumberFormat="1" applyFont="1" applyBorder="1" applyAlignment="1" applyProtection="1">
      <alignment horizontal="center" vertical="center" shrinkToFit="1"/>
      <protection locked="0"/>
    </xf>
    <xf numFmtId="181" fontId="84" fillId="17" borderId="10" xfId="0" applyNumberFormat="1" applyFont="1" applyFill="1" applyBorder="1" applyAlignment="1" applyProtection="1">
      <alignment horizontal="center" vertical="center"/>
      <protection locked="0"/>
    </xf>
    <xf numFmtId="181" fontId="84" fillId="17" borderId="6" xfId="0" applyNumberFormat="1" applyFont="1" applyFill="1" applyBorder="1" applyAlignment="1" applyProtection="1">
      <alignment horizontal="center" vertical="center"/>
      <protection locked="0"/>
    </xf>
    <xf numFmtId="0" fontId="78" fillId="0" borderId="260" xfId="0" applyFont="1" applyBorder="1" applyAlignment="1">
      <alignment vertical="center" wrapText="1"/>
    </xf>
    <xf numFmtId="0" fontId="78" fillId="0" borderId="0" xfId="0" applyFont="1" applyAlignment="1">
      <alignment vertical="center" wrapText="1"/>
    </xf>
    <xf numFmtId="0" fontId="78" fillId="0" borderId="106" xfId="0" applyFont="1" applyBorder="1" applyAlignment="1">
      <alignment vertical="center" wrapText="1"/>
    </xf>
    <xf numFmtId="0" fontId="78" fillId="0" borderId="270" xfId="0" applyFont="1" applyBorder="1" applyAlignment="1">
      <alignment vertical="center" wrapText="1"/>
    </xf>
    <xf numFmtId="0" fontId="78" fillId="0" borderId="2" xfId="0" applyFont="1" applyBorder="1" applyAlignment="1">
      <alignment vertical="center" wrapText="1"/>
    </xf>
    <xf numFmtId="0" fontId="78" fillId="0" borderId="1" xfId="0" applyFont="1" applyBorder="1" applyAlignment="1">
      <alignment vertical="center" wrapText="1"/>
    </xf>
    <xf numFmtId="176" fontId="76" fillId="0" borderId="0" xfId="0" applyNumberFormat="1" applyFont="1" applyAlignment="1" applyProtection="1">
      <alignment horizontal="right" vertical="center"/>
      <protection locked="0"/>
    </xf>
    <xf numFmtId="176" fontId="76" fillId="0" borderId="2" xfId="0" applyNumberFormat="1" applyFont="1" applyBorder="1" applyAlignment="1" applyProtection="1">
      <alignment horizontal="right" vertical="center"/>
      <protection locked="0"/>
    </xf>
    <xf numFmtId="0" fontId="86" fillId="0" borderId="125" xfId="0" applyFont="1" applyBorder="1" applyAlignment="1">
      <alignment horizontal="center" vertical="center"/>
    </xf>
    <xf numFmtId="0" fontId="86" fillId="0" borderId="126" xfId="0" applyFont="1" applyBorder="1" applyAlignment="1">
      <alignment horizontal="center" vertical="center"/>
    </xf>
    <xf numFmtId="49" fontId="134" fillId="0" borderId="0" xfId="0" applyNumberFormat="1" applyFont="1" applyAlignment="1">
      <alignment horizontal="center" vertical="center"/>
    </xf>
    <xf numFmtId="49" fontId="135" fillId="0" borderId="0" xfId="0" applyNumberFormat="1" applyFont="1" applyAlignment="1">
      <alignment horizontal="left" vertical="center"/>
    </xf>
    <xf numFmtId="49" fontId="134" fillId="0" borderId="0" xfId="0" applyNumberFormat="1" applyFont="1" applyAlignment="1">
      <alignment horizontal="left" vertical="center"/>
    </xf>
    <xf numFmtId="49" fontId="135" fillId="0" borderId="0" xfId="0" applyNumberFormat="1" applyFont="1" applyAlignment="1">
      <alignment horizontal="center" vertical="center"/>
    </xf>
    <xf numFmtId="49" fontId="135" fillId="0" borderId="62" xfId="0" applyNumberFormat="1" applyFont="1" applyBorder="1" applyAlignment="1">
      <alignment horizontal="center" vertical="center" shrinkToFit="1"/>
    </xf>
    <xf numFmtId="49" fontId="135" fillId="0" borderId="150" xfId="0" applyNumberFormat="1" applyFont="1" applyBorder="1" applyAlignment="1">
      <alignment horizontal="center" vertical="center" shrinkToFit="1"/>
    </xf>
    <xf numFmtId="0" fontId="134" fillId="0" borderId="0" xfId="0" applyFont="1" applyAlignment="1">
      <alignment horizontal="left" vertical="center"/>
    </xf>
    <xf numFmtId="49" fontId="159" fillId="0" borderId="96" xfId="12" applyNumberFormat="1" applyFont="1" applyBorder="1" applyAlignment="1" applyProtection="1">
      <alignment horizontal="left" vertical="center"/>
    </xf>
    <xf numFmtId="49" fontId="135" fillId="0" borderId="96" xfId="0" applyNumberFormat="1" applyFont="1" applyBorder="1" applyAlignment="1">
      <alignment horizontal="left" vertical="center"/>
    </xf>
    <xf numFmtId="49" fontId="135" fillId="0" borderId="108" xfId="0" applyNumberFormat="1" applyFont="1" applyBorder="1" applyAlignment="1">
      <alignment horizontal="left" vertical="center"/>
    </xf>
    <xf numFmtId="49" fontId="134" fillId="0" borderId="0" xfId="0" applyNumberFormat="1" applyFont="1" applyAlignment="1">
      <alignment horizontal="left" vertical="center" wrapText="1"/>
    </xf>
    <xf numFmtId="0" fontId="82" fillId="0" borderId="0" xfId="0" applyFont="1" applyAlignment="1">
      <alignment horizontal="center" vertical="center"/>
    </xf>
    <xf numFmtId="0" fontId="118" fillId="0" borderId="0" xfId="0" applyFont="1" applyAlignment="1">
      <alignment horizontal="center" vertical="center"/>
    </xf>
    <xf numFmtId="0" fontId="134" fillId="6" borderId="0" xfId="0" applyFont="1" applyFill="1" applyAlignment="1">
      <alignment horizontal="center" vertical="center"/>
    </xf>
    <xf numFmtId="0" fontId="141" fillId="3" borderId="0" xfId="0" applyFont="1" applyFill="1" applyAlignment="1">
      <alignment horizontal="right" vertical="center"/>
    </xf>
    <xf numFmtId="49" fontId="134" fillId="17" borderId="0" xfId="0" applyNumberFormat="1" applyFont="1" applyFill="1" applyAlignment="1">
      <alignment horizontal="center" vertical="center"/>
    </xf>
    <xf numFmtId="49" fontId="135" fillId="0" borderId="0" xfId="0" applyNumberFormat="1" applyFont="1" applyAlignment="1">
      <alignment horizontal="left" vertical="center" wrapText="1"/>
    </xf>
    <xf numFmtId="49" fontId="138" fillId="14" borderId="15" xfId="0" applyNumberFormat="1" applyFont="1" applyFill="1" applyBorder="1" applyAlignment="1">
      <alignment horizontal="left" vertical="center" wrapText="1"/>
    </xf>
    <xf numFmtId="49" fontId="138" fillId="14" borderId="10" xfId="0" applyNumberFormat="1" applyFont="1" applyFill="1" applyBorder="1" applyAlignment="1">
      <alignment horizontal="left" vertical="center" wrapText="1"/>
    </xf>
    <xf numFmtId="49" fontId="138" fillId="14" borderId="14" xfId="0" applyNumberFormat="1" applyFont="1" applyFill="1" applyBorder="1" applyAlignment="1">
      <alignment horizontal="left" vertical="center" wrapText="1"/>
    </xf>
    <xf numFmtId="49" fontId="138" fillId="14" borderId="13" xfId="0" applyNumberFormat="1" applyFont="1" applyFill="1" applyBorder="1" applyAlignment="1">
      <alignment horizontal="left" vertical="center" wrapText="1"/>
    </xf>
    <xf numFmtId="49" fontId="138" fillId="14" borderId="0" xfId="0" applyNumberFormat="1" applyFont="1" applyFill="1" applyAlignment="1">
      <alignment horizontal="left" vertical="center" wrapText="1"/>
    </xf>
    <xf numFmtId="49" fontId="138" fillId="14" borderId="12" xfId="0" applyNumberFormat="1" applyFont="1" applyFill="1" applyBorder="1" applyAlignment="1">
      <alignment horizontal="left" vertical="center" wrapText="1"/>
    </xf>
    <xf numFmtId="49" fontId="138" fillId="14" borderId="11" xfId="0" applyNumberFormat="1" applyFont="1" applyFill="1" applyBorder="1" applyAlignment="1">
      <alignment horizontal="left" vertical="center" wrapText="1"/>
    </xf>
    <xf numFmtId="49" fontId="138" fillId="14" borderId="2" xfId="0" applyNumberFormat="1" applyFont="1" applyFill="1" applyBorder="1" applyAlignment="1">
      <alignment horizontal="left" vertical="center" wrapText="1"/>
    </xf>
    <xf numFmtId="49" fontId="138" fillId="14" borderId="3" xfId="0" applyNumberFormat="1" applyFont="1" applyFill="1" applyBorder="1" applyAlignment="1">
      <alignment horizontal="left" vertical="center" wrapText="1"/>
    </xf>
    <xf numFmtId="49" fontId="134" fillId="8" borderId="15" xfId="0" applyNumberFormat="1" applyFont="1" applyFill="1" applyBorder="1" applyAlignment="1">
      <alignment horizontal="left" vertical="center" wrapText="1"/>
    </xf>
    <xf numFmtId="49" fontId="134" fillId="8" borderId="10" xfId="0" applyNumberFormat="1" applyFont="1" applyFill="1" applyBorder="1" applyAlignment="1">
      <alignment horizontal="left" vertical="center" wrapText="1"/>
    </xf>
    <xf numFmtId="49" fontId="134" fillId="8" borderId="14" xfId="0" applyNumberFormat="1" applyFont="1" applyFill="1" applyBorder="1" applyAlignment="1">
      <alignment horizontal="left" vertical="center" wrapText="1"/>
    </xf>
    <xf numFmtId="49" fontId="134" fillId="8" borderId="13" xfId="0" applyNumberFormat="1" applyFont="1" applyFill="1" applyBorder="1" applyAlignment="1">
      <alignment horizontal="left" vertical="center" wrapText="1"/>
    </xf>
    <xf numFmtId="49" fontId="134" fillId="8" borderId="0" xfId="0" applyNumberFormat="1" applyFont="1" applyFill="1" applyAlignment="1">
      <alignment horizontal="left" vertical="center" wrapText="1"/>
    </xf>
    <xf numFmtId="49" fontId="134" fillId="8" borderId="12" xfId="0" applyNumberFormat="1" applyFont="1" applyFill="1" applyBorder="1" applyAlignment="1">
      <alignment horizontal="left" vertical="center" wrapText="1"/>
    </xf>
    <xf numFmtId="49" fontId="134" fillId="8" borderId="11" xfId="0" applyNumberFormat="1" applyFont="1" applyFill="1" applyBorder="1" applyAlignment="1">
      <alignment horizontal="left" vertical="center" wrapText="1"/>
    </xf>
    <xf numFmtId="49" fontId="134" fillId="8" borderId="2" xfId="0" applyNumberFormat="1" applyFont="1" applyFill="1" applyBorder="1" applyAlignment="1">
      <alignment horizontal="left" vertical="center" wrapText="1"/>
    </xf>
    <xf numFmtId="49" fontId="134" fillId="8" borderId="3" xfId="0" applyNumberFormat="1" applyFont="1" applyFill="1" applyBorder="1" applyAlignment="1">
      <alignment horizontal="left" vertical="center" wrapText="1"/>
    </xf>
    <xf numFmtId="49" fontId="134" fillId="0" borderId="56" xfId="0" applyNumberFormat="1" applyFont="1" applyBorder="1" applyAlignment="1">
      <alignment horizontal="center" vertical="center"/>
    </xf>
    <xf numFmtId="49" fontId="134" fillId="0" borderId="17" xfId="0" applyNumberFormat="1" applyFont="1" applyBorder="1" applyAlignment="1">
      <alignment horizontal="center" vertical="center"/>
    </xf>
    <xf numFmtId="49" fontId="134" fillId="0" borderId="55" xfId="0" applyNumberFormat="1" applyFont="1" applyBorder="1" applyAlignment="1">
      <alignment horizontal="center" vertical="center"/>
    </xf>
    <xf numFmtId="49" fontId="137" fillId="14" borderId="56" xfId="0" applyNumberFormat="1" applyFont="1" applyFill="1" applyBorder="1" applyAlignment="1">
      <alignment horizontal="left" vertical="center"/>
    </xf>
    <xf numFmtId="49" fontId="137" fillId="14" borderId="17" xfId="0" applyNumberFormat="1" applyFont="1" applyFill="1" applyBorder="1" applyAlignment="1">
      <alignment horizontal="left" vertical="center"/>
    </xf>
    <xf numFmtId="49" fontId="137" fillId="14" borderId="55" xfId="0" applyNumberFormat="1" applyFont="1" applyFill="1" applyBorder="1" applyAlignment="1">
      <alignment horizontal="left" vertical="center"/>
    </xf>
    <xf numFmtId="49" fontId="245" fillId="3" borderId="264" xfId="12" applyNumberFormat="1" applyFont="1" applyFill="1" applyBorder="1" applyAlignment="1">
      <alignment horizontal="left" vertical="center" wrapText="1"/>
    </xf>
    <xf numFmtId="49" fontId="245" fillId="3" borderId="0" xfId="12" applyNumberFormat="1" applyFont="1" applyFill="1" applyBorder="1" applyAlignment="1">
      <alignment horizontal="left" vertical="center" wrapText="1"/>
    </xf>
    <xf numFmtId="49" fontId="245" fillId="3" borderId="9" xfId="12" applyNumberFormat="1" applyFont="1" applyFill="1" applyBorder="1" applyAlignment="1">
      <alignment horizontal="left" vertical="center" wrapText="1"/>
    </xf>
    <xf numFmtId="49" fontId="134" fillId="3" borderId="85" xfId="0" applyNumberFormat="1" applyFont="1" applyFill="1" applyBorder="1" applyAlignment="1">
      <alignment horizontal="left" vertical="center" wrapText="1"/>
    </xf>
    <xf numFmtId="49" fontId="134" fillId="3" borderId="151" xfId="0" applyNumberFormat="1" applyFont="1" applyFill="1" applyBorder="1" applyAlignment="1">
      <alignment horizontal="left" vertical="center" wrapText="1"/>
    </xf>
    <xf numFmtId="49" fontId="247" fillId="3" borderId="79" xfId="12" applyNumberFormat="1" applyFont="1" applyFill="1" applyBorder="1" applyAlignment="1">
      <alignment horizontal="left" vertical="center" wrapText="1"/>
    </xf>
    <xf numFmtId="49" fontId="247" fillId="3" borderId="63" xfId="12" applyNumberFormat="1" applyFont="1" applyFill="1" applyBorder="1" applyAlignment="1">
      <alignment horizontal="left" vertical="center" wrapText="1"/>
    </xf>
    <xf numFmtId="49" fontId="247" fillId="3" borderId="67" xfId="12" applyNumberFormat="1" applyFont="1" applyFill="1" applyBorder="1" applyAlignment="1">
      <alignment horizontal="left" vertical="center" wrapText="1"/>
    </xf>
    <xf numFmtId="49" fontId="95" fillId="3" borderId="95" xfId="0" applyNumberFormat="1" applyFont="1" applyFill="1" applyBorder="1" applyAlignment="1">
      <alignment horizontal="left" vertical="center" wrapText="1"/>
    </xf>
    <xf numFmtId="49" fontId="95" fillId="3" borderId="96" xfId="0" applyNumberFormat="1" applyFont="1" applyFill="1" applyBorder="1" applyAlignment="1">
      <alignment horizontal="left" vertical="center"/>
    </xf>
    <xf numFmtId="49" fontId="95" fillId="3" borderId="108" xfId="0" applyNumberFormat="1" applyFont="1" applyFill="1" applyBorder="1" applyAlignment="1">
      <alignment horizontal="left" vertical="center"/>
    </xf>
    <xf numFmtId="49" fontId="134" fillId="0" borderId="56" xfId="0" applyNumberFormat="1" applyFont="1" applyBorder="1" applyAlignment="1">
      <alignment horizontal="left" vertical="center" wrapText="1"/>
    </xf>
    <xf numFmtId="49" fontId="134" fillId="0" borderId="17" xfId="0" applyNumberFormat="1" applyFont="1" applyBorder="1" applyAlignment="1">
      <alignment horizontal="left" vertical="center" wrapText="1"/>
    </xf>
    <xf numFmtId="49" fontId="134" fillId="0" borderId="55" xfId="0" applyNumberFormat="1" applyFont="1" applyBorder="1" applyAlignment="1">
      <alignment horizontal="left" vertical="center" wrapText="1"/>
    </xf>
    <xf numFmtId="49" fontId="134" fillId="27" borderId="15" xfId="0" applyNumberFormat="1" applyFont="1" applyFill="1" applyBorder="1" applyAlignment="1">
      <alignment horizontal="left" vertical="center" wrapText="1"/>
    </xf>
    <xf numFmtId="49" fontId="134" fillId="27" borderId="10" xfId="0" applyNumberFormat="1" applyFont="1" applyFill="1" applyBorder="1" applyAlignment="1">
      <alignment horizontal="left" vertical="center" wrapText="1"/>
    </xf>
    <xf numFmtId="49" fontId="134" fillId="27" borderId="14" xfId="0" applyNumberFormat="1" applyFont="1" applyFill="1" applyBorder="1" applyAlignment="1">
      <alignment horizontal="left" vertical="center" wrapText="1"/>
    </xf>
    <xf numFmtId="49" fontId="134" fillId="27" borderId="34" xfId="0" applyNumberFormat="1" applyFont="1" applyFill="1" applyBorder="1" applyAlignment="1">
      <alignment horizontal="left" vertical="center"/>
    </xf>
    <xf numFmtId="0" fontId="216" fillId="0" borderId="0" xfId="16" applyFont="1" applyAlignment="1">
      <alignment horizontal="center" vertical="center"/>
    </xf>
    <xf numFmtId="0" fontId="213" fillId="0" borderId="0" xfId="16" applyFont="1"/>
    <xf numFmtId="0" fontId="217" fillId="0" borderId="0" xfId="16" applyFont="1" applyAlignment="1">
      <alignment horizontal="right" vertical="center"/>
    </xf>
    <xf numFmtId="49" fontId="218" fillId="0" borderId="334" xfId="16" applyNumberFormat="1" applyFont="1" applyBorder="1" applyAlignment="1">
      <alignment horizontal="center" vertical="center"/>
    </xf>
    <xf numFmtId="0" fontId="219" fillId="0" borderId="335" xfId="16" applyFont="1" applyBorder="1"/>
    <xf numFmtId="0" fontId="219" fillId="0" borderId="336" xfId="16" applyFont="1" applyBorder="1"/>
    <xf numFmtId="0" fontId="219" fillId="0" borderId="338" xfId="16" applyFont="1" applyBorder="1"/>
    <xf numFmtId="0" fontId="219" fillId="0" borderId="339" xfId="16" applyFont="1" applyBorder="1"/>
    <xf numFmtId="0" fontId="219" fillId="0" borderId="340" xfId="16" applyFont="1" applyBorder="1"/>
    <xf numFmtId="0" fontId="217" fillId="0" borderId="0" xfId="16" applyFont="1" applyAlignment="1">
      <alignment horizontal="center" vertical="center"/>
    </xf>
    <xf numFmtId="181" fontId="217" fillId="0" borderId="337" xfId="16" applyNumberFormat="1" applyFont="1" applyBorder="1" applyAlignment="1">
      <alignment horizontal="center" vertical="center"/>
    </xf>
    <xf numFmtId="181" fontId="221" fillId="0" borderId="341" xfId="16" applyNumberFormat="1" applyFont="1" applyBorder="1"/>
    <xf numFmtId="0" fontId="220" fillId="0" borderId="334" xfId="16" applyFont="1" applyBorder="1" applyAlignment="1">
      <alignment horizontal="center" vertical="center"/>
    </xf>
    <xf numFmtId="0" fontId="221" fillId="0" borderId="335" xfId="16" applyFont="1" applyBorder="1"/>
    <xf numFmtId="0" fontId="221" fillId="0" borderId="336" xfId="16" applyFont="1" applyBorder="1"/>
    <xf numFmtId="0" fontId="221" fillId="0" borderId="338" xfId="16" applyFont="1" applyBorder="1"/>
    <xf numFmtId="0" fontId="221" fillId="0" borderId="339" xfId="16" applyFont="1" applyBorder="1"/>
    <xf numFmtId="0" fontId="221" fillId="0" borderId="340" xfId="16" applyFont="1" applyBorder="1"/>
    <xf numFmtId="0" fontId="217" fillId="0" borderId="337" xfId="16" applyFont="1" applyBorder="1" applyAlignment="1">
      <alignment horizontal="center" vertical="center"/>
    </xf>
    <xf numFmtId="0" fontId="221" fillId="0" borderId="341" xfId="16" applyFont="1" applyBorder="1"/>
    <xf numFmtId="193" fontId="223" fillId="0" borderId="337" xfId="16" applyNumberFormat="1" applyFont="1" applyBorder="1" applyAlignment="1">
      <alignment horizontal="center" vertical="center" textRotation="255" wrapText="1"/>
    </xf>
    <xf numFmtId="193" fontId="224" fillId="0" borderId="337" xfId="16" applyNumberFormat="1" applyFont="1" applyBorder="1" applyAlignment="1">
      <alignment horizontal="center" vertical="center" textRotation="255"/>
    </xf>
    <xf numFmtId="193" fontId="224" fillId="0" borderId="342" xfId="16" applyNumberFormat="1" applyFont="1" applyBorder="1" applyAlignment="1">
      <alignment horizontal="center" vertical="center" textRotation="255"/>
    </xf>
    <xf numFmtId="193" fontId="224" fillId="0" borderId="341" xfId="16" applyNumberFormat="1" applyFont="1" applyBorder="1" applyAlignment="1">
      <alignment horizontal="center" vertical="center" textRotation="255"/>
    </xf>
    <xf numFmtId="0" fontId="225" fillId="0" borderId="337" xfId="16" applyFont="1" applyBorder="1" applyAlignment="1">
      <alignment horizontal="center" vertical="center" textRotation="255"/>
    </xf>
    <xf numFmtId="0" fontId="225" fillId="0" borderId="342" xfId="16" applyFont="1" applyBorder="1" applyAlignment="1">
      <alignment horizontal="center" vertical="center" textRotation="255"/>
    </xf>
    <xf numFmtId="0" fontId="225" fillId="0" borderId="341" xfId="16" applyFont="1" applyBorder="1" applyAlignment="1">
      <alignment horizontal="center" vertical="center" textRotation="255"/>
    </xf>
    <xf numFmtId="0" fontId="226" fillId="0" borderId="337" xfId="16" applyFont="1" applyBorder="1" applyAlignment="1">
      <alignment horizontal="center" vertical="center"/>
    </xf>
    <xf numFmtId="0" fontId="226" fillId="0" borderId="342" xfId="16" applyFont="1" applyBorder="1" applyAlignment="1">
      <alignment horizontal="center" vertical="center"/>
    </xf>
    <xf numFmtId="0" fontId="226" fillId="0" borderId="341" xfId="16" applyFont="1" applyBorder="1" applyAlignment="1">
      <alignment horizontal="center" vertical="center"/>
    </xf>
    <xf numFmtId="0" fontId="229" fillId="0" borderId="334" xfId="16" applyFont="1" applyBorder="1" applyAlignment="1">
      <alignment horizontal="center" vertical="center"/>
    </xf>
    <xf numFmtId="181" fontId="230" fillId="0" borderId="334" xfId="16" applyNumberFormat="1" applyFont="1" applyBorder="1" applyAlignment="1">
      <alignment horizontal="center" vertical="center"/>
    </xf>
    <xf numFmtId="181" fontId="230" fillId="0" borderId="335" xfId="16" applyNumberFormat="1" applyFont="1" applyBorder="1" applyAlignment="1">
      <alignment horizontal="center" vertical="center"/>
    </xf>
    <xf numFmtId="181" fontId="230" fillId="0" borderId="336" xfId="16" applyNumberFormat="1" applyFont="1" applyBorder="1" applyAlignment="1">
      <alignment horizontal="center" vertical="center"/>
    </xf>
    <xf numFmtId="181" fontId="230" fillId="0" borderId="338" xfId="16" applyNumberFormat="1" applyFont="1" applyBorder="1" applyAlignment="1">
      <alignment horizontal="center" vertical="center"/>
    </xf>
    <xf numFmtId="181" fontId="230" fillId="0" borderId="339" xfId="16" applyNumberFormat="1" applyFont="1" applyBorder="1" applyAlignment="1">
      <alignment horizontal="center" vertical="center"/>
    </xf>
    <xf numFmtId="181" fontId="230" fillId="0" borderId="340" xfId="16" applyNumberFormat="1" applyFont="1" applyBorder="1" applyAlignment="1">
      <alignment horizontal="center" vertical="center"/>
    </xf>
    <xf numFmtId="194" fontId="214" fillId="0" borderId="337" xfId="16" applyNumberFormat="1" applyFont="1" applyBorder="1" applyAlignment="1">
      <alignment horizontal="center" vertical="center"/>
    </xf>
    <xf numFmtId="194" fontId="214" fillId="0" borderId="341" xfId="16" applyNumberFormat="1" applyFont="1" applyBorder="1" applyAlignment="1">
      <alignment horizontal="center" vertical="center"/>
    </xf>
    <xf numFmtId="194" fontId="230" fillId="0" borderId="334" xfId="16" applyNumberFormat="1" applyFont="1" applyBorder="1" applyAlignment="1">
      <alignment horizontal="center" vertical="center"/>
    </xf>
    <xf numFmtId="194" fontId="230" fillId="0" borderId="335" xfId="16" applyNumberFormat="1" applyFont="1" applyBorder="1" applyAlignment="1">
      <alignment horizontal="center" vertical="center"/>
    </xf>
    <xf numFmtId="194" fontId="230" fillId="0" borderId="336" xfId="16" applyNumberFormat="1" applyFont="1" applyBorder="1" applyAlignment="1">
      <alignment horizontal="center" vertical="center"/>
    </xf>
    <xf numFmtId="194" fontId="230" fillId="0" borderId="338" xfId="16" applyNumberFormat="1" applyFont="1" applyBorder="1" applyAlignment="1">
      <alignment horizontal="center" vertical="center"/>
    </xf>
    <xf numFmtId="194" fontId="230" fillId="0" borderId="339" xfId="16" applyNumberFormat="1" applyFont="1" applyBorder="1" applyAlignment="1">
      <alignment horizontal="center" vertical="center"/>
    </xf>
    <xf numFmtId="194" fontId="230" fillId="0" borderId="340" xfId="16" applyNumberFormat="1" applyFont="1" applyBorder="1" applyAlignment="1">
      <alignment horizontal="center" vertical="center"/>
    </xf>
    <xf numFmtId="0" fontId="230" fillId="0" borderId="334" xfId="16" applyFont="1" applyBorder="1" applyAlignment="1">
      <alignment horizontal="center" vertical="center"/>
    </xf>
    <xf numFmtId="0" fontId="230" fillId="0" borderId="335" xfId="16" applyFont="1" applyBorder="1" applyAlignment="1">
      <alignment horizontal="center" vertical="center"/>
    </xf>
    <xf numFmtId="0" fontId="231" fillId="0" borderId="335" xfId="16" applyFont="1" applyBorder="1" applyAlignment="1">
      <alignment horizontal="center" vertical="center"/>
    </xf>
    <xf numFmtId="0" fontId="230" fillId="0" borderId="336" xfId="16" applyFont="1" applyBorder="1" applyAlignment="1">
      <alignment horizontal="left" vertical="center"/>
    </xf>
    <xf numFmtId="0" fontId="214" fillId="0" borderId="334" xfId="16" applyFont="1" applyBorder="1" applyAlignment="1">
      <alignment horizontal="center" vertical="center"/>
    </xf>
    <xf numFmtId="0" fontId="235" fillId="21" borderId="337" xfId="16" applyFont="1" applyFill="1" applyBorder="1" applyAlignment="1">
      <alignment horizontal="center" vertical="center" textRotation="255"/>
    </xf>
    <xf numFmtId="0" fontId="221" fillId="0" borderId="342" xfId="16" applyFont="1" applyBorder="1"/>
    <xf numFmtId="0" fontId="237" fillId="22" borderId="334" xfId="16" applyFont="1" applyFill="1" applyBorder="1" applyAlignment="1">
      <alignment horizontal="center" vertical="center"/>
    </xf>
    <xf numFmtId="0" fontId="237" fillId="22" borderId="335" xfId="16" applyFont="1" applyFill="1" applyBorder="1" applyAlignment="1">
      <alignment horizontal="center" vertical="center"/>
    </xf>
    <xf numFmtId="0" fontId="237" fillId="22" borderId="336" xfId="16" applyFont="1" applyFill="1" applyBorder="1" applyAlignment="1">
      <alignment horizontal="center" vertical="center"/>
    </xf>
    <xf numFmtId="0" fontId="237" fillId="22" borderId="346" xfId="16" applyFont="1" applyFill="1" applyBorder="1" applyAlignment="1">
      <alignment horizontal="center" vertical="center"/>
    </xf>
    <xf numFmtId="0" fontId="237" fillId="22" borderId="0" xfId="16" applyFont="1" applyFill="1" applyAlignment="1">
      <alignment horizontal="center" vertical="center"/>
    </xf>
    <xf numFmtId="0" fontId="237" fillId="22" borderId="347" xfId="16" applyFont="1" applyFill="1" applyBorder="1" applyAlignment="1">
      <alignment horizontal="center" vertical="center"/>
    </xf>
    <xf numFmtId="0" fontId="237" fillId="22" borderId="338" xfId="16" applyFont="1" applyFill="1" applyBorder="1" applyAlignment="1">
      <alignment horizontal="center" vertical="center"/>
    </xf>
    <xf numFmtId="0" fontId="237" fillId="22" borderId="339" xfId="16" applyFont="1" applyFill="1" applyBorder="1" applyAlignment="1">
      <alignment horizontal="center" vertical="center"/>
    </xf>
    <xf numFmtId="0" fontId="237" fillId="22" borderId="340" xfId="16" applyFont="1" applyFill="1" applyBorder="1" applyAlignment="1">
      <alignment horizontal="center" vertical="center"/>
    </xf>
    <xf numFmtId="0" fontId="232" fillId="20" borderId="334" xfId="16" applyFont="1" applyFill="1" applyBorder="1" applyAlignment="1">
      <alignment horizontal="center"/>
    </xf>
    <xf numFmtId="0" fontId="232" fillId="20" borderId="396" xfId="16" applyFont="1" applyFill="1" applyBorder="1" applyAlignment="1">
      <alignment horizontal="center"/>
    </xf>
    <xf numFmtId="0" fontId="221" fillId="0" borderId="397" xfId="16" applyFont="1" applyBorder="1"/>
    <xf numFmtId="0" fontId="221" fillId="0" borderId="398" xfId="16" applyFont="1" applyBorder="1"/>
    <xf numFmtId="0" fontId="232" fillId="20" borderId="343" xfId="16" applyFont="1" applyFill="1" applyBorder="1" applyAlignment="1">
      <alignment horizontal="center"/>
    </xf>
    <xf numFmtId="0" fontId="221" fillId="0" borderId="399" xfId="16" applyFont="1" applyBorder="1"/>
    <xf numFmtId="0" fontId="232" fillId="20" borderId="335" xfId="16" applyFont="1" applyFill="1" applyBorder="1" applyAlignment="1">
      <alignment horizontal="center"/>
    </xf>
    <xf numFmtId="0" fontId="232" fillId="20" borderId="397" xfId="16" applyFont="1" applyFill="1" applyBorder="1" applyAlignment="1">
      <alignment horizontal="center"/>
    </xf>
    <xf numFmtId="0" fontId="238" fillId="23" borderId="337" xfId="16" applyFont="1" applyFill="1" applyBorder="1" applyAlignment="1">
      <alignment horizontal="center" vertical="center" textRotation="255"/>
    </xf>
    <xf numFmtId="0" fontId="213" fillId="0" borderId="21" xfId="16" applyFont="1" applyBorder="1" applyAlignment="1">
      <alignment horizontal="center" vertical="center"/>
    </xf>
    <xf numFmtId="0" fontId="237" fillId="0" borderId="354" xfId="16" applyFont="1" applyBorder="1" applyAlignment="1">
      <alignment horizontal="left" vertical="center"/>
    </xf>
    <xf numFmtId="0" fontId="237" fillId="0" borderId="355" xfId="16" applyFont="1" applyBorder="1" applyAlignment="1">
      <alignment horizontal="left" vertical="center"/>
    </xf>
    <xf numFmtId="0" fontId="237" fillId="0" borderId="356" xfId="16" applyFont="1" applyBorder="1" applyAlignment="1">
      <alignment horizontal="left" vertical="center"/>
    </xf>
    <xf numFmtId="0" fontId="237" fillId="0" borderId="338" xfId="16" applyFont="1" applyBorder="1" applyAlignment="1">
      <alignment horizontal="left" vertical="center"/>
    </xf>
    <xf numFmtId="0" fontId="237" fillId="0" borderId="339" xfId="16" applyFont="1" applyBorder="1" applyAlignment="1">
      <alignment horizontal="left" vertical="center"/>
    </xf>
    <xf numFmtId="0" fontId="237" fillId="0" borderId="340" xfId="16" applyFont="1" applyBorder="1" applyAlignment="1">
      <alignment horizontal="left" vertical="center"/>
    </xf>
    <xf numFmtId="0" fontId="237" fillId="0" borderId="334" xfId="16" applyFont="1" applyBorder="1" applyAlignment="1">
      <alignment horizontal="left" vertical="center"/>
    </xf>
    <xf numFmtId="0" fontId="237" fillId="0" borderId="335" xfId="16" applyFont="1" applyBorder="1" applyAlignment="1">
      <alignment horizontal="left" vertical="center"/>
    </xf>
    <xf numFmtId="0" fontId="237" fillId="0" borderId="336" xfId="16" applyFont="1" applyBorder="1" applyAlignment="1">
      <alignment horizontal="left" vertical="center"/>
    </xf>
    <xf numFmtId="0" fontId="237" fillId="0" borderId="346" xfId="16" applyFont="1" applyBorder="1" applyAlignment="1">
      <alignment horizontal="left" vertical="center"/>
    </xf>
    <xf numFmtId="0" fontId="237" fillId="0" borderId="0" xfId="16" applyFont="1" applyAlignment="1">
      <alignment horizontal="left" vertical="center"/>
    </xf>
    <xf numFmtId="0" fontId="237" fillId="0" borderId="347" xfId="16" applyFont="1" applyBorder="1" applyAlignment="1">
      <alignment horizontal="left" vertical="center"/>
    </xf>
    <xf numFmtId="0" fontId="237" fillId="0" borderId="334" xfId="16" applyFont="1" applyBorder="1" applyAlignment="1">
      <alignment horizontal="center" vertical="center"/>
    </xf>
    <xf numFmtId="0" fontId="237" fillId="0" borderId="335" xfId="16" applyFont="1" applyBorder="1" applyAlignment="1">
      <alignment horizontal="center" vertical="center"/>
    </xf>
    <xf numFmtId="0" fontId="237" fillId="0" borderId="336" xfId="16" applyFont="1" applyBorder="1" applyAlignment="1">
      <alignment horizontal="center" vertical="center"/>
    </xf>
    <xf numFmtId="0" fontId="237" fillId="0" borderId="349" xfId="16" applyFont="1" applyBorder="1" applyAlignment="1">
      <alignment horizontal="center" vertical="center"/>
    </xf>
    <xf numFmtId="0" fontId="237" fillId="0" borderId="350" xfId="16" applyFont="1" applyBorder="1" applyAlignment="1">
      <alignment horizontal="center" vertical="center"/>
    </xf>
    <xf numFmtId="0" fontId="237" fillId="0" borderId="352" xfId="16" applyFont="1" applyBorder="1" applyAlignment="1">
      <alignment horizontal="center" vertical="center"/>
    </xf>
    <xf numFmtId="0" fontId="237" fillId="0" borderId="354" xfId="16" applyFont="1" applyBorder="1" applyAlignment="1">
      <alignment horizontal="center" vertical="center"/>
    </xf>
    <xf numFmtId="0" fontId="237" fillId="0" borderId="355" xfId="16" applyFont="1" applyBorder="1" applyAlignment="1">
      <alignment horizontal="center" vertical="center"/>
    </xf>
    <xf numFmtId="0" fontId="237" fillId="0" borderId="356" xfId="16" applyFont="1" applyBorder="1" applyAlignment="1">
      <alignment horizontal="center" vertical="center"/>
    </xf>
    <xf numFmtId="0" fontId="237" fillId="0" borderId="346" xfId="16" applyFont="1" applyBorder="1" applyAlignment="1">
      <alignment horizontal="center" vertical="center"/>
    </xf>
    <xf numFmtId="0" fontId="237" fillId="0" borderId="0" xfId="16" applyFont="1" applyAlignment="1">
      <alignment horizontal="center" vertical="center"/>
    </xf>
    <xf numFmtId="0" fontId="237" fillId="0" borderId="347" xfId="16" applyFont="1" applyBorder="1" applyAlignment="1">
      <alignment horizontal="center" vertical="center"/>
    </xf>
    <xf numFmtId="0" fontId="241" fillId="0" borderId="335" xfId="16" applyFont="1" applyBorder="1"/>
    <xf numFmtId="0" fontId="241" fillId="0" borderId="339" xfId="16" applyFont="1" applyBorder="1"/>
    <xf numFmtId="0" fontId="237" fillId="0" borderId="15" xfId="16" applyFont="1" applyBorder="1" applyAlignment="1">
      <alignment horizontal="center" vertical="center"/>
    </xf>
    <xf numFmtId="0" fontId="237" fillId="0" borderId="10" xfId="16" applyFont="1" applyBorder="1" applyAlignment="1">
      <alignment horizontal="center" vertical="center"/>
    </xf>
    <xf numFmtId="0" fontId="237" fillId="0" borderId="11" xfId="16" applyFont="1" applyBorder="1" applyAlignment="1">
      <alignment horizontal="center" vertical="center"/>
    </xf>
    <xf numFmtId="0" fontId="237" fillId="0" borderId="2" xfId="16" applyFont="1" applyBorder="1" applyAlignment="1">
      <alignment horizontal="center" vertical="center"/>
    </xf>
    <xf numFmtId="0" fontId="237" fillId="0" borderId="417" xfId="16" applyFont="1" applyBorder="1" applyAlignment="1">
      <alignment horizontal="center" vertical="center"/>
    </xf>
    <xf numFmtId="0" fontId="237" fillId="0" borderId="14" xfId="16" applyFont="1" applyBorder="1" applyAlignment="1">
      <alignment horizontal="center" vertical="center"/>
    </xf>
    <xf numFmtId="0" fontId="237" fillId="0" borderId="418" xfId="16" applyFont="1" applyBorder="1" applyAlignment="1">
      <alignment horizontal="center" vertical="center"/>
    </xf>
    <xf numFmtId="0" fontId="237" fillId="0" borderId="3" xfId="16" applyFont="1" applyBorder="1" applyAlignment="1">
      <alignment horizontal="center" vertical="center"/>
    </xf>
    <xf numFmtId="0" fontId="237" fillId="0" borderId="15" xfId="16" applyFont="1" applyBorder="1" applyAlignment="1">
      <alignment horizontal="left" vertical="center"/>
    </xf>
    <xf numFmtId="0" fontId="237" fillId="0" borderId="14" xfId="16" applyFont="1" applyBorder="1" applyAlignment="1">
      <alignment horizontal="left" vertical="center"/>
    </xf>
    <xf numFmtId="0" fontId="237" fillId="0" borderId="11" xfId="16" applyFont="1" applyBorder="1" applyAlignment="1">
      <alignment horizontal="left" vertical="center"/>
    </xf>
    <xf numFmtId="0" fontId="237" fillId="0" borderId="3" xfId="16" applyFont="1" applyBorder="1" applyAlignment="1">
      <alignment horizontal="left" vertical="center"/>
    </xf>
    <xf numFmtId="0" fontId="241" fillId="0" borderId="34" xfId="16" applyFont="1" applyBorder="1" applyAlignment="1">
      <alignment horizontal="center"/>
    </xf>
    <xf numFmtId="0" fontId="260" fillId="0" borderId="21" xfId="16" applyFont="1" applyBorder="1" applyAlignment="1">
      <alignment horizontal="center" vertical="center" wrapText="1"/>
    </xf>
    <xf numFmtId="0" fontId="260" fillId="0" borderId="21" xfId="16" applyFont="1" applyBorder="1" applyAlignment="1">
      <alignment horizontal="center" vertical="center"/>
    </xf>
    <xf numFmtId="0" fontId="237" fillId="0" borderId="21" xfId="16" applyFont="1" applyBorder="1" applyAlignment="1">
      <alignment horizontal="center" vertical="center"/>
    </xf>
    <xf numFmtId="0" fontId="238" fillId="25" borderId="337" xfId="16" applyFont="1" applyFill="1" applyBorder="1" applyAlignment="1">
      <alignment horizontal="center" vertical="center" textRotation="255"/>
    </xf>
    <xf numFmtId="0" fontId="237" fillId="0" borderId="338" xfId="16" applyFont="1" applyBorder="1" applyAlignment="1">
      <alignment horizontal="center" vertical="center"/>
    </xf>
    <xf numFmtId="0" fontId="237" fillId="0" borderId="339" xfId="16" applyFont="1" applyBorder="1" applyAlignment="1">
      <alignment horizontal="center" vertical="center"/>
    </xf>
    <xf numFmtId="0" fontId="237" fillId="0" borderId="21" xfId="16" applyFont="1" applyBorder="1" applyAlignment="1">
      <alignment horizontal="center" vertical="center" wrapText="1"/>
    </xf>
    <xf numFmtId="0" fontId="237" fillId="0" borderId="56" xfId="16" applyFont="1" applyBorder="1" applyAlignment="1">
      <alignment horizontal="center" vertical="center" wrapText="1"/>
    </xf>
    <xf numFmtId="0" fontId="237" fillId="0" borderId="416" xfId="16" applyFont="1" applyBorder="1" applyAlignment="1">
      <alignment horizontal="center" vertical="center" wrapText="1"/>
    </xf>
    <xf numFmtId="0" fontId="237" fillId="0" borderId="56" xfId="16" applyFont="1" applyBorder="1" applyAlignment="1">
      <alignment horizontal="center" vertical="center"/>
    </xf>
    <xf numFmtId="0" fontId="237" fillId="0" borderId="17" xfId="16" applyFont="1" applyBorder="1" applyAlignment="1">
      <alignment horizontal="center" vertical="center"/>
    </xf>
    <xf numFmtId="0" fontId="237" fillId="0" borderId="55" xfId="16" applyFont="1" applyBorder="1" applyAlignment="1">
      <alignment horizontal="center" vertical="center"/>
    </xf>
    <xf numFmtId="0" fontId="237" fillId="0" borderId="394" xfId="16" applyFont="1" applyBorder="1" applyAlignment="1">
      <alignment horizontal="center" vertical="center"/>
    </xf>
    <xf numFmtId="0" fontId="237" fillId="0" borderId="395" xfId="16" applyFont="1" applyBorder="1" applyAlignment="1">
      <alignment horizontal="center" vertical="center"/>
    </xf>
    <xf numFmtId="0" fontId="230" fillId="0" borderId="336" xfId="16" applyFont="1" applyBorder="1" applyAlignment="1">
      <alignment horizontal="center" vertical="center"/>
    </xf>
    <xf numFmtId="0" fontId="230" fillId="0" borderId="338" xfId="16" applyFont="1" applyBorder="1" applyAlignment="1">
      <alignment horizontal="center" vertical="center"/>
    </xf>
    <xf numFmtId="0" fontId="230" fillId="0" borderId="339" xfId="16" applyFont="1" applyBorder="1" applyAlignment="1">
      <alignment horizontal="center" vertical="center"/>
    </xf>
    <xf numFmtId="0" fontId="230" fillId="0" borderId="340" xfId="16" applyFont="1" applyBorder="1" applyAlignment="1">
      <alignment horizontal="center" vertical="center"/>
    </xf>
    <xf numFmtId="0" fontId="232" fillId="20" borderId="409" xfId="16" applyFont="1" applyFill="1" applyBorder="1" applyAlignment="1">
      <alignment horizontal="center"/>
    </xf>
    <xf numFmtId="0" fontId="221" fillId="0" borderId="410" xfId="16" applyFont="1" applyBorder="1"/>
    <xf numFmtId="0" fontId="261" fillId="0" borderId="0" xfId="16" applyFont="1" applyAlignment="1">
      <alignment horizontal="center" vertical="center"/>
    </xf>
    <xf numFmtId="0" fontId="260" fillId="0" borderId="89" xfId="16" applyFont="1" applyBorder="1" applyAlignment="1">
      <alignment horizontal="center" vertical="center" wrapText="1"/>
    </xf>
    <xf numFmtId="0" fontId="260" fillId="0" borderId="90" xfId="16" applyFont="1" applyBorder="1" applyAlignment="1">
      <alignment horizontal="center" vertical="center" wrapText="1"/>
    </xf>
    <xf numFmtId="0" fontId="260" fillId="0" borderId="133" xfId="16" applyFont="1" applyBorder="1" applyAlignment="1">
      <alignment horizontal="center" vertical="center" wrapText="1"/>
    </xf>
    <xf numFmtId="0" fontId="260" fillId="0" borderId="24" xfId="16" applyFont="1" applyBorder="1" applyAlignment="1">
      <alignment horizontal="center" vertical="center" wrapText="1"/>
    </xf>
    <xf numFmtId="0" fontId="260" fillId="0" borderId="132" xfId="16" applyFont="1" applyBorder="1" applyAlignment="1">
      <alignment horizontal="center" vertical="center" wrapText="1"/>
    </xf>
    <xf numFmtId="0" fontId="260" fillId="0" borderId="24" xfId="16" applyFont="1" applyBorder="1" applyAlignment="1">
      <alignment horizontal="center" vertical="center"/>
    </xf>
    <xf numFmtId="0" fontId="260" fillId="0" borderId="132" xfId="16" applyFont="1" applyBorder="1" applyAlignment="1">
      <alignment horizontal="center" vertical="center"/>
    </xf>
    <xf numFmtId="0" fontId="237" fillId="0" borderId="15" xfId="16" applyFont="1" applyBorder="1" applyAlignment="1">
      <alignment horizontal="center" vertical="center" wrapText="1"/>
    </xf>
    <xf numFmtId="0" fontId="237" fillId="0" borderId="13" xfId="16" applyFont="1" applyBorder="1" applyAlignment="1">
      <alignment horizontal="center" vertical="center"/>
    </xf>
    <xf numFmtId="0" fontId="237" fillId="0" borderId="419" xfId="16" applyFont="1" applyBorder="1" applyAlignment="1">
      <alignment horizontal="center" vertical="center"/>
    </xf>
    <xf numFmtId="0" fontId="237" fillId="0" borderId="12" xfId="16" applyFont="1" applyBorder="1" applyAlignment="1">
      <alignment horizontal="center" vertical="center"/>
    </xf>
    <xf numFmtId="0" fontId="237" fillId="0" borderId="365" xfId="16" applyFont="1" applyBorder="1" applyAlignment="1">
      <alignment horizontal="center" vertical="center" wrapText="1"/>
    </xf>
    <xf numFmtId="0" fontId="237" fillId="0" borderId="366" xfId="16" applyFont="1" applyBorder="1" applyAlignment="1">
      <alignment horizontal="center" vertical="center" wrapText="1"/>
    </xf>
    <xf numFmtId="0" fontId="237" fillId="0" borderId="367" xfId="16" applyFont="1" applyBorder="1" applyAlignment="1">
      <alignment horizontal="center" vertical="center" wrapText="1"/>
    </xf>
    <xf numFmtId="0" fontId="237" fillId="0" borderId="346" xfId="16" applyFont="1" applyBorder="1" applyAlignment="1">
      <alignment horizontal="center" vertical="center" wrapText="1"/>
    </xf>
    <xf numFmtId="0" fontId="237" fillId="0" borderId="0" xfId="16" applyFont="1" applyAlignment="1">
      <alignment horizontal="center" vertical="center" wrapText="1"/>
    </xf>
    <xf numFmtId="0" fontId="237" fillId="0" borderId="347" xfId="16" applyFont="1" applyBorder="1" applyAlignment="1">
      <alignment horizontal="center" vertical="center" wrapText="1"/>
    </xf>
    <xf numFmtId="0" fontId="260" fillId="0" borderId="423" xfId="16" applyFont="1" applyBorder="1" applyAlignment="1">
      <alignment horizontal="center" vertical="center" wrapText="1"/>
    </xf>
    <xf numFmtId="0" fontId="260" fillId="0" borderId="80" xfId="16" applyFont="1" applyBorder="1" applyAlignment="1">
      <alignment horizontal="center" vertical="center" wrapText="1"/>
    </xf>
    <xf numFmtId="0" fontId="260" fillId="0" borderId="424" xfId="16" applyFont="1" applyBorder="1" applyAlignment="1">
      <alignment horizontal="center" vertical="center" wrapText="1"/>
    </xf>
    <xf numFmtId="0" fontId="237" fillId="22" borderId="334" xfId="16" applyFont="1" applyFill="1" applyBorder="1" applyAlignment="1">
      <alignment horizontal="left" vertical="center"/>
    </xf>
    <xf numFmtId="0" fontId="237" fillId="22" borderId="335" xfId="16" applyFont="1" applyFill="1" applyBorder="1" applyAlignment="1">
      <alignment horizontal="left" vertical="center"/>
    </xf>
    <xf numFmtId="0" fontId="237" fillId="22" borderId="336" xfId="16" applyFont="1" applyFill="1" applyBorder="1" applyAlignment="1">
      <alignment horizontal="left" vertical="center"/>
    </xf>
    <xf numFmtId="0" fontId="237" fillId="22" borderId="346" xfId="16" applyFont="1" applyFill="1" applyBorder="1" applyAlignment="1">
      <alignment horizontal="left" vertical="center"/>
    </xf>
    <xf numFmtId="0" fontId="237" fillId="22" borderId="0" xfId="16" applyFont="1" applyFill="1" applyAlignment="1">
      <alignment horizontal="left" vertical="center"/>
    </xf>
    <xf numFmtId="0" fontId="237" fillId="22" borderId="347" xfId="16" applyFont="1" applyFill="1" applyBorder="1" applyAlignment="1">
      <alignment horizontal="left" vertical="center"/>
    </xf>
    <xf numFmtId="0" fontId="237" fillId="22" borderId="338" xfId="16" applyFont="1" applyFill="1" applyBorder="1" applyAlignment="1">
      <alignment horizontal="left" vertical="center"/>
    </xf>
    <xf numFmtId="0" fontId="237" fillId="22" borderId="339" xfId="16" applyFont="1" applyFill="1" applyBorder="1" applyAlignment="1">
      <alignment horizontal="left" vertical="center"/>
    </xf>
    <xf numFmtId="0" fontId="237" fillId="22" borderId="340" xfId="16" applyFont="1" applyFill="1" applyBorder="1" applyAlignment="1">
      <alignment horizontal="left" vertical="center"/>
    </xf>
    <xf numFmtId="0" fontId="260" fillId="0" borderId="15" xfId="16" applyFont="1" applyBorder="1" applyAlignment="1">
      <alignment horizontal="center" vertical="center" wrapText="1"/>
    </xf>
    <xf numFmtId="0" fontId="260" fillId="0" borderId="10" xfId="16" applyFont="1" applyBorder="1" applyAlignment="1">
      <alignment horizontal="center" vertical="center" wrapText="1"/>
    </xf>
    <xf numFmtId="0" fontId="260" fillId="0" borderId="14" xfId="16" applyFont="1" applyBorder="1" applyAlignment="1">
      <alignment horizontal="center" vertical="center" wrapText="1"/>
    </xf>
    <xf numFmtId="0" fontId="260" fillId="0" borderId="13" xfId="16" applyFont="1" applyBorder="1" applyAlignment="1">
      <alignment horizontal="center" vertical="center" wrapText="1"/>
    </xf>
    <xf numFmtId="0" fontId="260" fillId="0" borderId="0" xfId="16" applyFont="1" applyAlignment="1">
      <alignment horizontal="center" vertical="center" wrapText="1"/>
    </xf>
    <xf numFmtId="0" fontId="260" fillId="0" borderId="12" xfId="16" applyFont="1" applyBorder="1" applyAlignment="1">
      <alignment horizontal="center" vertical="center" wrapText="1"/>
    </xf>
    <xf numFmtId="0" fontId="260" fillId="0" borderId="11" xfId="16" applyFont="1" applyBorder="1" applyAlignment="1">
      <alignment horizontal="center" vertical="center" wrapText="1"/>
    </xf>
    <xf numFmtId="0" fontId="260" fillId="0" borderId="2" xfId="16" applyFont="1" applyBorder="1" applyAlignment="1">
      <alignment horizontal="center" vertical="center" wrapText="1"/>
    </xf>
    <xf numFmtId="0" fontId="260" fillId="0" borderId="3" xfId="16" applyFont="1" applyBorder="1" applyAlignment="1">
      <alignment horizontal="center" vertical="center" wrapText="1"/>
    </xf>
    <xf numFmtId="0" fontId="260" fillId="0" borderId="0" xfId="16" applyFont="1" applyAlignment="1">
      <alignment horizontal="center" vertical="center"/>
    </xf>
    <xf numFmtId="0" fontId="259" fillId="0" borderId="21" xfId="16" applyFont="1" applyBorder="1" applyAlignment="1">
      <alignment horizontal="center" vertical="center"/>
    </xf>
    <xf numFmtId="0" fontId="259" fillId="0" borderId="15" xfId="16" applyFont="1" applyBorder="1" applyAlignment="1">
      <alignment horizontal="center" vertical="center"/>
    </xf>
    <xf numFmtId="0" fontId="259" fillId="0" borderId="10" xfId="16" applyFont="1" applyBorder="1" applyAlignment="1">
      <alignment horizontal="center" vertical="center"/>
    </xf>
    <xf numFmtId="0" fontId="259" fillId="0" borderId="14" xfId="16" applyFont="1" applyBorder="1" applyAlignment="1">
      <alignment horizontal="center" vertical="center"/>
    </xf>
    <xf numFmtId="0" fontId="259" fillId="0" borderId="11" xfId="16" applyFont="1" applyBorder="1" applyAlignment="1">
      <alignment horizontal="center" vertical="center"/>
    </xf>
    <xf numFmtId="0" fontId="259" fillId="0" borderId="2" xfId="16" applyFont="1" applyBorder="1" applyAlignment="1">
      <alignment horizontal="center" vertical="center"/>
    </xf>
    <xf numFmtId="0" fontId="259" fillId="0" borderId="3" xfId="16" applyFont="1" applyBorder="1" applyAlignment="1">
      <alignment horizontal="center" vertical="center"/>
    </xf>
    <xf numFmtId="0" fontId="226" fillId="0" borderId="21" xfId="16" applyFont="1" applyBorder="1" applyAlignment="1">
      <alignment horizontal="center" vertical="center"/>
    </xf>
    <xf numFmtId="14" fontId="17" fillId="0" borderId="259" xfId="0" applyNumberFormat="1"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79" xfId="0" applyFont="1" applyBorder="1" applyAlignment="1">
      <alignment horizontal="center" vertical="center"/>
    </xf>
    <xf numFmtId="0" fontId="17" fillId="0" borderId="63" xfId="0" applyFont="1" applyBorder="1" applyAlignment="1">
      <alignment horizontal="center" vertical="center"/>
    </xf>
    <xf numFmtId="0" fontId="17" fillId="0" borderId="67" xfId="0" applyFont="1" applyBorder="1" applyAlignment="1">
      <alignment horizontal="center" vertical="center"/>
    </xf>
    <xf numFmtId="0" fontId="75" fillId="0" borderId="135" xfId="0" applyFont="1" applyBorder="1" applyAlignment="1" applyProtection="1">
      <alignment horizontal="center" vertical="center"/>
      <protection locked="0"/>
    </xf>
    <xf numFmtId="0" fontId="75" fillId="0" borderId="11" xfId="0" applyFont="1" applyBorder="1" applyAlignment="1" applyProtection="1">
      <alignment horizontal="center" vertical="center"/>
      <protection locked="0"/>
    </xf>
    <xf numFmtId="0" fontId="75" fillId="0" borderId="65" xfId="0" applyFont="1" applyBorder="1" applyAlignment="1">
      <alignment horizontal="center" vertical="center"/>
    </xf>
    <xf numFmtId="0" fontId="75" fillId="0" borderId="2" xfId="0" applyFont="1" applyBorder="1" applyAlignment="1">
      <alignment horizontal="center" vertical="center"/>
    </xf>
    <xf numFmtId="0" fontId="75" fillId="0" borderId="34" xfId="0" applyFont="1" applyBorder="1" applyAlignment="1">
      <alignment horizontal="center" vertical="center"/>
    </xf>
    <xf numFmtId="0" fontId="70" fillId="0" borderId="10" xfId="0" applyFont="1" applyBorder="1" applyAlignment="1">
      <alignment vertical="center" shrinkToFit="1"/>
    </xf>
    <xf numFmtId="0" fontId="70" fillId="0" borderId="0" xfId="0" applyFont="1" applyAlignment="1">
      <alignment vertical="center" shrinkToFit="1"/>
    </xf>
    <xf numFmtId="0" fontId="75" fillId="0" borderId="10" xfId="0" applyFont="1" applyBorder="1">
      <alignment vertical="center"/>
    </xf>
    <xf numFmtId="0" fontId="75" fillId="0" borderId="0" xfId="0" applyFont="1">
      <alignment vertical="center"/>
    </xf>
    <xf numFmtId="0" fontId="75" fillId="0" borderId="269" xfId="0" applyFont="1" applyBorder="1">
      <alignment vertical="center"/>
    </xf>
    <xf numFmtId="0" fontId="75" fillId="0" borderId="9" xfId="0" applyFont="1" applyBorder="1">
      <alignment vertical="center"/>
    </xf>
    <xf numFmtId="0" fontId="75" fillId="0" borderId="15" xfId="0" applyFont="1" applyBorder="1" applyAlignment="1" applyProtection="1">
      <alignment horizontal="center" vertical="center"/>
      <protection locked="0"/>
    </xf>
    <xf numFmtId="0" fontId="75" fillId="0" borderId="128" xfId="0" applyFont="1" applyBorder="1" applyAlignment="1" applyProtection="1">
      <alignment horizontal="center" vertical="center"/>
      <protection locked="0"/>
    </xf>
    <xf numFmtId="0" fontId="75" fillId="0" borderId="10" xfId="0" applyFont="1" applyBorder="1" applyAlignment="1">
      <alignment horizontal="center" vertical="center"/>
    </xf>
    <xf numFmtId="0" fontId="75" fillId="0" borderId="63" xfId="0" applyFont="1" applyBorder="1" applyAlignment="1">
      <alignment horizontal="center" vertical="center"/>
    </xf>
    <xf numFmtId="0" fontId="75" fillId="0" borderId="14" xfId="0" applyFont="1" applyBorder="1" applyAlignment="1" applyProtection="1">
      <alignment horizontal="center" vertical="center"/>
      <protection locked="0"/>
    </xf>
    <xf numFmtId="0" fontId="75" fillId="0" borderId="129" xfId="0" applyFont="1" applyBorder="1" applyAlignment="1" applyProtection="1">
      <alignment horizontal="center" vertical="center"/>
      <protection locked="0"/>
    </xf>
    <xf numFmtId="0" fontId="75" fillId="0" borderId="269" xfId="0" applyFont="1" applyBorder="1" applyAlignment="1" applyProtection="1">
      <alignment horizontal="center" vertical="center"/>
      <protection locked="0"/>
    </xf>
    <xf numFmtId="0" fontId="75" fillId="0" borderId="67" xfId="0" applyFont="1" applyBorder="1" applyAlignment="1" applyProtection="1">
      <alignment horizontal="center" vertical="center"/>
      <protection locked="0"/>
    </xf>
    <xf numFmtId="0" fontId="75" fillId="0" borderId="2" xfId="0" applyFont="1" applyBorder="1">
      <alignment vertical="center"/>
    </xf>
    <xf numFmtId="0" fontId="106" fillId="0" borderId="10" xfId="0" applyFont="1" applyBorder="1">
      <alignment vertical="center"/>
    </xf>
    <xf numFmtId="0" fontId="106" fillId="0" borderId="2" xfId="0" applyFont="1" applyBorder="1">
      <alignment vertical="center"/>
    </xf>
    <xf numFmtId="0" fontId="94" fillId="0" borderId="107" xfId="0" applyFont="1" applyBorder="1" applyAlignment="1">
      <alignment vertical="center" shrinkToFit="1"/>
    </xf>
    <xf numFmtId="0" fontId="94" fillId="0" borderId="77" xfId="0" applyFont="1" applyBorder="1" applyAlignment="1">
      <alignment vertical="center" shrinkToFit="1"/>
    </xf>
    <xf numFmtId="0" fontId="94" fillId="0" borderId="56" xfId="0" applyFont="1" applyBorder="1" applyAlignment="1">
      <alignment vertical="center" shrinkToFit="1"/>
    </xf>
    <xf numFmtId="0" fontId="94" fillId="0" borderId="17" xfId="0" applyFont="1" applyBorder="1" applyAlignment="1">
      <alignment vertical="center" shrinkToFit="1"/>
    </xf>
    <xf numFmtId="0" fontId="94" fillId="0" borderId="56" xfId="0" applyFont="1" applyBorder="1" applyAlignment="1">
      <alignment horizontal="left" vertical="center" shrinkToFit="1"/>
    </xf>
    <xf numFmtId="0" fontId="94" fillId="0" borderId="17" xfId="0" applyFont="1" applyBorder="1" applyAlignment="1">
      <alignment horizontal="left" vertical="center" shrinkToFit="1"/>
    </xf>
    <xf numFmtId="0" fontId="75" fillId="0" borderId="216" xfId="0" applyFont="1" applyBorder="1">
      <alignment vertical="center"/>
    </xf>
    <xf numFmtId="0" fontId="75" fillId="0" borderId="134" xfId="0" applyFont="1" applyBorder="1" applyAlignment="1" applyProtection="1">
      <alignment horizontal="center" vertical="center"/>
      <protection locked="0"/>
    </xf>
    <xf numFmtId="0" fontId="75" fillId="0" borderId="3" xfId="0" applyFont="1" applyBorder="1" applyAlignment="1" applyProtection="1">
      <alignment horizontal="center" vertical="center"/>
      <protection locked="0"/>
    </xf>
    <xf numFmtId="0" fontId="75" fillId="0" borderId="66" xfId="0" applyFont="1" applyBorder="1" applyAlignment="1" applyProtection="1">
      <alignment horizontal="center" vertical="center"/>
      <protection locked="0"/>
    </xf>
    <xf numFmtId="0" fontId="75" fillId="0" borderId="216" xfId="0" applyFont="1" applyBorder="1" applyAlignment="1" applyProtection="1">
      <alignment horizontal="center" vertical="center"/>
      <protection locked="0"/>
    </xf>
    <xf numFmtId="0" fontId="105" fillId="0" borderId="10" xfId="0" applyFont="1" applyBorder="1">
      <alignment vertical="center"/>
    </xf>
    <xf numFmtId="0" fontId="105" fillId="0" borderId="0" xfId="0" applyFont="1">
      <alignment vertical="center"/>
    </xf>
    <xf numFmtId="0" fontId="106" fillId="0" borderId="0" xfId="0" applyFont="1">
      <alignment vertical="center"/>
    </xf>
    <xf numFmtId="0" fontId="75" fillId="0" borderId="0" xfId="0" applyFont="1" applyAlignment="1">
      <alignment vertical="center" shrinkToFit="1"/>
    </xf>
    <xf numFmtId="0" fontId="65" fillId="0" borderId="0" xfId="0" applyFont="1" applyAlignment="1">
      <alignment horizontal="left" vertical="center" shrinkToFit="1"/>
    </xf>
    <xf numFmtId="181" fontId="94" fillId="4" borderId="259" xfId="0" applyNumberFormat="1" applyFont="1" applyFill="1" applyBorder="1" applyAlignment="1" applyProtection="1">
      <alignment vertical="center" shrinkToFit="1"/>
      <protection locked="0"/>
    </xf>
    <xf numFmtId="181" fontId="94" fillId="4" borderId="72" xfId="0" applyNumberFormat="1" applyFont="1" applyFill="1" applyBorder="1" applyAlignment="1" applyProtection="1">
      <alignment vertical="center" shrinkToFit="1"/>
      <protection locked="0"/>
    </xf>
    <xf numFmtId="0" fontId="75" fillId="0" borderId="134" xfId="0" applyFont="1" applyBorder="1" applyAlignment="1">
      <alignment horizontal="center" vertical="center"/>
    </xf>
    <xf numFmtId="0" fontId="75" fillId="0" borderId="3" xfId="0" applyFont="1" applyBorder="1" applyAlignment="1">
      <alignment horizontal="center" vertical="center"/>
    </xf>
    <xf numFmtId="0" fontId="75" fillId="0" borderId="65"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12" xfId="0" applyFont="1" applyBorder="1" applyAlignment="1" applyProtection="1">
      <alignment horizontal="center" vertical="center"/>
      <protection locked="0"/>
    </xf>
    <xf numFmtId="181" fontId="94" fillId="4" borderId="264" xfId="0" applyNumberFormat="1" applyFont="1" applyFill="1" applyBorder="1" applyAlignment="1" applyProtection="1">
      <alignment vertical="center" shrinkToFit="1"/>
      <protection locked="0"/>
    </xf>
    <xf numFmtId="181" fontId="94" fillId="4" borderId="79" xfId="0" applyNumberFormat="1" applyFont="1" applyFill="1" applyBorder="1" applyAlignment="1" applyProtection="1">
      <alignment vertical="center" shrinkToFit="1"/>
      <protection locked="0"/>
    </xf>
    <xf numFmtId="0" fontId="75" fillId="0" borderId="12" xfId="0" applyFont="1" applyBorder="1" applyAlignment="1">
      <alignment horizontal="center" vertical="center"/>
    </xf>
    <xf numFmtId="0" fontId="75" fillId="0" borderId="129" xfId="0" applyFont="1" applyBorder="1" applyAlignment="1">
      <alignment horizontal="center" vertical="center"/>
    </xf>
    <xf numFmtId="0" fontId="75" fillId="0" borderId="10" xfId="0" applyFont="1" applyBorder="1" applyAlignment="1" applyProtection="1">
      <alignment horizontal="center" vertical="center"/>
      <protection locked="0"/>
    </xf>
    <xf numFmtId="0" fontId="75" fillId="0" borderId="63" xfId="0" applyFont="1" applyBorder="1" applyAlignment="1" applyProtection="1">
      <alignment horizontal="center" vertical="center"/>
      <protection locked="0"/>
    </xf>
    <xf numFmtId="0" fontId="70" fillId="0" borderId="71" xfId="0" applyFont="1" applyBorder="1" applyAlignment="1">
      <alignment vertical="center" shrinkToFit="1"/>
    </xf>
    <xf numFmtId="0" fontId="70" fillId="0" borderId="72" xfId="0" applyFont="1" applyBorder="1" applyAlignment="1">
      <alignment vertical="center" shrinkToFit="1"/>
    </xf>
    <xf numFmtId="0" fontId="75" fillId="0" borderId="10" xfId="0" applyFont="1" applyBorder="1" applyAlignment="1">
      <alignment vertical="center" shrinkToFit="1"/>
    </xf>
    <xf numFmtId="0" fontId="75" fillId="0" borderId="2" xfId="0" applyFont="1" applyBorder="1" applyAlignment="1">
      <alignment vertical="center" shrinkToFit="1"/>
    </xf>
    <xf numFmtId="0" fontId="14" fillId="0" borderId="0" xfId="0" applyFont="1" applyAlignment="1" applyProtection="1">
      <alignment horizontal="center" vertical="center" shrinkToFit="1"/>
      <protection hidden="1"/>
    </xf>
    <xf numFmtId="0" fontId="94" fillId="0" borderId="131" xfId="0" applyFont="1" applyBorder="1" applyAlignment="1">
      <alignment horizontal="center" vertical="center" shrinkToFit="1"/>
    </xf>
    <xf numFmtId="0" fontId="94" fillId="0" borderId="75" xfId="0" applyFont="1" applyBorder="1" applyAlignment="1">
      <alignment horizontal="center" vertical="center" shrinkToFit="1"/>
    </xf>
    <xf numFmtId="0" fontId="94" fillId="0" borderId="76" xfId="0" applyFont="1" applyBorder="1" applyAlignment="1">
      <alignment horizontal="center" vertical="center" shrinkToFit="1"/>
    </xf>
    <xf numFmtId="0" fontId="101" fillId="0" borderId="131" xfId="0" applyFont="1" applyBorder="1" applyAlignment="1">
      <alignment horizontal="center" vertical="center" shrinkToFit="1"/>
    </xf>
    <xf numFmtId="0" fontId="101" fillId="0" borderId="76" xfId="0" applyFont="1" applyBorder="1" applyAlignment="1">
      <alignment horizontal="center" vertical="center" shrinkToFit="1"/>
    </xf>
    <xf numFmtId="0" fontId="101" fillId="0" borderId="75" xfId="0" applyFont="1" applyBorder="1" applyAlignment="1">
      <alignment horizontal="center" vertical="center" shrinkToFit="1"/>
    </xf>
    <xf numFmtId="0" fontId="94" fillId="0" borderId="70" xfId="0" applyFont="1" applyBorder="1" applyAlignment="1">
      <alignment horizontal="center" vertical="center" shrinkToFit="1"/>
    </xf>
    <xf numFmtId="0" fontId="94" fillId="4" borderId="131" xfId="0" applyFont="1" applyFill="1" applyBorder="1" applyAlignment="1">
      <alignment horizontal="center" vertical="center" shrinkToFit="1"/>
    </xf>
    <xf numFmtId="0" fontId="94" fillId="4" borderId="18" xfId="0" applyFont="1" applyFill="1" applyBorder="1" applyAlignment="1">
      <alignment horizontal="center" vertical="center" shrinkToFit="1"/>
    </xf>
    <xf numFmtId="0" fontId="94" fillId="4" borderId="75" xfId="0" applyFont="1" applyFill="1" applyBorder="1" applyAlignment="1">
      <alignment horizontal="center" vertical="center" shrinkToFit="1"/>
    </xf>
    <xf numFmtId="0" fontId="94" fillId="4" borderId="56" xfId="0" applyFont="1" applyFill="1" applyBorder="1" applyAlignment="1" applyProtection="1">
      <alignment horizontal="center" vertical="center" shrinkToFit="1"/>
      <protection locked="0"/>
    </xf>
    <xf numFmtId="0" fontId="94" fillId="4" borderId="55" xfId="0" applyFont="1" applyFill="1" applyBorder="1" applyAlignment="1" applyProtection="1">
      <alignment horizontal="center" vertical="center" shrinkToFit="1"/>
      <protection locked="0"/>
    </xf>
    <xf numFmtId="0" fontId="72" fillId="4" borderId="56" xfId="0" applyFont="1" applyFill="1" applyBorder="1" applyAlignment="1" applyProtection="1">
      <alignment horizontal="center" vertical="center" wrapText="1" shrinkToFit="1"/>
      <protection locked="0"/>
    </xf>
    <xf numFmtId="0" fontId="72" fillId="4" borderId="17" xfId="0" applyFont="1" applyFill="1" applyBorder="1" applyAlignment="1" applyProtection="1">
      <alignment horizontal="center" vertical="center" wrapText="1" shrinkToFit="1"/>
      <protection locked="0"/>
    </xf>
    <xf numFmtId="0" fontId="72" fillId="4" borderId="55" xfId="0" applyFont="1" applyFill="1" applyBorder="1" applyAlignment="1" applyProtection="1">
      <alignment horizontal="center" vertical="center" wrapText="1" shrinkToFit="1"/>
      <protection locked="0"/>
    </xf>
    <xf numFmtId="0" fontId="94" fillId="0" borderId="18" xfId="0" applyFont="1" applyBorder="1" applyAlignment="1">
      <alignment horizontal="center" vertical="center" shrinkToFit="1"/>
    </xf>
    <xf numFmtId="0" fontId="94" fillId="4" borderId="21" xfId="0" applyFont="1" applyFill="1" applyBorder="1" applyAlignment="1" applyProtection="1">
      <alignment horizontal="center" vertical="center" shrinkToFit="1"/>
      <protection locked="0"/>
    </xf>
    <xf numFmtId="0" fontId="94" fillId="4" borderId="132" xfId="0" applyFont="1" applyFill="1" applyBorder="1" applyAlignment="1" applyProtection="1">
      <alignment horizontal="center" vertical="center" shrinkToFit="1"/>
      <protection locked="0"/>
    </xf>
    <xf numFmtId="0" fontId="94" fillId="0" borderId="131" xfId="0" applyFont="1" applyBorder="1" applyAlignment="1">
      <alignment vertical="center" shrinkToFit="1"/>
    </xf>
    <xf numFmtId="0" fontId="94" fillId="0" borderId="76" xfId="0" applyFont="1" applyBorder="1" applyAlignment="1">
      <alignment vertical="center" shrinkToFit="1"/>
    </xf>
    <xf numFmtId="0" fontId="19" fillId="2" borderId="0" xfId="0" applyFont="1" applyFill="1" applyAlignment="1">
      <alignment horizontal="center" vertical="center"/>
    </xf>
    <xf numFmtId="0" fontId="94" fillId="4" borderId="56" xfId="0" applyFont="1" applyFill="1" applyBorder="1" applyAlignment="1" applyProtection="1">
      <alignment horizontal="left" vertical="center" shrinkToFit="1"/>
      <protection locked="0"/>
    </xf>
    <xf numFmtId="0" fontId="94" fillId="4" borderId="17" xfId="0" applyFont="1" applyFill="1" applyBorder="1" applyAlignment="1" applyProtection="1">
      <alignment horizontal="left" vertical="center" shrinkToFit="1"/>
      <protection locked="0"/>
    </xf>
    <xf numFmtId="0" fontId="94" fillId="4" borderId="78" xfId="0" applyFont="1" applyFill="1" applyBorder="1" applyAlignment="1" applyProtection="1">
      <alignment horizontal="left" vertical="center" shrinkToFit="1"/>
      <protection locked="0"/>
    </xf>
    <xf numFmtId="0" fontId="94" fillId="4" borderId="17" xfId="0" applyFont="1" applyFill="1" applyBorder="1" applyAlignment="1" applyProtection="1">
      <alignment horizontal="center" vertical="center" shrinkToFit="1"/>
      <protection locked="0"/>
    </xf>
    <xf numFmtId="0" fontId="94" fillId="4" borderId="56" xfId="0" applyFont="1" applyFill="1" applyBorder="1" applyAlignment="1">
      <alignment horizontal="center" vertical="center" shrinkToFit="1"/>
    </xf>
    <xf numFmtId="0" fontId="94" fillId="4" borderId="55" xfId="0" applyFont="1" applyFill="1" applyBorder="1" applyAlignment="1">
      <alignment horizontal="center" vertical="center" shrinkToFit="1"/>
    </xf>
    <xf numFmtId="0" fontId="94" fillId="4" borderId="78" xfId="0" applyFont="1" applyFill="1" applyBorder="1" applyAlignment="1">
      <alignment horizontal="center" vertical="center" shrinkToFit="1"/>
    </xf>
    <xf numFmtId="0" fontId="94" fillId="0" borderId="74" xfId="0" applyFont="1" applyBorder="1" applyAlignment="1">
      <alignment horizontal="center" vertical="center" shrinkToFit="1"/>
    </xf>
    <xf numFmtId="0" fontId="94" fillId="0" borderId="55" xfId="0" applyFont="1" applyBorder="1" applyAlignment="1">
      <alignment horizontal="center" vertical="center" shrinkToFit="1"/>
    </xf>
    <xf numFmtId="0" fontId="94" fillId="0" borderId="78" xfId="0" applyFont="1" applyBorder="1" applyAlignment="1">
      <alignment horizontal="center" vertical="center" shrinkToFit="1"/>
    </xf>
    <xf numFmtId="0" fontId="101" fillId="0" borderId="56" xfId="0" applyFont="1" applyBorder="1" applyAlignment="1">
      <alignment horizontal="center" vertical="center" shrinkToFit="1"/>
    </xf>
    <xf numFmtId="0" fontId="101" fillId="0" borderId="17" xfId="0" applyFont="1" applyBorder="1" applyAlignment="1">
      <alignment horizontal="center" vertical="center" shrinkToFit="1"/>
    </xf>
    <xf numFmtId="0" fontId="101" fillId="0" borderId="55" xfId="0" applyFont="1" applyBorder="1" applyAlignment="1">
      <alignment horizontal="center" vertical="center" shrinkToFit="1"/>
    </xf>
    <xf numFmtId="0" fontId="94" fillId="0" borderId="56" xfId="0" applyFont="1" applyBorder="1" applyAlignment="1">
      <alignment horizontal="center" vertical="center" shrinkToFit="1"/>
    </xf>
    <xf numFmtId="0" fontId="94" fillId="0" borderId="17" xfId="0" applyFont="1" applyBorder="1" applyAlignment="1">
      <alignment horizontal="center" vertical="center" shrinkToFit="1"/>
    </xf>
    <xf numFmtId="0" fontId="94" fillId="0" borderId="56" xfId="0" applyFont="1" applyBorder="1" applyAlignment="1">
      <alignment horizontal="center" vertical="center" wrapText="1" shrinkToFit="1"/>
    </xf>
    <xf numFmtId="0" fontId="94" fillId="0" borderId="17" xfId="0" applyFont="1" applyBorder="1" applyAlignment="1">
      <alignment horizontal="center" vertical="center" wrapText="1" shrinkToFit="1"/>
    </xf>
    <xf numFmtId="0" fontId="94" fillId="0" borderId="55" xfId="0" applyFont="1" applyBorder="1" applyAlignment="1">
      <alignment horizontal="center" vertical="center" wrapText="1" shrinkToFit="1"/>
    </xf>
    <xf numFmtId="0" fontId="94" fillId="4" borderId="107" xfId="0" applyFont="1" applyFill="1" applyBorder="1" applyAlignment="1">
      <alignment horizontal="center" vertical="center" shrinkToFit="1"/>
    </xf>
    <xf numFmtId="0" fontId="94" fillId="4" borderId="73" xfId="0" applyFont="1" applyFill="1" applyBorder="1" applyAlignment="1">
      <alignment horizontal="center" vertical="center" shrinkToFit="1"/>
    </xf>
    <xf numFmtId="0" fontId="94" fillId="4" borderId="16" xfId="0" applyFont="1" applyFill="1" applyBorder="1" applyAlignment="1">
      <alignment horizontal="center" vertical="center" shrinkToFit="1"/>
    </xf>
    <xf numFmtId="0" fontId="94" fillId="0" borderId="69" xfId="0" applyFont="1" applyBorder="1" applyAlignment="1">
      <alignment horizontal="center" vertical="center" shrinkToFit="1"/>
    </xf>
    <xf numFmtId="0" fontId="94" fillId="0" borderId="73" xfId="0" applyFont="1" applyBorder="1" applyAlignment="1">
      <alignment horizontal="center" vertical="center" shrinkToFit="1"/>
    </xf>
    <xf numFmtId="0" fontId="94" fillId="4" borderId="135" xfId="0" applyFont="1" applyFill="1" applyBorder="1" applyAlignment="1" applyProtection="1">
      <alignment horizontal="center" vertical="center" shrinkToFit="1"/>
      <protection locked="0"/>
    </xf>
    <xf numFmtId="0" fontId="94" fillId="4" borderId="134" xfId="0" applyFont="1" applyFill="1" applyBorder="1" applyAlignment="1" applyProtection="1">
      <alignment horizontal="center" vertical="center" shrinkToFit="1"/>
      <protection locked="0"/>
    </xf>
    <xf numFmtId="0" fontId="94" fillId="4" borderId="66" xfId="0" applyFont="1" applyFill="1" applyBorder="1" applyAlignment="1" applyProtection="1">
      <alignment horizontal="center" vertical="center" shrinkToFit="1"/>
      <protection locked="0"/>
    </xf>
    <xf numFmtId="0" fontId="94" fillId="0" borderId="259" xfId="0" applyFont="1" applyBorder="1" applyAlignment="1">
      <alignment horizontal="center" vertical="center" shrinkToFit="1"/>
    </xf>
    <xf numFmtId="0" fontId="94" fillId="0" borderId="66" xfId="0" applyFont="1" applyBorder="1" applyAlignment="1">
      <alignment horizontal="center" vertical="center" shrinkToFit="1"/>
    </xf>
    <xf numFmtId="0" fontId="94" fillId="4" borderId="107" xfId="0" applyFont="1" applyFill="1" applyBorder="1" applyAlignment="1" applyProtection="1">
      <alignment horizontal="left" vertical="center" shrinkToFit="1"/>
      <protection locked="0"/>
    </xf>
    <xf numFmtId="0" fontId="94" fillId="4" borderId="77" xfId="0" applyFont="1" applyFill="1" applyBorder="1" applyAlignment="1" applyProtection="1">
      <alignment horizontal="left" vertical="center" shrinkToFit="1"/>
      <protection locked="0"/>
    </xf>
    <xf numFmtId="0" fontId="94" fillId="4" borderId="16" xfId="0" applyFont="1" applyFill="1" applyBorder="1" applyAlignment="1" applyProtection="1">
      <alignment horizontal="left" vertical="center" shrinkToFit="1"/>
      <protection locked="0"/>
    </xf>
    <xf numFmtId="0" fontId="101" fillId="0" borderId="107" xfId="0" applyFont="1" applyBorder="1" applyAlignment="1">
      <alignment horizontal="center" vertical="center" shrinkToFit="1"/>
    </xf>
    <xf numFmtId="0" fontId="101" fillId="0" borderId="77" xfId="0" applyFont="1" applyBorder="1" applyAlignment="1">
      <alignment horizontal="center" vertical="center" shrinkToFit="1"/>
    </xf>
    <xf numFmtId="0" fontId="101" fillId="0" borderId="73" xfId="0" applyFont="1" applyBorder="1" applyAlignment="1">
      <alignment horizontal="center" vertical="center" shrinkToFit="1"/>
    </xf>
    <xf numFmtId="0" fontId="94" fillId="0" borderId="107" xfId="0" applyFont="1" applyBorder="1" applyAlignment="1">
      <alignment horizontal="center" vertical="center" shrinkToFit="1"/>
    </xf>
    <xf numFmtId="0" fontId="72" fillId="0" borderId="107" xfId="0" applyFont="1" applyBorder="1" applyAlignment="1">
      <alignment horizontal="center" vertical="center" wrapText="1" shrinkToFit="1"/>
    </xf>
    <xf numFmtId="0" fontId="72" fillId="0" borderId="77" xfId="0" applyFont="1" applyBorder="1" applyAlignment="1">
      <alignment horizontal="center" vertical="center" wrapText="1" shrinkToFit="1"/>
    </xf>
    <xf numFmtId="0" fontId="72" fillId="0" borderId="73" xfId="0" applyFont="1" applyBorder="1" applyAlignment="1">
      <alignment horizontal="center" vertical="center" wrapText="1" shrinkToFit="1"/>
    </xf>
    <xf numFmtId="0" fontId="93" fillId="0" borderId="0" xfId="0" applyFont="1" applyAlignment="1">
      <alignment horizontal="center" vertical="center"/>
    </xf>
    <xf numFmtId="0" fontId="93" fillId="0" borderId="63" xfId="0" applyFont="1" applyBorder="1" applyAlignment="1">
      <alignment horizontal="center" vertical="center"/>
    </xf>
    <xf numFmtId="178" fontId="90" fillId="0" borderId="63" xfId="0" applyNumberFormat="1" applyFont="1" applyBorder="1" applyAlignment="1">
      <alignment horizontal="center" vertical="center"/>
    </xf>
    <xf numFmtId="0" fontId="89" fillId="0" borderId="0" xfId="0" applyFont="1" applyAlignment="1">
      <alignment horizontal="left" vertical="center"/>
    </xf>
    <xf numFmtId="178" fontId="102" fillId="0" borderId="0" xfId="0" applyNumberFormat="1" applyFont="1" applyAlignment="1">
      <alignment horizontal="center" vertical="center"/>
    </xf>
    <xf numFmtId="178" fontId="102" fillId="0" borderId="63" xfId="0" applyNumberFormat="1" applyFont="1" applyBorder="1" applyAlignment="1">
      <alignment horizontal="center" vertical="center"/>
    </xf>
    <xf numFmtId="0" fontId="67" fillId="0" borderId="34" xfId="0" applyFont="1" applyBorder="1" applyAlignment="1">
      <alignment horizontal="center" vertical="center" textRotation="255" shrinkToFit="1"/>
    </xf>
    <xf numFmtId="0" fontId="67" fillId="0" borderId="38" xfId="0" applyFont="1" applyBorder="1" applyAlignment="1">
      <alignment horizontal="center" vertical="center" textRotation="255" shrinkToFit="1"/>
    </xf>
    <xf numFmtId="0" fontId="67" fillId="0" borderId="130" xfId="0" applyFont="1" applyBorder="1" applyAlignment="1">
      <alignment horizontal="center" vertical="center" textRotation="255" shrinkToFit="1"/>
    </xf>
    <xf numFmtId="0" fontId="67" fillId="0" borderId="56" xfId="0" applyFont="1" applyBorder="1" applyAlignment="1">
      <alignment horizontal="center" vertical="center" shrinkToFit="1"/>
    </xf>
    <xf numFmtId="0" fontId="67" fillId="0" borderId="17" xfId="0" applyFont="1" applyBorder="1" applyAlignment="1">
      <alignment horizontal="center" vertical="center" shrinkToFit="1"/>
    </xf>
    <xf numFmtId="0" fontId="67" fillId="0" borderId="55" xfId="0" applyFont="1" applyBorder="1" applyAlignment="1">
      <alignment horizontal="center" vertical="center" shrinkToFit="1"/>
    </xf>
    <xf numFmtId="0" fontId="67" fillId="0" borderId="15" xfId="0" applyFont="1" applyBorder="1" applyAlignment="1">
      <alignment horizontal="center" vertical="center" shrinkToFit="1"/>
    </xf>
    <xf numFmtId="0" fontId="67" fillId="0" borderId="10" xfId="0" applyFont="1" applyBorder="1" applyAlignment="1">
      <alignment horizontal="center" vertical="center" shrinkToFit="1"/>
    </xf>
    <xf numFmtId="0" fontId="67" fillId="0" borderId="13" xfId="0" applyFont="1" applyBorder="1" applyAlignment="1">
      <alignment horizontal="center" vertical="center" shrinkToFit="1"/>
    </xf>
    <xf numFmtId="0" fontId="67" fillId="0" borderId="0" xfId="0" applyFont="1" applyAlignment="1">
      <alignment horizontal="center" vertical="center" shrinkToFit="1"/>
    </xf>
    <xf numFmtId="0" fontId="67" fillId="0" borderId="128" xfId="0" applyFont="1" applyBorder="1" applyAlignment="1">
      <alignment horizontal="center" vertical="center" shrinkToFit="1"/>
    </xf>
    <xf numFmtId="0" fontId="67" fillId="0" borderId="63" xfId="0" applyFont="1" applyBorder="1" applyAlignment="1">
      <alignment horizontal="center" vertical="center" shrinkToFit="1"/>
    </xf>
    <xf numFmtId="0" fontId="13" fillId="0" borderId="2" xfId="0" applyFont="1" applyBorder="1">
      <alignment vertical="center"/>
    </xf>
    <xf numFmtId="0" fontId="24" fillId="0" borderId="0" xfId="0" applyFont="1">
      <alignment vertical="center"/>
    </xf>
    <xf numFmtId="0" fontId="67" fillId="0" borderId="15" xfId="0" applyFont="1" applyBorder="1" applyAlignment="1">
      <alignment horizontal="center" vertical="center" wrapText="1" shrinkToFit="1"/>
    </xf>
    <xf numFmtId="0" fontId="67" fillId="0" borderId="14" xfId="0" applyFont="1" applyBorder="1" applyAlignment="1">
      <alignment horizontal="center" vertical="center" wrapText="1" shrinkToFit="1"/>
    </xf>
    <xf numFmtId="0" fontId="67" fillId="0" borderId="128" xfId="0" applyFont="1" applyBorder="1" applyAlignment="1">
      <alignment horizontal="center" vertical="center" wrapText="1" shrinkToFit="1"/>
    </xf>
    <xf numFmtId="0" fontId="67" fillId="0" borderId="129" xfId="0" applyFont="1" applyBorder="1" applyAlignment="1">
      <alignment horizontal="center" vertical="center" wrapText="1" shrinkToFit="1"/>
    </xf>
    <xf numFmtId="0" fontId="67" fillId="0" borderId="21" xfId="0" applyFont="1" applyBorder="1" applyAlignment="1">
      <alignment horizontal="center" vertical="center" shrinkToFit="1"/>
    </xf>
    <xf numFmtId="0" fontId="67" fillId="0" borderId="80" xfId="0" applyFont="1" applyBorder="1" applyAlignment="1">
      <alignment horizontal="center" vertical="center" shrinkToFit="1"/>
    </xf>
    <xf numFmtId="0" fontId="67" fillId="0" borderId="12" xfId="0" applyFont="1" applyBorder="1" applyAlignment="1">
      <alignment horizontal="center" vertical="center" textRotation="255" shrinkToFit="1"/>
    </xf>
    <xf numFmtId="0" fontId="67" fillId="0" borderId="129" xfId="0" applyFont="1" applyBorder="1" applyAlignment="1">
      <alignment horizontal="center" vertical="center" textRotation="255" shrinkToFit="1"/>
    </xf>
    <xf numFmtId="0" fontId="67" fillId="0" borderId="14" xfId="0" applyFont="1" applyBorder="1" applyAlignment="1">
      <alignment horizontal="center" vertical="center" shrinkToFit="1"/>
    </xf>
    <xf numFmtId="0" fontId="67" fillId="0" borderId="12" xfId="0" applyFont="1" applyBorder="1" applyAlignment="1">
      <alignment horizontal="center" vertical="center" shrinkToFit="1"/>
    </xf>
    <xf numFmtId="0" fontId="75" fillId="0" borderId="13" xfId="0" applyFont="1" applyBorder="1" applyAlignment="1">
      <alignment horizontal="center" vertical="center"/>
    </xf>
    <xf numFmtId="178" fontId="102" fillId="0" borderId="0" xfId="0" applyNumberFormat="1" applyFont="1" applyAlignment="1">
      <alignment horizontal="center" vertical="center" shrinkToFit="1"/>
    </xf>
    <xf numFmtId="178" fontId="102" fillId="0" borderId="63" xfId="0" applyNumberFormat="1" applyFont="1" applyBorder="1" applyAlignment="1">
      <alignment horizontal="center" vertical="center" shrinkToFit="1"/>
    </xf>
    <xf numFmtId="0" fontId="12" fillId="0" borderId="0" xfId="0" applyFont="1" applyAlignment="1">
      <alignment horizontal="center" vertical="center"/>
    </xf>
    <xf numFmtId="0" fontId="69" fillId="0" borderId="63" xfId="0" applyFont="1" applyBorder="1" applyAlignment="1">
      <alignment horizontal="center" vertical="center"/>
    </xf>
    <xf numFmtId="0" fontId="69" fillId="0" borderId="0" xfId="0" applyFont="1" applyAlignment="1">
      <alignment horizontal="center" vertical="center"/>
    </xf>
    <xf numFmtId="0" fontId="67" fillId="0" borderId="63" xfId="0" applyFont="1" applyBorder="1" applyAlignment="1">
      <alignment horizontal="center" vertical="center"/>
    </xf>
    <xf numFmtId="0" fontId="93" fillId="0" borderId="65" xfId="0" applyFont="1" applyBorder="1" applyAlignment="1">
      <alignment horizontal="center" vertical="center"/>
    </xf>
    <xf numFmtId="0" fontId="252" fillId="0" borderId="0" xfId="0" applyFont="1" applyAlignment="1">
      <alignment horizontal="center" vertical="center"/>
    </xf>
    <xf numFmtId="0" fontId="252" fillId="0" borderId="63" xfId="0" applyFont="1" applyBorder="1" applyAlignment="1">
      <alignment horizontal="center" vertical="center"/>
    </xf>
    <xf numFmtId="178" fontId="102" fillId="0" borderId="65" xfId="0" applyNumberFormat="1" applyFont="1" applyBorder="1" applyAlignment="1">
      <alignment horizontal="center" vertical="center"/>
    </xf>
    <xf numFmtId="0" fontId="67" fillId="0" borderId="264" xfId="0" applyFont="1" applyBorder="1" applyAlignment="1">
      <alignment horizontal="left" vertical="center" wrapText="1"/>
    </xf>
    <xf numFmtId="0" fontId="67" fillId="0" borderId="0" xfId="0" applyFont="1" applyAlignment="1">
      <alignment horizontal="left" vertical="center" wrapText="1"/>
    </xf>
    <xf numFmtId="0" fontId="67" fillId="0" borderId="9" xfId="0" applyFont="1" applyBorder="1" applyAlignment="1">
      <alignment horizontal="left" vertical="center" wrapText="1"/>
    </xf>
    <xf numFmtId="0" fontId="24" fillId="0" borderId="0" xfId="0" applyFont="1" applyAlignment="1">
      <alignment horizontal="left" vertical="center" wrapText="1"/>
    </xf>
    <xf numFmtId="0" fontId="73" fillId="7" borderId="10" xfId="0" applyFont="1" applyFill="1" applyBorder="1" applyAlignment="1">
      <alignment horizontal="center" vertical="center"/>
    </xf>
    <xf numFmtId="0" fontId="73" fillId="7" borderId="14" xfId="0" applyFont="1" applyFill="1" applyBorder="1" applyAlignment="1">
      <alignment horizontal="center" vertical="center"/>
    </xf>
    <xf numFmtId="0" fontId="73" fillId="7" borderId="2" xfId="0" applyFont="1" applyFill="1" applyBorder="1" applyAlignment="1">
      <alignment horizontal="center" vertical="center"/>
    </xf>
    <xf numFmtId="0" fontId="73" fillId="7" borderId="3" xfId="0" applyFont="1" applyFill="1" applyBorder="1" applyAlignment="1">
      <alignment horizontal="center" vertical="center"/>
    </xf>
    <xf numFmtId="0" fontId="67" fillId="0" borderId="69" xfId="0" applyFont="1" applyBorder="1" applyAlignment="1">
      <alignment horizontal="center" vertical="center" shrinkToFit="1"/>
    </xf>
    <xf numFmtId="0" fontId="67" fillId="0" borderId="16" xfId="0" applyFont="1" applyBorder="1" applyAlignment="1">
      <alignment horizontal="center" vertical="center" shrinkToFit="1"/>
    </xf>
    <xf numFmtId="0" fontId="24" fillId="0" borderId="0" xfId="0" applyFont="1" applyAlignment="1">
      <alignment vertical="center" wrapText="1"/>
    </xf>
    <xf numFmtId="0" fontId="65" fillId="0" borderId="0" xfId="0" applyFont="1" applyAlignment="1">
      <alignment horizontal="left" vertical="center"/>
    </xf>
    <xf numFmtId="0" fontId="75" fillId="0" borderId="15" xfId="0" applyFont="1" applyBorder="1" applyAlignment="1">
      <alignment horizontal="center" vertical="center" wrapText="1"/>
    </xf>
    <xf numFmtId="0" fontId="75" fillId="0" borderId="10"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71" xfId="0" applyFont="1" applyBorder="1" applyAlignment="1">
      <alignment horizontal="center" vertical="center"/>
    </xf>
    <xf numFmtId="0" fontId="75" fillId="0" borderId="72" xfId="0" applyFont="1" applyBorder="1" applyAlignment="1">
      <alignment horizontal="center" vertical="center"/>
    </xf>
    <xf numFmtId="0" fontId="67" fillId="0" borderId="70" xfId="0" applyFont="1" applyBorder="1" applyAlignment="1">
      <alignment horizontal="center" vertical="center" shrinkToFit="1"/>
    </xf>
    <xf numFmtId="0" fontId="67" fillId="0" borderId="18" xfId="0" applyFont="1" applyBorder="1" applyAlignment="1">
      <alignment horizontal="center" vertical="center" shrinkToFit="1"/>
    </xf>
    <xf numFmtId="0" fontId="71" fillId="0" borderId="0" xfId="0" applyFont="1" applyAlignment="1">
      <alignment horizontal="center" vertical="center"/>
    </xf>
    <xf numFmtId="0" fontId="70" fillId="0" borderId="0" xfId="0" applyFont="1" applyAlignment="1">
      <alignment horizontal="left" vertical="center"/>
    </xf>
    <xf numFmtId="0" fontId="67" fillId="0" borderId="328" xfId="0" applyFont="1" applyBorder="1" applyAlignment="1">
      <alignment horizontal="center" vertical="center" textRotation="255" shrinkToFit="1"/>
    </xf>
    <xf numFmtId="0" fontId="67" fillId="0" borderId="327" xfId="0" applyFont="1" applyBorder="1" applyAlignment="1">
      <alignment horizontal="center" vertical="center" textRotation="255" shrinkToFit="1"/>
    </xf>
    <xf numFmtId="0" fontId="41" fillId="0" borderId="65" xfId="0" applyFont="1" applyBorder="1" applyAlignment="1">
      <alignment horizontal="center" vertical="center" shrinkToFit="1"/>
    </xf>
    <xf numFmtId="0" fontId="41" fillId="0" borderId="63"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135" xfId="0" applyBorder="1" applyAlignment="1">
      <alignment horizontal="center" vertical="center" shrinkToFit="1"/>
    </xf>
    <xf numFmtId="0" fontId="0" fillId="0" borderId="65" xfId="0" applyBorder="1" applyAlignment="1">
      <alignment horizontal="center" vertical="center" shrinkToFit="1"/>
    </xf>
    <xf numFmtId="0" fontId="0" fillId="0" borderId="128" xfId="0" applyBorder="1" applyAlignment="1">
      <alignment horizontal="center" vertical="center" shrinkToFit="1"/>
    </xf>
    <xf numFmtId="0" fontId="0" fillId="0" borderId="63" xfId="0" applyBorder="1" applyAlignment="1">
      <alignment horizontal="center" vertical="center" shrinkToFit="1"/>
    </xf>
    <xf numFmtId="0" fontId="41" fillId="0" borderId="65" xfId="0" applyFont="1" applyBorder="1" applyAlignment="1" applyProtection="1">
      <alignment horizontal="center" vertical="center" shrinkToFit="1"/>
      <protection locked="0"/>
    </xf>
    <xf numFmtId="0" fontId="41" fillId="0" borderId="63" xfId="0" applyFont="1"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0" fillId="0" borderId="135" xfId="0" applyBorder="1" applyAlignment="1" applyProtection="1">
      <alignment horizontal="right" vertical="center" shrinkToFit="1"/>
      <protection locked="0"/>
    </xf>
    <xf numFmtId="0" fontId="0" fillId="0" borderId="128" xfId="0" applyBorder="1" applyAlignment="1" applyProtection="1">
      <alignment horizontal="right" vertical="center" shrinkToFit="1"/>
      <protection locked="0"/>
    </xf>
    <xf numFmtId="0" fontId="94" fillId="4" borderId="65" xfId="0" applyFont="1" applyFill="1" applyBorder="1" applyAlignment="1" applyProtection="1">
      <alignment horizontal="center" vertical="center" shrinkToFit="1"/>
      <protection locked="0"/>
    </xf>
    <xf numFmtId="0" fontId="67" fillId="0" borderId="129" xfId="0" applyFont="1" applyBorder="1" applyAlignment="1">
      <alignment horizontal="center" vertical="center" shrinkToFit="1"/>
    </xf>
    <xf numFmtId="0" fontId="94" fillId="4" borderId="326" xfId="0" applyFont="1" applyFill="1" applyBorder="1" applyAlignment="1" applyProtection="1">
      <alignment horizontal="center" vertical="center" shrinkToFit="1"/>
      <protection locked="0"/>
    </xf>
    <xf numFmtId="0" fontId="67" fillId="0" borderId="259" xfId="0" applyFont="1" applyBorder="1" applyAlignment="1">
      <alignment horizontal="center" vertical="center" wrapText="1" shrinkToFit="1"/>
    </xf>
    <xf numFmtId="0" fontId="67" fillId="0" borderId="66" xfId="0" applyFont="1" applyBorder="1" applyAlignment="1">
      <alignment horizontal="center" vertical="center" wrapText="1" shrinkToFit="1"/>
    </xf>
    <xf numFmtId="0" fontId="67" fillId="0" borderId="79" xfId="0" applyFont="1" applyBorder="1" applyAlignment="1">
      <alignment horizontal="center" vertical="center" wrapText="1" shrinkToFit="1"/>
    </xf>
    <xf numFmtId="0" fontId="67" fillId="0" borderId="67" xfId="0" applyFont="1" applyBorder="1" applyAlignment="1">
      <alignment horizontal="center" vertical="center" wrapText="1" shrinkToFit="1"/>
    </xf>
    <xf numFmtId="0" fontId="67" fillId="0" borderId="10" xfId="0" applyFont="1" applyBorder="1" applyAlignment="1">
      <alignment horizontal="center" vertical="center" wrapText="1" shrinkToFit="1"/>
    </xf>
    <xf numFmtId="0" fontId="67" fillId="0" borderId="63" xfId="0" applyFont="1" applyBorder="1" applyAlignment="1">
      <alignment horizontal="center" vertical="center" wrapText="1" shrinkToFit="1"/>
    </xf>
    <xf numFmtId="0" fontId="94" fillId="4" borderId="39" xfId="0" applyFont="1" applyFill="1" applyBorder="1" applyAlignment="1" applyProtection="1">
      <alignment horizontal="center" vertical="center" shrinkToFit="1"/>
      <protection locked="0"/>
    </xf>
    <xf numFmtId="0" fontId="17" fillId="0" borderId="259"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7" xfId="0" applyFont="1" applyBorder="1" applyAlignment="1">
      <alignment horizontal="center" vertical="center" wrapText="1"/>
    </xf>
    <xf numFmtId="14" fontId="17" fillId="0" borderId="259" xfId="0" applyNumberFormat="1" applyFont="1" applyBorder="1" applyAlignment="1" applyProtection="1">
      <alignment horizontal="center" vertical="center"/>
      <protection locked="0"/>
    </xf>
    <xf numFmtId="14" fontId="17" fillId="0" borderId="65" xfId="0" applyNumberFormat="1" applyFont="1" applyBorder="1" applyAlignment="1" applyProtection="1">
      <alignment horizontal="center" vertical="center"/>
      <protection locked="0"/>
    </xf>
    <xf numFmtId="14" fontId="17" fillId="0" borderId="66" xfId="0" applyNumberFormat="1" applyFont="1" applyBorder="1" applyAlignment="1" applyProtection="1">
      <alignment horizontal="center" vertical="center"/>
      <protection locked="0"/>
    </xf>
    <xf numFmtId="14" fontId="17" fillId="0" borderId="79" xfId="0" applyNumberFormat="1" applyFont="1" applyBorder="1" applyAlignment="1" applyProtection="1">
      <alignment horizontal="center" vertical="center"/>
      <protection locked="0"/>
    </xf>
    <xf numFmtId="14" fontId="17" fillId="0" borderId="63" xfId="0" applyNumberFormat="1" applyFont="1" applyBorder="1" applyAlignment="1" applyProtection="1">
      <alignment horizontal="center" vertical="center"/>
      <protection locked="0"/>
    </xf>
    <xf numFmtId="14" fontId="17" fillId="0" borderId="67" xfId="0" applyNumberFormat="1" applyFont="1" applyBorder="1" applyAlignment="1" applyProtection="1">
      <alignment horizontal="center" vertical="center"/>
      <protection locked="0"/>
    </xf>
    <xf numFmtId="0" fontId="94" fillId="4" borderId="11" xfId="0" applyFont="1" applyFill="1" applyBorder="1" applyAlignment="1" applyProtection="1">
      <alignment horizontal="center" vertical="center" shrinkToFit="1"/>
      <protection locked="0"/>
    </xf>
    <xf numFmtId="0" fontId="94" fillId="4" borderId="2" xfId="0" applyFont="1" applyFill="1" applyBorder="1" applyAlignment="1" applyProtection="1">
      <alignment horizontal="center" vertical="center" shrinkToFit="1"/>
      <protection locked="0"/>
    </xf>
    <xf numFmtId="0" fontId="94" fillId="4" borderId="3" xfId="0" applyFont="1" applyFill="1" applyBorder="1" applyAlignment="1" applyProtection="1">
      <alignment horizontal="center" vertical="center" shrinkToFit="1"/>
      <protection locked="0"/>
    </xf>
    <xf numFmtId="178" fontId="95" fillId="0" borderId="10" xfId="0" applyNumberFormat="1" applyFont="1" applyBorder="1" applyAlignment="1">
      <alignment horizontal="center" vertical="center" shrinkToFit="1"/>
    </xf>
    <xf numFmtId="178" fontId="95" fillId="0" borderId="2" xfId="0" applyNumberFormat="1" applyFont="1" applyBorder="1" applyAlignment="1">
      <alignment horizontal="center" vertical="center" shrinkToFit="1"/>
    </xf>
    <xf numFmtId="0" fontId="164" fillId="0" borderId="0" xfId="0" applyFont="1" applyAlignment="1">
      <alignment horizontal="center" vertical="center"/>
    </xf>
    <xf numFmtId="49" fontId="95" fillId="0" borderId="0" xfId="0" applyNumberFormat="1" applyFont="1" applyAlignment="1">
      <alignment horizontal="center"/>
    </xf>
    <xf numFmtId="177" fontId="67" fillId="0" borderId="15" xfId="0" applyNumberFormat="1" applyFont="1" applyBorder="1" applyAlignment="1">
      <alignment horizontal="center" vertical="center"/>
    </xf>
    <xf numFmtId="177" fontId="67" fillId="0" borderId="10" xfId="0" applyNumberFormat="1" applyFont="1" applyBorder="1" applyAlignment="1">
      <alignment horizontal="center" vertical="center"/>
    </xf>
    <xf numFmtId="177" fontId="67" fillId="0" borderId="145" xfId="0" applyNumberFormat="1" applyFont="1" applyBorder="1" applyAlignment="1">
      <alignment horizontal="center" vertical="center"/>
    </xf>
    <xf numFmtId="177" fontId="67" fillId="0" borderId="11" xfId="0" applyNumberFormat="1" applyFont="1" applyBorder="1" applyAlignment="1">
      <alignment horizontal="center" vertical="center"/>
    </xf>
    <xf numFmtId="177" fontId="67" fillId="0" borderId="2" xfId="0" applyNumberFormat="1" applyFont="1" applyBorder="1" applyAlignment="1">
      <alignment horizontal="center" vertical="center"/>
    </xf>
    <xf numFmtId="177" fontId="67" fillId="0" borderId="144" xfId="0" applyNumberFormat="1" applyFont="1" applyBorder="1" applyAlignment="1">
      <alignment horizontal="center" vertical="center"/>
    </xf>
    <xf numFmtId="177" fontId="67" fillId="0" borderId="13" xfId="0" applyNumberFormat="1" applyFont="1" applyBorder="1" applyAlignment="1">
      <alignment horizontal="center" vertical="center" textRotation="255"/>
    </xf>
    <xf numFmtId="177" fontId="67" fillId="0" borderId="0" xfId="0" applyNumberFormat="1" applyFont="1" applyAlignment="1">
      <alignment horizontal="center" vertical="center" textRotation="255"/>
    </xf>
    <xf numFmtId="177" fontId="67" fillId="0" borderId="143" xfId="0" applyNumberFormat="1" applyFont="1" applyBorder="1" applyAlignment="1">
      <alignment horizontal="center" vertical="center" textRotation="255"/>
    </xf>
    <xf numFmtId="177" fontId="67" fillId="0" borderId="11" xfId="0" applyNumberFormat="1" applyFont="1" applyBorder="1" applyAlignment="1">
      <alignment horizontal="center" vertical="center" textRotation="255"/>
    </xf>
    <xf numFmtId="177" fontId="67" fillId="0" borderId="2" xfId="0" applyNumberFormat="1" applyFont="1" applyBorder="1" applyAlignment="1">
      <alignment horizontal="center" vertical="center" textRotation="255"/>
    </xf>
    <xf numFmtId="177" fontId="67" fillId="0" borderId="144" xfId="0" applyNumberFormat="1" applyFont="1" applyBorder="1" applyAlignment="1">
      <alignment horizontal="center" vertical="center" textRotation="255"/>
    </xf>
    <xf numFmtId="0" fontId="101" fillId="17" borderId="56" xfId="0" applyFont="1" applyFill="1" applyBorder="1" applyAlignment="1" applyProtection="1">
      <alignment horizontal="center" vertical="center"/>
      <protection locked="0"/>
    </xf>
    <xf numFmtId="0" fontId="101" fillId="17" borderId="17" xfId="0" applyFont="1" applyFill="1" applyBorder="1" applyAlignment="1" applyProtection="1">
      <alignment horizontal="center" vertical="center"/>
      <protection locked="0"/>
    </xf>
    <xf numFmtId="0" fontId="101" fillId="17" borderId="146" xfId="0" applyFont="1" applyFill="1" applyBorder="1" applyAlignment="1" applyProtection="1">
      <alignment horizontal="center" vertical="center"/>
      <protection locked="0"/>
    </xf>
    <xf numFmtId="0" fontId="101" fillId="0" borderId="56" xfId="0" applyFont="1" applyBorder="1" applyAlignment="1" applyProtection="1">
      <alignment horizontal="center" vertical="center"/>
      <protection locked="0"/>
    </xf>
    <xf numFmtId="0" fontId="101" fillId="0" borderId="17" xfId="0" applyFont="1" applyBorder="1" applyAlignment="1" applyProtection="1">
      <alignment horizontal="center" vertical="center"/>
      <protection locked="0"/>
    </xf>
    <xf numFmtId="0" fontId="101" fillId="0" borderId="146" xfId="0" applyFont="1" applyBorder="1" applyAlignment="1" applyProtection="1">
      <alignment horizontal="center" vertical="center"/>
      <protection locked="0"/>
    </xf>
    <xf numFmtId="0" fontId="95" fillId="0" borderId="62" xfId="0" applyFont="1" applyBorder="1" applyAlignment="1">
      <alignment horizontal="center"/>
    </xf>
    <xf numFmtId="0" fontId="95" fillId="0" borderId="85" xfId="0" applyFont="1" applyBorder="1" applyAlignment="1">
      <alignment horizontal="center"/>
    </xf>
    <xf numFmtId="181" fontId="67" fillId="0" borderId="39" xfId="0" applyNumberFormat="1" applyFont="1" applyBorder="1" applyAlignment="1">
      <alignment horizontal="center" vertical="center"/>
    </xf>
    <xf numFmtId="49" fontId="89" fillId="3" borderId="97" xfId="0" applyNumberFormat="1" applyFont="1" applyFill="1" applyBorder="1" applyAlignment="1">
      <alignment horizontal="center" vertical="center"/>
    </xf>
    <xf numFmtId="49" fontId="89" fillId="3" borderId="85" xfId="0" applyNumberFormat="1" applyFont="1" applyFill="1" applyBorder="1" applyAlignment="1">
      <alignment horizontal="center" vertical="center"/>
    </xf>
    <xf numFmtId="49" fontId="89" fillId="3" borderId="151" xfId="0" applyNumberFormat="1" applyFont="1" applyFill="1" applyBorder="1" applyAlignment="1">
      <alignment horizontal="center" vertical="center"/>
    </xf>
    <xf numFmtId="182" fontId="95" fillId="0" borderId="85" xfId="0" applyNumberFormat="1" applyFont="1" applyBorder="1" applyAlignment="1">
      <alignment horizontal="center"/>
    </xf>
    <xf numFmtId="49" fontId="95" fillId="0" borderId="0" xfId="0" applyNumberFormat="1" applyFont="1" applyAlignment="1">
      <alignment horizontal="center" vertical="center"/>
    </xf>
    <xf numFmtId="0" fontId="95" fillId="0" borderId="2" xfId="0" applyFont="1" applyBorder="1" applyAlignment="1">
      <alignment horizontal="center" vertical="center"/>
    </xf>
    <xf numFmtId="0" fontId="97" fillId="0" borderId="65" xfId="0" applyFont="1" applyBorder="1" applyAlignment="1">
      <alignment horizontal="center"/>
    </xf>
    <xf numFmtId="0" fontId="97" fillId="0" borderId="66" xfId="0" applyFont="1" applyBorder="1" applyAlignment="1">
      <alignment horizontal="center"/>
    </xf>
    <xf numFmtId="0" fontId="97" fillId="0" borderId="63" xfId="0" applyFont="1" applyBorder="1" applyAlignment="1">
      <alignment horizontal="center"/>
    </xf>
    <xf numFmtId="0" fontId="97" fillId="0" borderId="67" xfId="0" applyFont="1" applyBorder="1" applyAlignment="1">
      <alignment horizontal="center"/>
    </xf>
    <xf numFmtId="0" fontId="67" fillId="0" borderId="259" xfId="0" applyFont="1" applyBorder="1" applyAlignment="1">
      <alignment horizontal="center" wrapText="1"/>
    </xf>
    <xf numFmtId="0" fontId="67" fillId="0" borderId="65" xfId="0" applyFont="1" applyBorder="1" applyAlignment="1">
      <alignment horizontal="center" wrapText="1"/>
    </xf>
    <xf numFmtId="0" fontId="67" fillId="0" borderId="79" xfId="0" applyFont="1" applyBorder="1" applyAlignment="1">
      <alignment horizontal="center" wrapText="1"/>
    </xf>
    <xf numFmtId="0" fontId="67" fillId="0" borderId="63" xfId="0" applyFont="1" applyBorder="1" applyAlignment="1">
      <alignment horizontal="center" wrapText="1"/>
    </xf>
    <xf numFmtId="181" fontId="67" fillId="0" borderId="21" xfId="0" applyNumberFormat="1" applyFont="1" applyBorder="1" applyAlignment="1">
      <alignment horizontal="center" vertical="center"/>
    </xf>
    <xf numFmtId="0" fontId="67" fillId="0" borderId="233" xfId="0" applyFont="1" applyBorder="1" applyAlignment="1">
      <alignment horizontal="center" vertical="center" wrapText="1"/>
    </xf>
    <xf numFmtId="0" fontId="67" fillId="0" borderId="233" xfId="0" applyFont="1" applyBorder="1" applyAlignment="1">
      <alignment horizontal="center" vertical="center"/>
    </xf>
    <xf numFmtId="0" fontId="86" fillId="0" borderId="259" xfId="0" applyFont="1" applyBorder="1" applyAlignment="1">
      <alignment horizontal="center" wrapText="1"/>
    </xf>
    <xf numFmtId="0" fontId="86" fillId="0" borderId="65" xfId="0" applyFont="1" applyBorder="1" applyAlignment="1">
      <alignment horizontal="center" wrapText="1"/>
    </xf>
    <xf numFmtId="0" fontId="86" fillId="0" borderId="79" xfId="0" applyFont="1" applyBorder="1" applyAlignment="1">
      <alignment horizontal="center" wrapText="1"/>
    </xf>
    <xf numFmtId="0" fontId="86" fillId="0" borderId="63" xfId="0" applyFont="1" applyBorder="1" applyAlignment="1">
      <alignment horizontal="center" wrapText="1"/>
    </xf>
    <xf numFmtId="0" fontId="67" fillId="0" borderId="39" xfId="0" applyFont="1" applyBorder="1" applyAlignment="1">
      <alignment horizontal="center" vertical="center"/>
    </xf>
    <xf numFmtId="0" fontId="67" fillId="0" borderId="227" xfId="0" applyFont="1" applyBorder="1" applyAlignment="1">
      <alignment horizontal="center" vertical="center"/>
    </xf>
    <xf numFmtId="181" fontId="67" fillId="0" borderId="3" xfId="0" applyNumberFormat="1" applyFont="1" applyBorder="1" applyAlignment="1">
      <alignment horizontal="center" vertical="center"/>
    </xf>
    <xf numFmtId="181" fontId="67" fillId="0" borderId="55" xfId="0" applyNumberFormat="1" applyFont="1" applyBorder="1" applyAlignment="1">
      <alignment horizontal="center" vertical="center"/>
    </xf>
    <xf numFmtId="49" fontId="101" fillId="0" borderId="56" xfId="0" applyNumberFormat="1" applyFont="1" applyBorder="1" applyAlignment="1" applyProtection="1">
      <alignment horizontal="center" vertical="center" wrapText="1"/>
      <protection locked="0"/>
    </xf>
    <xf numFmtId="49" fontId="101" fillId="0" borderId="17" xfId="0" applyNumberFormat="1" applyFont="1" applyBorder="1" applyAlignment="1" applyProtection="1">
      <alignment horizontal="center" vertical="center" wrapText="1"/>
      <protection locked="0"/>
    </xf>
    <xf numFmtId="49" fontId="101" fillId="0" borderId="55" xfId="0" applyNumberFormat="1" applyFont="1" applyBorder="1" applyAlignment="1" applyProtection="1">
      <alignment horizontal="center" vertical="center" wrapText="1"/>
      <protection locked="0"/>
    </xf>
    <xf numFmtId="0" fontId="98" fillId="0" borderId="65" xfId="0" applyFont="1" applyBorder="1" applyAlignment="1">
      <alignment horizontal="center"/>
    </xf>
    <xf numFmtId="0" fontId="98" fillId="0" borderId="66" xfId="0" applyFont="1" applyBorder="1" applyAlignment="1">
      <alignment horizontal="center"/>
    </xf>
    <xf numFmtId="0" fontId="98" fillId="0" borderId="63" xfId="0" applyFont="1" applyBorder="1" applyAlignment="1">
      <alignment horizontal="center"/>
    </xf>
    <xf numFmtId="0" fontId="98" fillId="0" borderId="67" xfId="0" applyFont="1" applyBorder="1" applyAlignment="1">
      <alignment horizontal="center"/>
    </xf>
    <xf numFmtId="0" fontId="89" fillId="0" borderId="259" xfId="0" applyFont="1" applyBorder="1" applyAlignment="1">
      <alignment horizontal="center" wrapText="1"/>
    </xf>
    <xf numFmtId="0" fontId="89" fillId="0" borderId="65" xfId="0" applyFont="1" applyBorder="1" applyAlignment="1">
      <alignment horizontal="center" wrapText="1"/>
    </xf>
    <xf numFmtId="0" fontId="89" fillId="0" borderId="79" xfId="0" applyFont="1" applyBorder="1" applyAlignment="1">
      <alignment horizontal="center" wrapText="1"/>
    </xf>
    <xf numFmtId="0" fontId="89" fillId="0" borderId="63" xfId="0" applyFont="1" applyBorder="1" applyAlignment="1">
      <alignment horizontal="center" wrapText="1"/>
    </xf>
    <xf numFmtId="0" fontId="67" fillId="0" borderId="21" xfId="0" applyFont="1" applyBorder="1" applyAlignment="1">
      <alignment horizontal="center" vertical="center"/>
    </xf>
    <xf numFmtId="0" fontId="82" fillId="0" borderId="0" xfId="0" applyFont="1" applyAlignment="1">
      <alignment horizontal="center"/>
    </xf>
    <xf numFmtId="0" fontId="86" fillId="0" borderId="62" xfId="0" applyFont="1" applyBorder="1" applyAlignment="1">
      <alignment horizontal="center" vertical="center"/>
    </xf>
    <xf numFmtId="0" fontId="86" fillId="0" borderId="85" xfId="0" applyFont="1" applyBorder="1" applyAlignment="1">
      <alignment horizontal="center" vertical="center"/>
    </xf>
    <xf numFmtId="0" fontId="86" fillId="0" borderId="151" xfId="0" applyFont="1" applyBorder="1" applyAlignment="1">
      <alignment horizontal="center" vertical="center"/>
    </xf>
    <xf numFmtId="0" fontId="89" fillId="3" borderId="62" xfId="0" applyFont="1" applyFill="1" applyBorder="1" applyAlignment="1">
      <alignment horizontal="center" vertical="center"/>
    </xf>
    <xf numFmtId="0" fontId="89" fillId="3" borderId="85" xfId="0" applyFont="1" applyFill="1" applyBorder="1" applyAlignment="1">
      <alignment horizontal="center" vertical="center"/>
    </xf>
    <xf numFmtId="0" fontId="89" fillId="3" borderId="150" xfId="0" applyFont="1" applyFill="1" applyBorder="1" applyAlignment="1">
      <alignment horizontal="center" vertical="center"/>
    </xf>
    <xf numFmtId="0" fontId="95" fillId="0" borderId="63" xfId="0" applyFont="1" applyBorder="1" applyAlignment="1">
      <alignment horizontal="center" vertical="center"/>
    </xf>
    <xf numFmtId="0" fontId="65" fillId="0" borderId="85" xfId="0" applyFont="1" applyBorder="1" applyAlignment="1">
      <alignment horizontal="center"/>
    </xf>
    <xf numFmtId="177" fontId="67" fillId="0" borderId="23" xfId="0" applyNumberFormat="1" applyFont="1" applyBorder="1" applyAlignment="1">
      <alignment horizontal="center" vertical="center" textRotation="255"/>
    </xf>
    <xf numFmtId="0" fontId="76" fillId="0" borderId="63" xfId="0" applyFont="1" applyBorder="1" applyAlignment="1">
      <alignment horizontal="center" vertical="center"/>
    </xf>
    <xf numFmtId="177" fontId="67" fillId="0" borderId="22" xfId="0" applyNumberFormat="1" applyFont="1" applyBorder="1" applyAlignment="1">
      <alignment horizontal="center" vertical="center" textRotation="255"/>
    </xf>
    <xf numFmtId="0" fontId="65" fillId="8" borderId="0" xfId="0" applyFont="1" applyFill="1" applyAlignment="1">
      <alignment horizontal="center" vertical="center"/>
    </xf>
    <xf numFmtId="0" fontId="106" fillId="0" borderId="107" xfId="0" applyFont="1" applyBorder="1" applyAlignment="1">
      <alignment horizontal="left" vertical="center" wrapText="1"/>
    </xf>
    <xf numFmtId="0" fontId="87" fillId="0" borderId="77" xfId="0" applyFont="1" applyBorder="1" applyAlignment="1">
      <alignment horizontal="left" vertical="center" wrapText="1"/>
    </xf>
    <xf numFmtId="0" fontId="87" fillId="0" borderId="73" xfId="0" applyFont="1" applyBorder="1" applyAlignment="1">
      <alignment horizontal="left" vertical="center" wrapText="1"/>
    </xf>
    <xf numFmtId="0" fontId="68" fillId="0" borderId="107" xfId="0" applyFont="1" applyBorder="1" applyAlignment="1">
      <alignment vertical="center" wrapText="1"/>
    </xf>
    <xf numFmtId="0" fontId="87" fillId="0" borderId="77" xfId="0" applyFont="1" applyBorder="1" applyAlignment="1">
      <alignment vertical="center" wrapText="1"/>
    </xf>
    <xf numFmtId="0" fontId="87" fillId="0" borderId="73" xfId="0" applyFont="1" applyBorder="1" applyAlignment="1">
      <alignment vertical="center" wrapText="1"/>
    </xf>
    <xf numFmtId="49" fontId="101" fillId="0" borderId="17" xfId="0" applyNumberFormat="1" applyFont="1" applyBorder="1" applyAlignment="1" applyProtection="1">
      <alignment horizontal="center" vertical="center"/>
      <protection locked="0"/>
    </xf>
    <xf numFmtId="49" fontId="101" fillId="0" borderId="55" xfId="0" applyNumberFormat="1" applyFont="1" applyBorder="1" applyAlignment="1" applyProtection="1">
      <alignment horizontal="center" vertical="center"/>
      <protection locked="0"/>
    </xf>
    <xf numFmtId="0" fontId="106" fillId="0" borderId="107" xfId="0" applyFont="1" applyBorder="1" applyAlignment="1">
      <alignment vertical="center" wrapText="1"/>
    </xf>
    <xf numFmtId="0" fontId="87" fillId="0" borderId="107" xfId="0" applyFont="1" applyBorder="1" applyAlignment="1">
      <alignment vertical="center" wrapText="1"/>
    </xf>
    <xf numFmtId="0" fontId="95" fillId="0" borderId="62" xfId="0" applyFont="1" applyBorder="1" applyAlignment="1">
      <alignment horizontal="center" shrinkToFit="1"/>
    </xf>
    <xf numFmtId="0" fontId="95" fillId="0" borderId="85" xfId="0" applyFont="1" applyBorder="1" applyAlignment="1">
      <alignment horizontal="center" shrinkToFit="1"/>
    </xf>
    <xf numFmtId="182" fontId="95" fillId="0" borderId="85" xfId="0" applyNumberFormat="1" applyFont="1" applyBorder="1" applyAlignment="1">
      <alignment horizontal="center" shrinkToFit="1"/>
    </xf>
    <xf numFmtId="0" fontId="95" fillId="0" borderId="79" xfId="0" applyFont="1" applyBorder="1" applyAlignment="1">
      <alignment horizontal="center"/>
    </xf>
    <xf numFmtId="0" fontId="95" fillId="0" borderId="63" xfId="0" applyFont="1" applyBorder="1" applyAlignment="1">
      <alignment horizontal="center"/>
    </xf>
    <xf numFmtId="0" fontId="65" fillId="0" borderId="85" xfId="0" applyFont="1" applyBorder="1" applyAlignment="1">
      <alignment horizontal="center" shrinkToFit="1"/>
    </xf>
    <xf numFmtId="0" fontId="65" fillId="0" borderId="63" xfId="0" applyFont="1" applyBorder="1" applyAlignment="1">
      <alignment horizontal="center"/>
    </xf>
    <xf numFmtId="0" fontId="89" fillId="3" borderId="97" xfId="0" applyFont="1" applyFill="1" applyBorder="1" applyAlignment="1">
      <alignment horizontal="center" vertical="center"/>
    </xf>
    <xf numFmtId="49" fontId="89" fillId="3" borderId="150" xfId="0" applyNumberFormat="1" applyFont="1" applyFill="1" applyBorder="1" applyAlignment="1">
      <alignment horizontal="center" vertical="center"/>
    </xf>
    <xf numFmtId="0" fontId="67" fillId="0" borderId="0" xfId="0" applyFont="1" applyAlignment="1">
      <alignment horizontal="center" vertical="center"/>
    </xf>
    <xf numFmtId="0" fontId="67" fillId="0" borderId="2" xfId="0" applyFont="1" applyBorder="1" applyAlignment="1">
      <alignment horizontal="center" vertical="center"/>
    </xf>
    <xf numFmtId="49" fontId="101" fillId="0" borderId="15" xfId="0" applyNumberFormat="1" applyFont="1" applyBorder="1" applyAlignment="1" applyProtection="1">
      <alignment horizontal="center" vertical="center" wrapText="1"/>
      <protection locked="0"/>
    </xf>
    <xf numFmtId="49" fontId="101" fillId="0" borderId="10" xfId="0" applyNumberFormat="1" applyFont="1" applyBorder="1" applyAlignment="1" applyProtection="1">
      <alignment horizontal="center" vertical="center"/>
      <protection locked="0"/>
    </xf>
    <xf numFmtId="49" fontId="101" fillId="0" borderId="14" xfId="0" applyNumberFormat="1" applyFont="1" applyBorder="1" applyAlignment="1" applyProtection="1">
      <alignment horizontal="center" vertical="center"/>
      <protection locked="0"/>
    </xf>
    <xf numFmtId="49" fontId="101" fillId="0" borderId="56" xfId="0" applyNumberFormat="1" applyFont="1" applyBorder="1" applyAlignment="1" applyProtection="1">
      <alignment horizontal="center" vertical="center"/>
      <protection locked="0"/>
    </xf>
    <xf numFmtId="178" fontId="95" fillId="0" borderId="0" xfId="0" applyNumberFormat="1" applyFont="1" applyAlignment="1">
      <alignment horizontal="center" vertical="center" shrinkToFit="1"/>
    </xf>
    <xf numFmtId="49" fontId="89" fillId="3" borderId="96" xfId="0" applyNumberFormat="1" applyFont="1" applyFill="1" applyBorder="1" applyAlignment="1">
      <alignment horizontal="center" vertical="center"/>
    </xf>
    <xf numFmtId="0" fontId="158" fillId="0" borderId="0" xfId="0" applyFont="1" applyAlignment="1" applyProtection="1">
      <alignment horizontal="center" vertical="center"/>
      <protection locked="0"/>
    </xf>
    <xf numFmtId="177" fontId="146" fillId="0" borderId="0" xfId="0" applyNumberFormat="1" applyFont="1" applyAlignment="1">
      <alignment horizontal="center" vertical="center"/>
    </xf>
    <xf numFmtId="177" fontId="146" fillId="0" borderId="0" xfId="0" applyNumberFormat="1" applyFont="1" applyAlignment="1">
      <alignment horizontal="center" vertical="center" textRotation="255"/>
    </xf>
    <xf numFmtId="0" fontId="152" fillId="0" borderId="0" xfId="0" applyFont="1" applyAlignment="1">
      <alignment horizontal="center" vertical="center"/>
    </xf>
    <xf numFmtId="0" fontId="147" fillId="0" borderId="0" xfId="0" applyFont="1" applyAlignment="1">
      <alignment horizontal="center" vertical="center"/>
    </xf>
    <xf numFmtId="177" fontId="67" fillId="0" borderId="39" xfId="0" applyNumberFormat="1" applyFont="1" applyBorder="1" applyAlignment="1">
      <alignment horizontal="center" vertical="center" textRotation="255"/>
    </xf>
    <xf numFmtId="177" fontId="67" fillId="0" borderId="21" xfId="0" applyNumberFormat="1" applyFont="1" applyBorder="1" applyAlignment="1">
      <alignment horizontal="center" vertical="center" textRotation="255"/>
    </xf>
    <xf numFmtId="49" fontId="67" fillId="0" borderId="13" xfId="0" applyNumberFormat="1" applyFont="1" applyBorder="1" applyAlignment="1">
      <alignment horizontal="center" vertical="center"/>
    </xf>
    <xf numFmtId="49" fontId="67" fillId="0" borderId="0" xfId="0" applyNumberFormat="1" applyFont="1" applyAlignment="1">
      <alignment horizontal="center" vertical="center"/>
    </xf>
    <xf numFmtId="49" fontId="67" fillId="0" borderId="12" xfId="0" applyNumberFormat="1" applyFont="1" applyBorder="1" applyAlignment="1">
      <alignment horizontal="center" vertical="center"/>
    </xf>
    <xf numFmtId="49" fontId="67" fillId="0" borderId="11" xfId="0" applyNumberFormat="1" applyFont="1" applyBorder="1" applyAlignment="1">
      <alignment horizontal="center" vertical="center"/>
    </xf>
    <xf numFmtId="49" fontId="67" fillId="0" borderId="2" xfId="0" applyNumberFormat="1" applyFont="1" applyBorder="1" applyAlignment="1">
      <alignment horizontal="center" vertical="center"/>
    </xf>
    <xf numFmtId="49" fontId="67" fillId="0" borderId="3" xfId="0" applyNumberFormat="1" applyFont="1" applyBorder="1" applyAlignment="1">
      <alignment horizontal="center" vertical="center"/>
    </xf>
    <xf numFmtId="0" fontId="67" fillId="0" borderId="13" xfId="0" applyFont="1" applyBorder="1" applyAlignment="1">
      <alignment horizontal="center" vertical="center"/>
    </xf>
    <xf numFmtId="0" fontId="67" fillId="0" borderId="12" xfId="0" applyFont="1" applyBorder="1" applyAlignment="1">
      <alignment horizontal="center" vertical="center"/>
    </xf>
    <xf numFmtId="0" fontId="67" fillId="0" borderId="11" xfId="0" applyFont="1" applyBorder="1" applyAlignment="1">
      <alignment horizontal="center" vertical="center"/>
    </xf>
    <xf numFmtId="0" fontId="67" fillId="0" borderId="3" xfId="0" applyFont="1" applyBorder="1" applyAlignment="1">
      <alignment horizontal="center" vertical="center"/>
    </xf>
    <xf numFmtId="0" fontId="67" fillId="0" borderId="13" xfId="0" applyFont="1" applyBorder="1" applyAlignment="1">
      <alignment horizontal="center" vertical="center" wrapText="1"/>
    </xf>
    <xf numFmtId="182" fontId="95" fillId="0" borderId="63" xfId="0" applyNumberFormat="1" applyFont="1" applyBorder="1" applyAlignment="1">
      <alignment horizontal="center"/>
    </xf>
    <xf numFmtId="0" fontId="67" fillId="0" borderId="229" xfId="0" applyFont="1" applyBorder="1" applyAlignment="1">
      <alignment horizontal="center" vertical="center"/>
    </xf>
    <xf numFmtId="177" fontId="67" fillId="0" borderId="15" xfId="0" applyNumberFormat="1" applyFont="1" applyBorder="1" applyAlignment="1">
      <alignment horizontal="center" vertical="center" wrapText="1"/>
    </xf>
    <xf numFmtId="177" fontId="67" fillId="0" borderId="14" xfId="0" applyNumberFormat="1" applyFont="1" applyBorder="1" applyAlignment="1">
      <alignment horizontal="center" vertical="center"/>
    </xf>
    <xf numFmtId="177" fontId="67" fillId="0" borderId="3" xfId="0" applyNumberFormat="1" applyFont="1" applyBorder="1" applyAlignment="1">
      <alignment horizontal="center" vertical="center"/>
    </xf>
    <xf numFmtId="49" fontId="158" fillId="0" borderId="0" xfId="0" applyNumberFormat="1" applyFont="1" applyAlignment="1" applyProtection="1">
      <alignment horizontal="center" vertical="center"/>
      <protection locked="0"/>
    </xf>
    <xf numFmtId="178" fontId="95" fillId="0" borderId="2" xfId="0" applyNumberFormat="1" applyFont="1" applyBorder="1" applyAlignment="1">
      <alignment horizontal="center" vertical="center"/>
    </xf>
    <xf numFmtId="178" fontId="155" fillId="0" borderId="0" xfId="0" applyNumberFormat="1" applyFont="1" applyAlignment="1">
      <alignment horizontal="center" vertical="center"/>
    </xf>
    <xf numFmtId="0" fontId="67" fillId="0" borderId="156" xfId="0" applyFont="1" applyBorder="1" applyAlignment="1">
      <alignment horizontal="center" vertical="center"/>
    </xf>
    <xf numFmtId="49" fontId="101" fillId="0" borderId="15" xfId="0" applyNumberFormat="1" applyFont="1" applyBorder="1" applyAlignment="1" applyProtection="1">
      <alignment horizontal="center" vertical="center"/>
      <protection locked="0"/>
    </xf>
    <xf numFmtId="177" fontId="67" fillId="0" borderId="13" xfId="0" applyNumberFormat="1" applyFont="1" applyBorder="1" applyAlignment="1">
      <alignment horizontal="center" vertical="center"/>
    </xf>
    <xf numFmtId="177" fontId="67" fillId="0" borderId="0" xfId="0" applyNumberFormat="1" applyFont="1" applyAlignment="1">
      <alignment horizontal="center" vertical="center"/>
    </xf>
    <xf numFmtId="177" fontId="67" fillId="0" borderId="12" xfId="0" applyNumberFormat="1" applyFont="1" applyBorder="1" applyAlignment="1">
      <alignment horizontal="center" vertical="center"/>
    </xf>
    <xf numFmtId="0" fontId="67" fillId="0" borderId="147" xfId="0" applyFont="1" applyBorder="1" applyAlignment="1">
      <alignment horizontal="center" vertical="center"/>
    </xf>
    <xf numFmtId="0" fontId="67" fillId="0" borderId="148" xfId="0" applyFont="1" applyBorder="1" applyAlignment="1">
      <alignment horizontal="center" vertical="center"/>
    </xf>
    <xf numFmtId="0" fontId="67" fillId="0" borderId="149" xfId="0" applyFont="1" applyBorder="1" applyAlignment="1">
      <alignment horizontal="center" vertical="center"/>
    </xf>
    <xf numFmtId="0" fontId="146" fillId="0" borderId="0" xfId="0" applyFont="1" applyAlignment="1">
      <alignment horizontal="center" vertical="center"/>
    </xf>
    <xf numFmtId="0" fontId="157" fillId="0" borderId="0" xfId="0" applyFont="1" applyAlignment="1">
      <alignment horizontal="center" vertical="center"/>
    </xf>
    <xf numFmtId="177" fontId="146" fillId="0" borderId="0" xfId="0" applyNumberFormat="1" applyFont="1" applyAlignment="1">
      <alignment horizontal="center" vertical="center" wrapText="1"/>
    </xf>
    <xf numFmtId="49" fontId="101" fillId="0" borderId="21" xfId="0" applyNumberFormat="1" applyFont="1" applyBorder="1" applyAlignment="1" applyProtection="1">
      <alignment horizontal="center" vertical="center"/>
      <protection locked="0"/>
    </xf>
    <xf numFmtId="0" fontId="67" fillId="0" borderId="56" xfId="0" applyFont="1" applyBorder="1" applyAlignment="1">
      <alignment horizontal="center" vertical="center" textRotation="255"/>
    </xf>
    <xf numFmtId="49" fontId="89" fillId="3" borderId="95" xfId="0" applyNumberFormat="1" applyFont="1" applyFill="1" applyBorder="1" applyAlignment="1">
      <alignment horizontal="center" vertical="center"/>
    </xf>
    <xf numFmtId="49" fontId="101" fillId="0" borderId="56" xfId="0" applyNumberFormat="1" applyFont="1" applyBorder="1" applyAlignment="1">
      <alignment horizontal="center" vertical="center"/>
    </xf>
    <xf numFmtId="49" fontId="101" fillId="0" borderId="17" xfId="0" applyNumberFormat="1" applyFont="1" applyBorder="1" applyAlignment="1">
      <alignment horizontal="center" vertical="center"/>
    </xf>
    <xf numFmtId="49" fontId="101" fillId="0" borderId="55" xfId="0" applyNumberFormat="1" applyFont="1" applyBorder="1" applyAlignment="1">
      <alignment horizontal="center" vertical="center"/>
    </xf>
    <xf numFmtId="0" fontId="67" fillId="0" borderId="15" xfId="0" applyFont="1" applyBorder="1" applyAlignment="1">
      <alignment horizontal="center" vertical="center" textRotation="255"/>
    </xf>
    <xf numFmtId="0" fontId="67" fillId="0" borderId="13" xfId="0" applyFont="1" applyBorder="1" applyAlignment="1">
      <alignment horizontal="center" vertical="center" textRotation="255"/>
    </xf>
    <xf numFmtId="0" fontId="67" fillId="0" borderId="11" xfId="0" applyFont="1" applyBorder="1" applyAlignment="1">
      <alignment horizontal="center" vertical="center" textRotation="255"/>
    </xf>
    <xf numFmtId="0" fontId="86" fillId="8" borderId="0" xfId="0" applyFont="1" applyFill="1" applyAlignment="1">
      <alignment horizontal="left" vertical="top" wrapText="1"/>
    </xf>
    <xf numFmtId="0" fontId="67" fillId="0" borderId="154" xfId="0" applyFont="1" applyBorder="1" applyAlignment="1">
      <alignment horizontal="center" vertical="center"/>
    </xf>
    <xf numFmtId="0" fontId="67" fillId="0" borderId="247" xfId="0" applyFont="1" applyBorder="1" applyAlignment="1">
      <alignment horizontal="center" vertical="center"/>
    </xf>
    <xf numFmtId="0" fontId="67" fillId="0" borderId="15" xfId="0" applyFont="1" applyBorder="1" applyAlignment="1">
      <alignment horizontal="center" vertical="center"/>
    </xf>
    <xf numFmtId="0" fontId="67" fillId="0" borderId="14" xfId="0" applyFont="1" applyBorder="1" applyAlignment="1">
      <alignment horizontal="center" vertical="center"/>
    </xf>
    <xf numFmtId="0" fontId="67" fillId="0" borderId="239" xfId="0" applyFont="1" applyBorder="1" applyAlignment="1">
      <alignment horizontal="center" vertical="center"/>
    </xf>
    <xf numFmtId="0" fontId="67" fillId="0" borderId="240" xfId="0" applyFont="1" applyBorder="1" applyAlignment="1">
      <alignment horizontal="center" vertical="center"/>
    </xf>
    <xf numFmtId="0" fontId="67" fillId="0" borderId="2" xfId="0" applyFont="1" applyBorder="1" applyAlignment="1">
      <alignment horizontal="center" vertical="center" shrinkToFit="1"/>
    </xf>
    <xf numFmtId="0" fontId="82" fillId="0" borderId="2" xfId="0" applyFont="1" applyBorder="1" applyAlignment="1">
      <alignment horizontal="center" vertical="center"/>
    </xf>
    <xf numFmtId="49" fontId="95" fillId="0" borderId="10" xfId="0" applyNumberFormat="1" applyFont="1" applyBorder="1" applyAlignment="1">
      <alignment horizontal="center" vertical="center"/>
    </xf>
    <xf numFmtId="0" fontId="82" fillId="0" borderId="10" xfId="0" applyFont="1" applyBorder="1" applyAlignment="1">
      <alignment horizontal="center" vertical="center"/>
    </xf>
    <xf numFmtId="49" fontId="95" fillId="0" borderId="10" xfId="0" applyNumberFormat="1" applyFont="1" applyBorder="1" applyAlignment="1">
      <alignment horizontal="center" vertical="center" shrinkToFit="1"/>
    </xf>
    <xf numFmtId="49" fontId="95" fillId="0" borderId="2" xfId="0" applyNumberFormat="1" applyFont="1" applyBorder="1" applyAlignment="1">
      <alignment horizontal="center" vertical="center" shrinkToFit="1"/>
    </xf>
    <xf numFmtId="0" fontId="104" fillId="0" borderId="0" xfId="0" applyFont="1" applyAlignment="1">
      <alignment horizontal="left" vertical="center" wrapText="1"/>
    </xf>
    <xf numFmtId="0" fontId="104" fillId="0" borderId="0" xfId="0" applyFont="1" applyAlignment="1">
      <alignment horizontal="left" vertical="center"/>
    </xf>
    <xf numFmtId="0" fontId="49" fillId="0" borderId="0" xfId="0" applyFont="1" applyAlignment="1">
      <alignment horizontal="center" vertical="center"/>
    </xf>
    <xf numFmtId="176" fontId="76" fillId="0" borderId="43" xfId="0" applyNumberFormat="1" applyFont="1" applyBorder="1" applyAlignment="1" applyProtection="1">
      <alignment horizontal="center" vertical="center" shrinkToFit="1"/>
      <protection locked="0"/>
    </xf>
    <xf numFmtId="176" fontId="76" fillId="0" borderId="44" xfId="0" applyNumberFormat="1" applyFont="1" applyBorder="1" applyAlignment="1" applyProtection="1">
      <alignment horizontal="center" vertical="center" shrinkToFit="1"/>
      <protection locked="0"/>
    </xf>
    <xf numFmtId="0" fontId="111" fillId="0" borderId="56" xfId="0" applyFont="1" applyBorder="1" applyAlignment="1">
      <alignment horizontal="center" vertical="center"/>
    </xf>
    <xf numFmtId="0" fontId="111" fillId="0" borderId="17" xfId="0" applyFont="1" applyBorder="1" applyAlignment="1">
      <alignment horizontal="center" vertical="center"/>
    </xf>
    <xf numFmtId="178" fontId="67" fillId="0" borderId="68" xfId="0" applyNumberFormat="1" applyFont="1" applyBorder="1" applyAlignment="1">
      <alignment horizontal="center" vertical="center" wrapText="1" shrinkToFit="1"/>
    </xf>
    <xf numFmtId="178" fontId="93" fillId="0" borderId="68" xfId="0" applyNumberFormat="1" applyFont="1" applyBorder="1" applyAlignment="1">
      <alignment horizontal="center" vertical="center" wrapText="1" shrinkToFit="1"/>
    </xf>
    <xf numFmtId="176" fontId="76" fillId="0" borderId="159" xfId="0" applyNumberFormat="1" applyFont="1" applyBorder="1" applyAlignment="1" applyProtection="1">
      <alignment horizontal="center" vertical="center" shrinkToFit="1"/>
      <protection locked="0"/>
    </xf>
    <xf numFmtId="176" fontId="76" fillId="0" borderId="27" xfId="0" applyNumberFormat="1" applyFont="1" applyBorder="1" applyAlignment="1" applyProtection="1">
      <alignment horizontal="center" vertical="center" shrinkToFit="1"/>
      <protection locked="0"/>
    </xf>
    <xf numFmtId="176" fontId="76" fillId="0" borderId="28" xfId="0" applyNumberFormat="1" applyFont="1" applyBorder="1" applyAlignment="1" applyProtection="1">
      <alignment horizontal="center" vertical="center" shrinkToFit="1"/>
      <protection locked="0"/>
    </xf>
    <xf numFmtId="0" fontId="17" fillId="0" borderId="0" xfId="0" applyFont="1" applyAlignment="1">
      <alignment horizontal="left" vertical="center"/>
    </xf>
    <xf numFmtId="176" fontId="76" fillId="0" borderId="30" xfId="0" applyNumberFormat="1" applyFont="1" applyBorder="1" applyAlignment="1" applyProtection="1">
      <alignment horizontal="center" vertical="center" shrinkToFit="1"/>
      <protection locked="0"/>
    </xf>
    <xf numFmtId="38" fontId="117" fillId="0" borderId="13" xfId="2" applyFont="1" applyFill="1" applyBorder="1" applyAlignment="1" applyProtection="1">
      <alignment vertical="center" shrinkToFit="1"/>
    </xf>
    <xf numFmtId="38" fontId="117" fillId="0" borderId="0" xfId="2" applyFont="1" applyFill="1" applyBorder="1" applyAlignment="1" applyProtection="1">
      <alignment vertical="center" shrinkToFit="1"/>
    </xf>
    <xf numFmtId="38" fontId="117" fillId="0" borderId="12" xfId="2" applyFont="1" applyFill="1" applyBorder="1" applyAlignment="1" applyProtection="1">
      <alignment vertical="center" shrinkToFit="1"/>
    </xf>
    <xf numFmtId="176" fontId="76" fillId="0" borderId="41" xfId="0" applyNumberFormat="1" applyFont="1" applyBorder="1" applyAlignment="1" applyProtection="1">
      <alignment horizontal="center" vertical="center" shrinkToFit="1"/>
      <protection locked="0"/>
    </xf>
    <xf numFmtId="176" fontId="76" fillId="0" borderId="185" xfId="0" applyNumberFormat="1" applyFont="1" applyBorder="1" applyAlignment="1" applyProtection="1">
      <alignment horizontal="center" vertical="center" shrinkToFit="1"/>
      <protection locked="0"/>
    </xf>
    <xf numFmtId="176" fontId="76" fillId="0" borderId="182" xfId="0" applyNumberFormat="1" applyFont="1" applyBorder="1" applyAlignment="1" applyProtection="1">
      <alignment horizontal="center" vertical="center" shrinkToFit="1"/>
      <protection locked="0"/>
    </xf>
    <xf numFmtId="176" fontId="76" fillId="0" borderId="102" xfId="0" applyNumberFormat="1" applyFont="1" applyBorder="1" applyAlignment="1" applyProtection="1">
      <alignment horizontal="center" vertical="center" shrinkToFit="1"/>
      <protection locked="0"/>
    </xf>
    <xf numFmtId="176" fontId="76" fillId="0" borderId="32" xfId="0" applyNumberFormat="1" applyFont="1" applyBorder="1" applyAlignment="1" applyProtection="1">
      <alignment horizontal="center" vertical="center" shrinkToFit="1"/>
      <protection locked="0"/>
    </xf>
    <xf numFmtId="176" fontId="76" fillId="0" borderId="91" xfId="0" applyNumberFormat="1" applyFont="1" applyBorder="1" applyAlignment="1" applyProtection="1">
      <alignment horizontal="center" vertical="center" shrinkToFit="1"/>
      <protection locked="0"/>
    </xf>
    <xf numFmtId="176" fontId="76" fillId="0" borderId="83" xfId="0" applyNumberFormat="1" applyFont="1" applyBorder="1" applyAlignment="1" applyProtection="1">
      <alignment horizontal="center" vertical="center" shrinkToFit="1"/>
      <protection locked="0"/>
    </xf>
    <xf numFmtId="0" fontId="85" fillId="0" borderId="56" xfId="0" applyFont="1" applyBorder="1" applyAlignment="1">
      <alignment horizontal="center" vertical="center" justifyLastLine="1"/>
    </xf>
    <xf numFmtId="0" fontId="85" fillId="0" borderId="17" xfId="0" applyFont="1" applyBorder="1" applyAlignment="1">
      <alignment horizontal="center" vertical="center" justifyLastLine="1"/>
    </xf>
    <xf numFmtId="0" fontId="111" fillId="0" borderId="69" xfId="0" applyFont="1" applyBorder="1" applyAlignment="1" applyProtection="1">
      <alignment horizontal="left" vertical="center" wrapText="1"/>
      <protection locked="0"/>
    </xf>
    <xf numFmtId="0" fontId="111" fillId="0" borderId="77" xfId="0" applyFont="1" applyBorder="1" applyAlignment="1" applyProtection="1">
      <alignment horizontal="left" vertical="center" wrapText="1"/>
      <protection locked="0"/>
    </xf>
    <xf numFmtId="0" fontId="111" fillId="0" borderId="16" xfId="0" applyFont="1" applyBorder="1" applyAlignment="1" applyProtection="1">
      <alignment horizontal="left" vertical="center" wrapText="1"/>
      <protection locked="0"/>
    </xf>
    <xf numFmtId="0" fontId="97" fillId="13" borderId="0" xfId="0" applyFont="1" applyFill="1" applyAlignment="1">
      <alignment horizontal="center" vertical="center" wrapText="1"/>
    </xf>
    <xf numFmtId="0" fontId="97" fillId="13" borderId="2" xfId="0" applyFont="1" applyFill="1" applyBorder="1" applyAlignment="1">
      <alignment horizontal="center" vertical="center" wrapText="1"/>
    </xf>
    <xf numFmtId="0" fontId="111" fillId="0" borderId="0" xfId="0" applyFont="1" applyAlignment="1">
      <alignment horizontal="left" vertical="center" wrapText="1"/>
    </xf>
    <xf numFmtId="0" fontId="111" fillId="0" borderId="2" xfId="0" applyFont="1" applyBorder="1" applyAlignment="1">
      <alignment horizontal="left" vertical="center" wrapText="1"/>
    </xf>
    <xf numFmtId="0" fontId="117" fillId="9" borderId="0" xfId="0" applyFont="1" applyFill="1" applyAlignment="1">
      <alignment horizontal="center" vertical="center" wrapText="1"/>
    </xf>
    <xf numFmtId="0" fontId="117" fillId="9" borderId="2" xfId="0" applyFont="1" applyFill="1" applyBorder="1" applyAlignment="1">
      <alignment horizontal="center" vertical="center" wrapText="1"/>
    </xf>
    <xf numFmtId="0" fontId="85" fillId="0" borderId="15" xfId="0" applyFont="1" applyBorder="1" applyAlignment="1">
      <alignment horizontal="center" vertical="center" justifyLastLine="1"/>
    </xf>
    <xf numFmtId="0" fontId="85" fillId="0" borderId="10" xfId="0" applyFont="1" applyBorder="1" applyAlignment="1">
      <alignment horizontal="center" vertical="center" justifyLastLine="1"/>
    </xf>
    <xf numFmtId="0" fontId="111" fillId="0" borderId="0" xfId="0" applyFont="1" applyAlignment="1">
      <alignment horizontal="center" vertical="center"/>
    </xf>
    <xf numFmtId="178" fontId="85" fillId="0" borderId="15" xfId="0" applyNumberFormat="1" applyFont="1" applyBorder="1" applyAlignment="1">
      <alignment horizontal="center" vertical="center" shrinkToFit="1"/>
    </xf>
    <xf numFmtId="178" fontId="85" fillId="0" borderId="10" xfId="0" applyNumberFormat="1" applyFont="1" applyBorder="1" applyAlignment="1">
      <alignment horizontal="center" vertical="center" shrinkToFit="1"/>
    </xf>
    <xf numFmtId="178" fontId="85" fillId="0" borderId="14" xfId="0" applyNumberFormat="1" applyFont="1" applyBorder="1" applyAlignment="1">
      <alignment horizontal="center" vertical="center" shrinkToFit="1"/>
    </xf>
    <xf numFmtId="176" fontId="76" fillId="0" borderId="181" xfId="0" applyNumberFormat="1" applyFont="1" applyBorder="1" applyAlignment="1" applyProtection="1">
      <alignment horizontal="center" vertical="center" shrinkToFit="1"/>
      <protection locked="0"/>
    </xf>
    <xf numFmtId="176" fontId="76" fillId="0" borderId="101" xfId="0" applyNumberFormat="1" applyFont="1" applyBorder="1" applyAlignment="1" applyProtection="1">
      <alignment horizontal="center" vertical="center" shrinkToFit="1"/>
      <protection locked="0"/>
    </xf>
    <xf numFmtId="38" fontId="117" fillId="0" borderId="13" xfId="2" applyFont="1" applyFill="1" applyBorder="1" applyAlignment="1" applyProtection="1">
      <alignment horizontal="right" vertical="center" shrinkToFit="1"/>
    </xf>
    <xf numFmtId="38" fontId="117" fillId="0" borderId="0" xfId="2" applyFont="1" applyFill="1" applyBorder="1" applyAlignment="1" applyProtection="1">
      <alignment horizontal="right" vertical="center" shrinkToFit="1"/>
    </xf>
    <xf numFmtId="38" fontId="117" fillId="0" borderId="12" xfId="2" applyFont="1" applyFill="1" applyBorder="1" applyAlignment="1" applyProtection="1">
      <alignment horizontal="right" vertical="center" shrinkToFit="1"/>
    </xf>
    <xf numFmtId="176" fontId="76" fillId="0" borderId="44" xfId="0" applyNumberFormat="1" applyFont="1" applyBorder="1" applyAlignment="1" applyProtection="1">
      <alignment vertical="center" shrinkToFit="1"/>
      <protection locked="0"/>
    </xf>
    <xf numFmtId="176" fontId="76" fillId="0" borderId="101" xfId="0" applyNumberFormat="1" applyFont="1" applyBorder="1" applyAlignment="1" applyProtection="1">
      <alignment vertical="center" shrinkToFit="1"/>
      <protection locked="0"/>
    </xf>
    <xf numFmtId="191" fontId="81" fillId="0" borderId="90" xfId="0" applyNumberFormat="1" applyFont="1" applyBorder="1" applyAlignment="1">
      <alignment horizontal="center" vertical="center"/>
    </xf>
    <xf numFmtId="191" fontId="81" fillId="0" borderId="133" xfId="0" applyNumberFormat="1" applyFont="1" applyBorder="1" applyAlignment="1">
      <alignment horizontal="center" vertical="center"/>
    </xf>
    <xf numFmtId="38" fontId="117" fillId="10" borderId="11" xfId="2" applyFont="1" applyFill="1" applyBorder="1" applyAlignment="1" applyProtection="1">
      <alignment horizontal="right" vertical="center" shrinkToFit="1"/>
    </xf>
    <xf numFmtId="38" fontId="117" fillId="10" borderId="2" xfId="2" applyFont="1" applyFill="1" applyBorder="1" applyAlignment="1" applyProtection="1">
      <alignment horizontal="right" vertical="center" shrinkToFit="1"/>
    </xf>
    <xf numFmtId="38" fontId="117" fillId="10" borderId="3" xfId="2" applyFont="1" applyFill="1" applyBorder="1" applyAlignment="1" applyProtection="1">
      <alignment horizontal="right" vertical="center" shrinkToFit="1"/>
    </xf>
    <xf numFmtId="38" fontId="117" fillId="10" borderId="11" xfId="1" applyFont="1" applyFill="1" applyBorder="1" applyAlignment="1" applyProtection="1">
      <alignment horizontal="right" vertical="center" shrinkToFit="1"/>
    </xf>
    <xf numFmtId="38" fontId="117" fillId="10" borderId="2" xfId="1" applyFont="1" applyFill="1" applyBorder="1" applyAlignment="1" applyProtection="1">
      <alignment horizontal="right" vertical="center" shrinkToFit="1"/>
    </xf>
    <xf numFmtId="38" fontId="117" fillId="10" borderId="3" xfId="1" applyFont="1" applyFill="1" applyBorder="1" applyAlignment="1" applyProtection="1">
      <alignment horizontal="right" vertical="center" shrinkToFit="1"/>
    </xf>
    <xf numFmtId="38" fontId="97" fillId="0" borderId="252" xfId="2" applyFont="1" applyBorder="1" applyAlignment="1" applyProtection="1">
      <alignment horizontal="right" vertical="center" shrinkToFit="1"/>
    </xf>
    <xf numFmtId="38" fontId="97" fillId="0" borderId="253" xfId="2" applyFont="1" applyBorder="1" applyAlignment="1" applyProtection="1">
      <alignment horizontal="right" vertical="center" shrinkToFit="1"/>
    </xf>
    <xf numFmtId="38" fontId="97" fillId="0" borderId="254" xfId="2" applyFont="1" applyBorder="1" applyAlignment="1" applyProtection="1">
      <alignment horizontal="right" vertical="center" shrinkToFit="1"/>
    </xf>
    <xf numFmtId="38" fontId="117" fillId="0" borderId="136" xfId="2" applyFont="1" applyFill="1" applyBorder="1" applyAlignment="1" applyProtection="1">
      <alignment horizontal="right" vertical="center" shrinkToFit="1"/>
    </xf>
    <xf numFmtId="38" fontId="117" fillId="0" borderId="137" xfId="2" applyFont="1" applyFill="1" applyBorder="1" applyAlignment="1" applyProtection="1">
      <alignment horizontal="right" vertical="center" shrinkToFit="1"/>
    </xf>
    <xf numFmtId="38" fontId="117" fillId="0" borderId="265" xfId="2" applyFont="1" applyFill="1" applyBorder="1" applyAlignment="1" applyProtection="1">
      <alignment horizontal="right" vertical="center" shrinkToFit="1"/>
    </xf>
    <xf numFmtId="38" fontId="117" fillId="10" borderId="11" xfId="2" applyFont="1" applyFill="1" applyBorder="1" applyAlignment="1" applyProtection="1">
      <alignment vertical="center" shrinkToFit="1"/>
    </xf>
    <xf numFmtId="38" fontId="117" fillId="10" borderId="2" xfId="2" applyFont="1" applyFill="1" applyBorder="1" applyAlignment="1" applyProtection="1">
      <alignment vertical="center" shrinkToFit="1"/>
    </xf>
    <xf numFmtId="38" fontId="117" fillId="10" borderId="3" xfId="2" applyFont="1" applyFill="1" applyBorder="1" applyAlignment="1" applyProtection="1">
      <alignment vertical="center" shrinkToFit="1"/>
    </xf>
    <xf numFmtId="38" fontId="97" fillId="0" borderId="60" xfId="2" applyFont="1" applyBorder="1" applyAlignment="1" applyProtection="1">
      <alignment horizontal="right" vertical="center" shrinkToFit="1"/>
    </xf>
    <xf numFmtId="38" fontId="97" fillId="0" borderId="58" xfId="2" applyFont="1" applyBorder="1" applyAlignment="1" applyProtection="1">
      <alignment horizontal="right" vertical="center" shrinkToFit="1"/>
    </xf>
    <xf numFmtId="38" fontId="97" fillId="0" borderId="59" xfId="2" applyFont="1" applyBorder="1" applyAlignment="1" applyProtection="1">
      <alignment horizontal="right" vertical="center" shrinkToFit="1"/>
    </xf>
    <xf numFmtId="38" fontId="117" fillId="0" borderId="136" xfId="2" applyFont="1" applyFill="1" applyBorder="1" applyAlignment="1" applyProtection="1">
      <alignment vertical="center" shrinkToFit="1"/>
    </xf>
    <xf numFmtId="38" fontId="117" fillId="0" borderId="137" xfId="2" applyFont="1" applyFill="1" applyBorder="1" applyAlignment="1" applyProtection="1">
      <alignment vertical="center" shrinkToFit="1"/>
    </xf>
    <xf numFmtId="38" fontId="117" fillId="0" borderId="265" xfId="2" applyFont="1" applyFill="1" applyBorder="1" applyAlignment="1" applyProtection="1">
      <alignment vertical="center" shrinkToFit="1"/>
    </xf>
    <xf numFmtId="0" fontId="81" fillId="0" borderId="63" xfId="0" applyFont="1" applyBorder="1" applyAlignment="1">
      <alignment horizontal="left" vertical="center"/>
    </xf>
    <xf numFmtId="178" fontId="116" fillId="0" borderId="58" xfId="0" applyNumberFormat="1" applyFont="1" applyBorder="1" applyAlignment="1">
      <alignment horizontal="center" vertical="center"/>
    </xf>
    <xf numFmtId="178" fontId="116" fillId="0" borderId="59" xfId="0" applyNumberFormat="1" applyFont="1" applyBorder="1" applyAlignment="1">
      <alignment horizontal="center" vertical="center"/>
    </xf>
    <xf numFmtId="176" fontId="76" fillId="0" borderId="41" xfId="0" applyNumberFormat="1" applyFont="1" applyBorder="1" applyAlignment="1" applyProtection="1">
      <alignment vertical="center" shrinkToFit="1"/>
      <protection locked="0"/>
    </xf>
    <xf numFmtId="178" fontId="85" fillId="0" borderId="159" xfId="0" applyNumberFormat="1" applyFont="1" applyBorder="1" applyAlignment="1">
      <alignment horizontal="center" vertical="center" shrinkToFit="1"/>
    </xf>
    <xf numFmtId="178" fontId="85" fillId="0" borderId="27" xfId="0" applyNumberFormat="1" applyFont="1" applyBorder="1" applyAlignment="1">
      <alignment horizontal="center" vertical="center" shrinkToFit="1"/>
    </xf>
    <xf numFmtId="178" fontId="85" fillId="0" borderId="28" xfId="0" applyNumberFormat="1" applyFont="1" applyBorder="1" applyAlignment="1">
      <alignment horizontal="center" vertical="center" shrinkToFit="1"/>
    </xf>
    <xf numFmtId="178" fontId="111" fillId="0" borderId="34" xfId="0" applyNumberFormat="1" applyFont="1" applyBorder="1" applyAlignment="1">
      <alignment horizontal="center" vertical="center" textRotation="255" shrinkToFit="1"/>
    </xf>
    <xf numFmtId="178" fontId="111" fillId="0" borderId="38" xfId="0" applyNumberFormat="1" applyFont="1" applyBorder="1" applyAlignment="1">
      <alignment horizontal="center" vertical="center" textRotation="255" shrinkToFit="1"/>
    </xf>
    <xf numFmtId="178" fontId="111" fillId="0" borderId="217" xfId="0" applyNumberFormat="1" applyFont="1" applyBorder="1" applyAlignment="1">
      <alignment horizontal="center" vertical="center" textRotation="255" shrinkToFit="1"/>
    </xf>
    <xf numFmtId="178" fontId="67" fillId="0" borderId="232" xfId="0" applyNumberFormat="1" applyFont="1" applyBorder="1" applyAlignment="1">
      <alignment horizontal="center" vertical="center" wrapText="1" shrinkToFit="1"/>
    </xf>
    <xf numFmtId="178" fontId="93" fillId="0" borderId="232" xfId="0" applyNumberFormat="1" applyFont="1" applyBorder="1" applyAlignment="1">
      <alignment horizontal="center" vertical="center" wrapText="1" shrinkToFit="1"/>
    </xf>
    <xf numFmtId="176" fontId="76" fillId="0" borderId="189" xfId="0" applyNumberFormat="1" applyFont="1" applyBorder="1" applyAlignment="1" applyProtection="1">
      <alignment horizontal="center" vertical="center" shrinkToFit="1"/>
      <protection locked="0"/>
    </xf>
    <xf numFmtId="176" fontId="76" fillId="0" borderId="162" xfId="0" applyNumberFormat="1" applyFont="1" applyBorder="1" applyAlignment="1" applyProtection="1">
      <alignment horizontal="center" vertical="center" shrinkToFit="1"/>
      <protection locked="0"/>
    </xf>
    <xf numFmtId="176" fontId="76" fillId="0" borderId="163" xfId="0" applyNumberFormat="1" applyFont="1" applyBorder="1" applyAlignment="1" applyProtection="1">
      <alignment horizontal="center" vertical="center" shrinkToFit="1"/>
      <protection locked="0"/>
    </xf>
    <xf numFmtId="178" fontId="85" fillId="0" borderId="21" xfId="0" applyNumberFormat="1" applyFont="1" applyBorder="1" applyAlignment="1">
      <alignment horizontal="center" vertical="center" wrapText="1" shrinkToFit="1"/>
    </xf>
    <xf numFmtId="178" fontId="85" fillId="0" borderId="38" xfId="0" applyNumberFormat="1" applyFont="1" applyBorder="1" applyAlignment="1">
      <alignment horizontal="center" vertical="center" shrinkToFit="1"/>
    </xf>
    <xf numFmtId="176" fontId="76" fillId="0" borderId="29" xfId="0" applyNumberFormat="1" applyFont="1" applyBorder="1" applyAlignment="1" applyProtection="1">
      <alignment horizontal="center" vertical="center" shrinkToFit="1"/>
      <protection locked="0"/>
    </xf>
    <xf numFmtId="176" fontId="76" fillId="0" borderId="51" xfId="0" applyNumberFormat="1" applyFont="1" applyBorder="1" applyAlignment="1" applyProtection="1">
      <alignment horizontal="center" vertical="center" shrinkToFit="1"/>
      <protection locked="0"/>
    </xf>
    <xf numFmtId="176" fontId="76" fillId="0" borderId="287" xfId="0" applyNumberFormat="1" applyFont="1" applyBorder="1" applyAlignment="1" applyProtection="1">
      <alignment horizontal="center" vertical="center" shrinkToFit="1"/>
      <protection locked="0"/>
    </xf>
    <xf numFmtId="0" fontId="111" fillId="0" borderId="105" xfId="0" applyFont="1" applyBorder="1" applyAlignment="1">
      <alignment horizontal="center" vertical="distributed" textRotation="255" justifyLastLine="1"/>
    </xf>
    <xf numFmtId="0" fontId="111" fillId="0" borderId="44" xfId="0" applyFont="1" applyBorder="1" applyAlignment="1">
      <alignment horizontal="center" vertical="distributed" textRotation="255" justifyLastLine="1"/>
    </xf>
    <xf numFmtId="0" fontId="111" fillId="0" borderId="208" xfId="0" applyFont="1" applyBorder="1" applyAlignment="1">
      <alignment horizontal="center" vertical="distributed" textRotation="255" justifyLastLine="1"/>
    </xf>
    <xf numFmtId="0" fontId="93" fillId="0" borderId="105" xfId="0" applyFont="1" applyBorder="1" applyAlignment="1">
      <alignment horizontal="center" vertical="center"/>
    </xf>
    <xf numFmtId="180" fontId="76" fillId="0" borderId="181" xfId="0" applyNumberFormat="1" applyFont="1" applyBorder="1" applyAlignment="1" applyProtection="1">
      <alignment horizontal="center" vertical="center" shrinkToFit="1"/>
      <protection locked="0"/>
    </xf>
    <xf numFmtId="180" fontId="76" fillId="0" borderId="102" xfId="0" applyNumberFormat="1" applyFont="1" applyBorder="1" applyAlignment="1" applyProtection="1">
      <alignment horizontal="center" vertical="center" shrinkToFit="1"/>
      <protection locked="0"/>
    </xf>
    <xf numFmtId="180" fontId="76" fillId="0" borderId="101" xfId="0" applyNumberFormat="1" applyFont="1" applyBorder="1" applyAlignment="1" applyProtection="1">
      <alignment horizontal="center" vertical="center" shrinkToFit="1"/>
      <protection locked="0"/>
    </xf>
    <xf numFmtId="0" fontId="116" fillId="0" borderId="152" xfId="0" applyFont="1" applyBorder="1" applyAlignment="1">
      <alignment horizontal="center" vertical="center" shrinkToFit="1"/>
    </xf>
    <xf numFmtId="0" fontId="116" fillId="0" borderId="153" xfId="0" applyFont="1" applyBorder="1" applyAlignment="1">
      <alignment horizontal="center" vertical="center" shrinkToFit="1"/>
    </xf>
    <xf numFmtId="0" fontId="116" fillId="0" borderId="64" xfId="0" applyFont="1" applyBorder="1" applyAlignment="1">
      <alignment horizontal="center" vertical="center" shrinkToFit="1"/>
    </xf>
    <xf numFmtId="0" fontId="93" fillId="0" borderId="15" xfId="0" applyFont="1" applyBorder="1" applyAlignment="1">
      <alignment horizontal="center" vertical="center" wrapText="1"/>
    </xf>
    <xf numFmtId="0" fontId="93" fillId="0" borderId="10" xfId="0" applyFont="1" applyBorder="1" applyAlignment="1">
      <alignment horizontal="center" vertical="center"/>
    </xf>
    <xf numFmtId="0" fontId="93" fillId="0" borderId="14" xfId="0" applyFont="1" applyBorder="1" applyAlignment="1">
      <alignment horizontal="center" vertical="center"/>
    </xf>
    <xf numFmtId="0" fontId="93" fillId="0" borderId="11" xfId="0" applyFont="1" applyBorder="1" applyAlignment="1">
      <alignment horizontal="center" vertical="center"/>
    </xf>
    <xf numFmtId="0" fontId="93" fillId="0" borderId="2" xfId="0" applyFont="1" applyBorder="1" applyAlignment="1">
      <alignment horizontal="center" vertical="center"/>
    </xf>
    <xf numFmtId="0" fontId="93" fillId="0" borderId="3" xfId="0" applyFont="1" applyBorder="1" applyAlignment="1">
      <alignment horizontal="center" vertical="center"/>
    </xf>
    <xf numFmtId="0" fontId="78" fillId="0" borderId="226" xfId="0" applyFont="1" applyBorder="1" applyAlignment="1">
      <alignment horizontal="center" vertical="center" wrapText="1"/>
    </xf>
    <xf numFmtId="0" fontId="78" fillId="0" borderId="227" xfId="0" applyFont="1" applyBorder="1" applyAlignment="1">
      <alignment horizontal="center" vertical="center" wrapText="1"/>
    </xf>
    <xf numFmtId="0" fontId="93" fillId="0" borderId="21" xfId="0" applyFont="1" applyBorder="1" applyAlignment="1">
      <alignment horizontal="center" vertical="center" wrapText="1"/>
    </xf>
    <xf numFmtId="0" fontId="93" fillId="0" borderId="21" xfId="0" applyFont="1" applyBorder="1" applyAlignment="1">
      <alignment horizontal="center" vertical="center"/>
    </xf>
    <xf numFmtId="0" fontId="111" fillId="0" borderId="38" xfId="0" applyFont="1" applyBorder="1" applyAlignment="1">
      <alignment horizontal="center" vertical="center" textRotation="255"/>
    </xf>
    <xf numFmtId="0" fontId="111" fillId="0" borderId="130" xfId="0" applyFont="1" applyBorder="1" applyAlignment="1">
      <alignment horizontal="center" vertical="center" textRotation="255"/>
    </xf>
    <xf numFmtId="0" fontId="111" fillId="0" borderId="39" xfId="0" applyFont="1" applyBorder="1" applyAlignment="1">
      <alignment horizontal="center" vertical="center" textRotation="255"/>
    </xf>
    <xf numFmtId="0" fontId="111" fillId="0" borderId="91" xfId="0" applyFont="1" applyBorder="1" applyAlignment="1">
      <alignment horizontal="center" vertical="distributed" textRotation="255" justifyLastLine="1"/>
    </xf>
    <xf numFmtId="0" fontId="111" fillId="0" borderId="180" xfId="0" applyFont="1" applyBorder="1" applyAlignment="1">
      <alignment horizontal="center" vertical="distributed" textRotation="255" justifyLastLine="1"/>
    </xf>
    <xf numFmtId="0" fontId="111" fillId="0" borderId="158" xfId="0" applyFont="1" applyBorder="1" applyAlignment="1">
      <alignment horizontal="center" vertical="distributed" textRotation="255" justifyLastLine="1"/>
    </xf>
    <xf numFmtId="0" fontId="85" fillId="0" borderId="91" xfId="0" applyFont="1" applyBorder="1" applyAlignment="1">
      <alignment horizontal="center" vertical="center"/>
    </xf>
    <xf numFmtId="0" fontId="93" fillId="0" borderId="32" xfId="0" applyFont="1" applyBorder="1" applyAlignment="1">
      <alignment horizontal="center" vertical="center" wrapText="1"/>
    </xf>
    <xf numFmtId="0" fontId="93" fillId="0" borderId="27" xfId="0" applyFont="1" applyBorder="1" applyAlignment="1">
      <alignment horizontal="center" vertical="center" wrapText="1"/>
    </xf>
    <xf numFmtId="0" fontId="93" fillId="0" borderId="27" xfId="0" applyFont="1" applyBorder="1" applyAlignment="1">
      <alignment horizontal="center" vertical="center"/>
    </xf>
    <xf numFmtId="0" fontId="93" fillId="0" borderId="28" xfId="0" applyFont="1" applyBorder="1" applyAlignment="1">
      <alignment horizontal="center" vertical="center"/>
    </xf>
    <xf numFmtId="0" fontId="93" fillId="0" borderId="44" xfId="0" applyFont="1" applyBorder="1" applyAlignment="1">
      <alignment horizontal="center" vertical="center"/>
    </xf>
    <xf numFmtId="180" fontId="76" fillId="0" borderId="41" xfId="0" applyNumberFormat="1" applyFont="1" applyBorder="1" applyAlignment="1" applyProtection="1">
      <alignment horizontal="center" vertical="center" shrinkToFit="1"/>
      <protection locked="0"/>
    </xf>
    <xf numFmtId="180" fontId="76" fillId="0" borderId="44" xfId="0" applyNumberFormat="1" applyFont="1" applyBorder="1" applyAlignment="1" applyProtection="1">
      <alignment horizontal="center" vertical="center" shrinkToFit="1"/>
      <protection locked="0"/>
    </xf>
    <xf numFmtId="180" fontId="76" fillId="0" borderId="194" xfId="0" applyNumberFormat="1" applyFont="1" applyBorder="1" applyAlignment="1" applyProtection="1">
      <alignment horizontal="center" vertical="center" shrinkToFit="1"/>
      <protection locked="0"/>
    </xf>
    <xf numFmtId="180" fontId="76" fillId="0" borderId="206" xfId="0" applyNumberFormat="1" applyFont="1" applyBorder="1" applyAlignment="1" applyProtection="1">
      <alignment horizontal="center" vertical="center" shrinkToFit="1"/>
      <protection locked="0"/>
    </xf>
    <xf numFmtId="0" fontId="116" fillId="0" borderId="154" xfId="0" applyFont="1" applyBorder="1" applyAlignment="1">
      <alignment horizontal="center" vertical="center"/>
    </xf>
    <xf numFmtId="0" fontId="116" fillId="0" borderId="155" xfId="0" applyFont="1" applyBorder="1" applyAlignment="1">
      <alignment horizontal="center" vertical="center"/>
    </xf>
    <xf numFmtId="0" fontId="116" fillId="0" borderId="156" xfId="0" applyFont="1" applyBorder="1" applyAlignment="1">
      <alignment horizontal="center" vertical="center"/>
    </xf>
    <xf numFmtId="176" fontId="76" fillId="0" borderId="30" xfId="0" applyNumberFormat="1" applyFont="1" applyBorder="1" applyAlignment="1" applyProtection="1">
      <alignment vertical="center" shrinkToFit="1"/>
      <protection locked="0"/>
    </xf>
    <xf numFmtId="176" fontId="76" fillId="0" borderId="52" xfId="0" applyNumberFormat="1" applyFont="1" applyBorder="1" applyAlignment="1" applyProtection="1">
      <alignment vertical="center" shrinkToFit="1"/>
      <protection locked="0"/>
    </xf>
    <xf numFmtId="38" fontId="117" fillId="10" borderId="288" xfId="2" applyFont="1" applyFill="1" applyBorder="1" applyAlignment="1" applyProtection="1">
      <alignment vertical="center" shrinkToFit="1"/>
    </xf>
    <xf numFmtId="38" fontId="117" fillId="10" borderId="19" xfId="2" applyFont="1" applyFill="1" applyBorder="1" applyAlignment="1" applyProtection="1">
      <alignment vertical="center" shrinkToFit="1"/>
    </xf>
    <xf numFmtId="38" fontId="117" fillId="10" borderId="289" xfId="2" applyFont="1" applyFill="1" applyBorder="1" applyAlignment="1" applyProtection="1">
      <alignment vertical="center" shrinkToFit="1"/>
    </xf>
    <xf numFmtId="38" fontId="97" fillId="0" borderId="155" xfId="2" applyFont="1" applyFill="1" applyBorder="1" applyAlignment="1" applyProtection="1">
      <alignment horizontal="right" vertical="center" shrinkToFit="1"/>
      <protection locked="0"/>
    </xf>
    <xf numFmtId="38" fontId="97" fillId="0" borderId="156" xfId="2" applyFont="1" applyFill="1" applyBorder="1" applyAlignment="1" applyProtection="1">
      <alignment horizontal="right" vertical="center" shrinkToFit="1"/>
      <protection locked="0"/>
    </xf>
    <xf numFmtId="38" fontId="97" fillId="0" borderId="154" xfId="2" applyFont="1" applyFill="1" applyBorder="1" applyAlignment="1" applyProtection="1">
      <alignment horizontal="right" vertical="center" shrinkToFit="1"/>
      <protection locked="0"/>
    </xf>
    <xf numFmtId="0" fontId="93" fillId="0" borderId="200" xfId="0" applyFont="1" applyBorder="1" applyAlignment="1">
      <alignment horizontal="center" vertical="center"/>
    </xf>
    <xf numFmtId="38" fontId="97" fillId="0" borderId="10" xfId="2" applyFont="1" applyFill="1" applyBorder="1" applyAlignment="1" applyProtection="1">
      <alignment horizontal="right" vertical="center" shrinkToFit="1"/>
      <protection locked="0"/>
    </xf>
    <xf numFmtId="38" fontId="97" fillId="0" borderId="14" xfId="2" applyFont="1" applyFill="1" applyBorder="1" applyAlignment="1" applyProtection="1">
      <alignment horizontal="right" vertical="center" shrinkToFit="1"/>
      <protection locked="0"/>
    </xf>
    <xf numFmtId="0" fontId="116" fillId="0" borderId="56" xfId="0" applyFont="1" applyBorder="1" applyAlignment="1">
      <alignment horizontal="center" vertical="center"/>
    </xf>
    <xf numFmtId="0" fontId="116" fillId="0" borderId="17" xfId="0" applyFont="1" applyBorder="1" applyAlignment="1">
      <alignment horizontal="center" vertical="center"/>
    </xf>
    <xf numFmtId="0" fontId="116" fillId="0" borderId="55" xfId="0" applyFont="1" applyBorder="1" applyAlignment="1">
      <alignment horizontal="center" vertical="center"/>
    </xf>
    <xf numFmtId="0" fontId="148" fillId="0" borderId="56" xfId="0" applyFont="1" applyBorder="1" applyAlignment="1">
      <alignment horizontal="center" vertical="center"/>
    </xf>
    <xf numFmtId="0" fontId="148" fillId="0" borderId="55" xfId="0" applyFont="1" applyBorder="1" applyAlignment="1">
      <alignment horizontal="center" vertical="center"/>
    </xf>
    <xf numFmtId="180" fontId="76" fillId="0" borderId="201" xfId="0" applyNumberFormat="1" applyFont="1" applyBorder="1" applyAlignment="1" applyProtection="1">
      <alignment horizontal="center" vertical="center" shrinkToFit="1"/>
      <protection locked="0"/>
    </xf>
    <xf numFmtId="180" fontId="76" fillId="0" borderId="200" xfId="0" applyNumberFormat="1" applyFont="1" applyBorder="1" applyAlignment="1" applyProtection="1">
      <alignment horizontal="center" vertical="center" shrinkToFit="1"/>
      <protection locked="0"/>
    </xf>
    <xf numFmtId="0" fontId="112" fillId="0" borderId="10" xfId="0" applyFont="1" applyBorder="1" applyAlignment="1">
      <alignment horizontal="center" vertical="center"/>
    </xf>
    <xf numFmtId="180" fontId="80" fillId="0" borderId="203" xfId="3" applyNumberFormat="1" applyFont="1" applyFill="1" applyBorder="1" applyAlignment="1" applyProtection="1">
      <alignment horizontal="right" vertical="center" shrinkToFit="1"/>
    </xf>
    <xf numFmtId="180" fontId="80" fillId="0" borderId="202" xfId="3" applyNumberFormat="1" applyFont="1" applyFill="1" applyBorder="1" applyAlignment="1" applyProtection="1">
      <alignment horizontal="right" vertical="center" shrinkToFit="1"/>
    </xf>
    <xf numFmtId="0" fontId="93" fillId="0" borderId="205" xfId="0" applyFont="1" applyBorder="1" applyAlignment="1">
      <alignment horizontal="center" vertical="center" wrapText="1"/>
    </xf>
    <xf numFmtId="0" fontId="93" fillId="0" borderId="193" xfId="0" applyFont="1" applyBorder="1" applyAlignment="1">
      <alignment horizontal="center" vertical="center" wrapText="1"/>
    </xf>
    <xf numFmtId="0" fontId="93" fillId="0" borderId="193" xfId="0" applyFont="1" applyBorder="1" applyAlignment="1">
      <alignment horizontal="center" vertical="center"/>
    </xf>
    <xf numFmtId="0" fontId="93" fillId="0" borderId="194" xfId="0" applyFont="1" applyBorder="1" applyAlignment="1">
      <alignment horizontal="center" vertical="center"/>
    </xf>
    <xf numFmtId="180" fontId="76" fillId="0" borderId="207" xfId="0" applyNumberFormat="1" applyFont="1" applyBorder="1" applyAlignment="1" applyProtection="1">
      <alignment horizontal="center" vertical="center" shrinkToFit="1"/>
      <protection locked="0"/>
    </xf>
    <xf numFmtId="0" fontId="113" fillId="13" borderId="38" xfId="0" applyFont="1" applyFill="1" applyBorder="1" applyAlignment="1">
      <alignment horizontal="center" vertical="center" textRotation="255"/>
    </xf>
    <xf numFmtId="0" fontId="113" fillId="13" borderId="130" xfId="0" applyFont="1" applyFill="1" applyBorder="1" applyAlignment="1">
      <alignment horizontal="center" vertical="center" textRotation="255"/>
    </xf>
    <xf numFmtId="0" fontId="113" fillId="13" borderId="12" xfId="0" applyFont="1" applyFill="1" applyBorder="1" applyAlignment="1">
      <alignment horizontal="center" vertical="center" textRotation="255"/>
    </xf>
    <xf numFmtId="0" fontId="113" fillId="13" borderId="3" xfId="0" applyFont="1" applyFill="1" applyBorder="1" applyAlignment="1">
      <alignment horizontal="center" vertical="center" textRotation="255"/>
    </xf>
    <xf numFmtId="180" fontId="76" fillId="0" borderId="52" xfId="0" applyNumberFormat="1" applyFont="1" applyBorder="1" applyAlignment="1" applyProtection="1">
      <alignment horizontal="center" vertical="center" shrinkToFit="1"/>
      <protection locked="0"/>
    </xf>
    <xf numFmtId="38" fontId="117" fillId="0" borderId="237" xfId="2" applyFont="1" applyFill="1" applyBorder="1" applyAlignment="1" applyProtection="1">
      <alignment horizontal="right" vertical="center" shrinkToFit="1"/>
    </xf>
    <xf numFmtId="38" fontId="117" fillId="0" borderId="238" xfId="2" applyFont="1" applyFill="1" applyBorder="1" applyAlignment="1" applyProtection="1">
      <alignment horizontal="right" vertical="center" shrinkToFit="1"/>
    </xf>
    <xf numFmtId="38" fontId="117" fillId="0" borderId="239" xfId="2" applyFont="1" applyFill="1" applyBorder="1" applyAlignment="1" applyProtection="1">
      <alignment horizontal="right" vertical="center" shrinkToFit="1"/>
    </xf>
    <xf numFmtId="38" fontId="117" fillId="0" borderId="240" xfId="2" applyFont="1" applyFill="1" applyBorder="1" applyAlignment="1" applyProtection="1">
      <alignment horizontal="right" vertical="center" shrinkToFit="1"/>
    </xf>
    <xf numFmtId="184" fontId="117" fillId="0" borderId="39" xfId="3" applyNumberFormat="1" applyFont="1" applyFill="1" applyBorder="1" applyAlignment="1" applyProtection="1">
      <alignment horizontal="right" vertical="center" shrinkToFit="1"/>
    </xf>
    <xf numFmtId="0" fontId="93" fillId="0" borderId="103" xfId="0" applyFont="1" applyBorder="1" applyAlignment="1">
      <alignment horizontal="center" vertical="center" wrapText="1"/>
    </xf>
    <xf numFmtId="0" fontId="93" fillId="0" borderId="204" xfId="0" applyFont="1" applyBorder="1" applyAlignment="1">
      <alignment horizontal="center" vertical="center" wrapText="1"/>
    </xf>
    <xf numFmtId="0" fontId="93" fillId="0" borderId="204" xfId="0" applyFont="1" applyBorder="1" applyAlignment="1">
      <alignment horizontal="center" vertical="center"/>
    </xf>
    <xf numFmtId="0" fontId="93" fillId="0" borderId="203" xfId="0" applyFont="1" applyBorder="1" applyAlignment="1">
      <alignment horizontal="center" vertical="center"/>
    </xf>
    <xf numFmtId="180" fontId="76" fillId="0" borderId="203" xfId="0" applyNumberFormat="1" applyFont="1" applyBorder="1" applyAlignment="1" applyProtection="1">
      <alignment horizontal="center" vertical="center" shrinkToFit="1"/>
      <protection locked="0"/>
    </xf>
    <xf numFmtId="180" fontId="76" fillId="0" borderId="202" xfId="0" applyNumberFormat="1" applyFont="1" applyBorder="1" applyAlignment="1" applyProtection="1">
      <alignment horizontal="center" vertical="center" shrinkToFit="1"/>
      <protection locked="0"/>
    </xf>
    <xf numFmtId="180" fontId="76" fillId="0" borderId="30" xfId="0" applyNumberFormat="1" applyFont="1" applyBorder="1" applyAlignment="1" applyProtection="1">
      <alignment horizontal="center" vertical="center" shrinkToFit="1"/>
      <protection locked="0"/>
    </xf>
    <xf numFmtId="184" fontId="117" fillId="0" borderId="233" xfId="3" applyNumberFormat="1" applyFont="1" applyFill="1" applyBorder="1" applyAlignment="1" applyProtection="1">
      <alignment horizontal="right" vertical="center" shrinkToFit="1"/>
    </xf>
    <xf numFmtId="0" fontId="116" fillId="0" borderId="11" xfId="0" applyFont="1" applyBorder="1" applyAlignment="1">
      <alignment horizontal="center" vertical="center" shrinkToFit="1"/>
    </xf>
    <xf numFmtId="0" fontId="116" fillId="0" borderId="2" xfId="0" applyFont="1" applyBorder="1" applyAlignment="1">
      <alignment horizontal="center" vertical="center" shrinkToFit="1"/>
    </xf>
    <xf numFmtId="0" fontId="116" fillId="0" borderId="3" xfId="0" applyFont="1" applyBorder="1" applyAlignment="1">
      <alignment horizontal="center" vertical="center" shrinkToFit="1"/>
    </xf>
    <xf numFmtId="180" fontId="76" fillId="0" borderId="43" xfId="0" applyNumberFormat="1" applyFont="1" applyBorder="1" applyAlignment="1" applyProtection="1">
      <alignment horizontal="center" vertical="center" shrinkToFit="1"/>
      <protection locked="0"/>
    </xf>
    <xf numFmtId="180" fontId="113" fillId="0" borderId="28" xfId="3" applyNumberFormat="1" applyFont="1" applyFill="1" applyBorder="1" applyAlignment="1" applyProtection="1">
      <alignment horizontal="right" vertical="center" shrinkToFit="1"/>
    </xf>
    <xf numFmtId="180" fontId="113" fillId="0" borderId="44" xfId="3" applyNumberFormat="1" applyFont="1" applyFill="1" applyBorder="1" applyAlignment="1" applyProtection="1">
      <alignment horizontal="right" vertical="center" shrinkToFit="1"/>
    </xf>
    <xf numFmtId="180" fontId="80" fillId="0" borderId="201" xfId="3" applyNumberFormat="1" applyFont="1" applyFill="1" applyBorder="1" applyAlignment="1" applyProtection="1">
      <alignment horizontal="right" vertical="center" shrinkToFit="1"/>
    </xf>
    <xf numFmtId="180" fontId="80" fillId="0" borderId="200" xfId="3" applyNumberFormat="1" applyFont="1" applyFill="1" applyBorder="1" applyAlignment="1" applyProtection="1">
      <alignment horizontal="right" vertical="center" shrinkToFit="1"/>
    </xf>
    <xf numFmtId="38" fontId="113" fillId="0" borderId="26" xfId="1" applyFont="1" applyFill="1" applyBorder="1" applyAlignment="1" applyProtection="1">
      <alignment horizontal="right" vertical="center" shrinkToFit="1"/>
    </xf>
    <xf numFmtId="38" fontId="113" fillId="0" borderId="91" xfId="1" applyFont="1" applyFill="1" applyBorder="1" applyAlignment="1" applyProtection="1">
      <alignment horizontal="right" vertical="center" shrinkToFit="1"/>
    </xf>
    <xf numFmtId="0" fontId="17" fillId="0" borderId="0" xfId="0" applyFont="1" applyAlignment="1">
      <alignment horizontal="center" vertical="center"/>
    </xf>
    <xf numFmtId="0" fontId="111" fillId="0" borderId="0" xfId="0" applyFont="1" applyAlignment="1">
      <alignment horizontal="left" vertical="center"/>
    </xf>
    <xf numFmtId="0" fontId="96" fillId="10" borderId="2" xfId="0" applyFont="1" applyFill="1" applyBorder="1" applyAlignment="1">
      <alignment horizontal="center" vertical="center"/>
    </xf>
    <xf numFmtId="0" fontId="96" fillId="10" borderId="3" xfId="0" applyFont="1" applyFill="1" applyBorder="1" applyAlignment="1">
      <alignment horizontal="center" vertical="center"/>
    </xf>
    <xf numFmtId="180" fontId="76" fillId="0" borderId="185" xfId="0" applyNumberFormat="1" applyFont="1" applyBorder="1" applyAlignment="1" applyProtection="1">
      <alignment horizontal="center" vertical="center" shrinkToFit="1"/>
      <protection locked="0"/>
    </xf>
    <xf numFmtId="180" fontId="76" fillId="0" borderId="42" xfId="0" applyNumberFormat="1" applyFont="1" applyBorder="1" applyAlignment="1" applyProtection="1">
      <alignment horizontal="center" vertical="center" shrinkToFit="1"/>
      <protection locked="0"/>
    </xf>
    <xf numFmtId="180" fontId="113" fillId="0" borderId="86" xfId="3" applyNumberFormat="1" applyFont="1" applyFill="1" applyBorder="1" applyAlignment="1" applyProtection="1">
      <alignment horizontal="right" vertical="center" shrinkToFit="1"/>
    </xf>
    <xf numFmtId="180" fontId="113" fillId="0" borderId="105" xfId="3" applyNumberFormat="1" applyFont="1" applyFill="1" applyBorder="1" applyAlignment="1" applyProtection="1">
      <alignment horizontal="right" vertical="center" shrinkToFit="1"/>
    </xf>
    <xf numFmtId="6" fontId="117" fillId="0" borderId="55" xfId="4" applyFont="1" applyFill="1" applyBorder="1" applyAlignment="1" applyProtection="1">
      <alignment horizontal="right" vertical="center" shrinkToFit="1"/>
    </xf>
    <xf numFmtId="6" fontId="117" fillId="0" borderId="21" xfId="4" applyFont="1" applyFill="1" applyBorder="1" applyAlignment="1" applyProtection="1">
      <alignment horizontal="right" vertical="center" shrinkToFit="1"/>
    </xf>
    <xf numFmtId="0" fontId="97" fillId="3" borderId="179" xfId="0" applyFont="1" applyFill="1" applyBorder="1" applyAlignment="1">
      <alignment horizontal="center" vertical="center" textRotation="255"/>
    </xf>
    <xf numFmtId="0" fontId="97" fillId="3" borderId="255" xfId="0" applyFont="1" applyFill="1" applyBorder="1" applyAlignment="1">
      <alignment horizontal="center" vertical="center" textRotation="255"/>
    </xf>
    <xf numFmtId="0" fontId="97" fillId="11" borderId="179" xfId="0" applyFont="1" applyFill="1" applyBorder="1" applyAlignment="1">
      <alignment horizontal="center" vertical="center" textRotation="255"/>
    </xf>
    <xf numFmtId="0" fontId="97" fillId="11" borderId="255" xfId="0" applyFont="1" applyFill="1" applyBorder="1" applyAlignment="1">
      <alignment horizontal="center" vertical="center" textRotation="255"/>
    </xf>
    <xf numFmtId="38" fontId="117" fillId="0" borderId="36" xfId="2" applyFont="1" applyFill="1" applyBorder="1" applyAlignment="1" applyProtection="1">
      <alignment vertical="center" shrinkToFit="1"/>
    </xf>
    <xf numFmtId="38" fontId="117" fillId="0" borderId="35" xfId="2" applyFont="1" applyFill="1" applyBorder="1" applyAlignment="1" applyProtection="1">
      <alignment vertical="center" shrinkToFit="1"/>
    </xf>
    <xf numFmtId="38" fontId="117" fillId="0" borderId="186" xfId="2" applyFont="1" applyFill="1" applyBorder="1" applyAlignment="1" applyProtection="1">
      <alignment vertical="center" shrinkToFit="1"/>
    </xf>
    <xf numFmtId="38" fontId="81" fillId="0" borderId="15" xfId="3" applyFont="1" applyFill="1" applyBorder="1" applyAlignment="1" applyProtection="1">
      <alignment horizontal="center"/>
    </xf>
    <xf numFmtId="38" fontId="81" fillId="0" borderId="14" xfId="3" applyFont="1" applyFill="1" applyBorder="1" applyAlignment="1" applyProtection="1">
      <alignment horizontal="center"/>
    </xf>
    <xf numFmtId="176" fontId="80" fillId="0" borderId="170" xfId="0" applyNumberFormat="1" applyFont="1" applyBorder="1" applyAlignment="1">
      <alignment horizontal="center" vertical="center" shrinkToFit="1"/>
    </xf>
    <xf numFmtId="176" fontId="80" fillId="0" borderId="171" xfId="0" applyNumberFormat="1" applyFont="1" applyBorder="1" applyAlignment="1">
      <alignment horizontal="center" vertical="center" shrinkToFit="1"/>
    </xf>
    <xf numFmtId="176" fontId="76" fillId="0" borderId="164" xfId="0" applyNumberFormat="1" applyFont="1" applyBorder="1" applyAlignment="1" applyProtection="1">
      <alignment horizontal="center" vertical="center" shrinkToFit="1"/>
      <protection locked="0"/>
    </xf>
    <xf numFmtId="176" fontId="76" fillId="0" borderId="165" xfId="0" applyNumberFormat="1" applyFont="1" applyBorder="1" applyAlignment="1" applyProtection="1">
      <alignment horizontal="center" vertical="center" shrinkToFit="1"/>
      <protection locked="0"/>
    </xf>
    <xf numFmtId="176" fontId="76" fillId="0" borderId="94" xfId="0" applyNumberFormat="1" applyFont="1" applyBorder="1" applyAlignment="1" applyProtection="1">
      <alignment horizontal="center" vertical="center" shrinkToFit="1"/>
      <protection locked="0"/>
    </xf>
    <xf numFmtId="176" fontId="76" fillId="0" borderId="167" xfId="0" applyNumberFormat="1" applyFont="1" applyBorder="1" applyAlignment="1" applyProtection="1">
      <alignment horizontal="center" vertical="center" shrinkToFit="1"/>
      <protection locked="0"/>
    </xf>
    <xf numFmtId="176" fontId="76" fillId="0" borderId="168" xfId="0" applyNumberFormat="1" applyFont="1" applyBorder="1" applyAlignment="1" applyProtection="1">
      <alignment horizontal="center" vertical="center" shrinkToFit="1"/>
      <protection locked="0"/>
    </xf>
    <xf numFmtId="176" fontId="76" fillId="0" borderId="169" xfId="0" applyNumberFormat="1" applyFont="1" applyBorder="1" applyAlignment="1" applyProtection="1">
      <alignment horizontal="center" vertical="center" shrinkToFit="1"/>
      <protection locked="0"/>
    </xf>
    <xf numFmtId="176" fontId="76" fillId="0" borderId="274" xfId="0" applyNumberFormat="1" applyFont="1" applyBorder="1" applyAlignment="1" applyProtection="1">
      <alignment horizontal="center" vertical="center" shrinkToFit="1"/>
      <protection locked="0"/>
    </xf>
    <xf numFmtId="176" fontId="76" fillId="0" borderId="275" xfId="0" applyNumberFormat="1" applyFont="1" applyBorder="1" applyAlignment="1" applyProtection="1">
      <alignment horizontal="center" vertical="center" shrinkToFit="1"/>
      <protection locked="0"/>
    </xf>
    <xf numFmtId="176" fontId="76" fillId="0" borderId="276" xfId="0" applyNumberFormat="1" applyFont="1" applyBorder="1" applyAlignment="1" applyProtection="1">
      <alignment horizontal="center" vertical="center" shrinkToFit="1"/>
      <protection locked="0"/>
    </xf>
    <xf numFmtId="38" fontId="117" fillId="0" borderId="36" xfId="2" applyFont="1" applyFill="1" applyBorder="1" applyAlignment="1" applyProtection="1">
      <alignment horizontal="right" vertical="center" shrinkToFit="1"/>
    </xf>
    <xf numFmtId="38" fontId="117" fillId="0" borderId="35" xfId="2" applyFont="1" applyFill="1" applyBorder="1" applyAlignment="1" applyProtection="1">
      <alignment horizontal="right" vertical="center" shrinkToFit="1"/>
    </xf>
    <xf numFmtId="38" fontId="117" fillId="0" borderId="186" xfId="2" applyFont="1" applyFill="1" applyBorder="1" applyAlignment="1" applyProtection="1">
      <alignment horizontal="right" vertical="center" shrinkToFit="1"/>
    </xf>
    <xf numFmtId="176" fontId="76" fillId="0" borderId="172" xfId="0" applyNumberFormat="1" applyFont="1" applyBorder="1" applyAlignment="1" applyProtection="1">
      <alignment horizontal="center" vertical="center" shrinkToFit="1"/>
      <protection locked="0"/>
    </xf>
    <xf numFmtId="176" fontId="76" fillId="0" borderId="173" xfId="0" applyNumberFormat="1" applyFont="1" applyBorder="1" applyAlignment="1" applyProtection="1">
      <alignment horizontal="center" vertical="center" shrinkToFit="1"/>
      <protection locked="0"/>
    </xf>
    <xf numFmtId="38" fontId="113" fillId="0" borderId="28" xfId="1" applyFont="1" applyFill="1" applyBorder="1" applyAlignment="1" applyProtection="1">
      <alignment horizontal="right" vertical="center" shrinkToFit="1"/>
    </xf>
    <xf numFmtId="38" fontId="113" fillId="0" borderId="44" xfId="1" applyFont="1" applyFill="1" applyBorder="1" applyAlignment="1" applyProtection="1">
      <alignment horizontal="right" vertical="center" shrinkToFit="1"/>
    </xf>
    <xf numFmtId="176" fontId="76" fillId="0" borderId="277" xfId="0" applyNumberFormat="1" applyFont="1" applyBorder="1" applyAlignment="1" applyProtection="1">
      <alignment horizontal="center" vertical="center" shrinkToFit="1"/>
      <protection locked="0"/>
    </xf>
    <xf numFmtId="180" fontId="76" fillId="0" borderId="29" xfId="0" applyNumberFormat="1" applyFont="1" applyBorder="1" applyAlignment="1" applyProtection="1">
      <alignment horizontal="center" vertical="center" shrinkToFit="1"/>
      <protection locked="0"/>
    </xf>
    <xf numFmtId="176" fontId="76" fillId="0" borderId="189" xfId="0" applyNumberFormat="1" applyFont="1" applyBorder="1" applyAlignment="1" applyProtection="1">
      <alignment vertical="center" shrinkToFit="1"/>
      <protection locked="0"/>
    </xf>
    <xf numFmtId="176" fontId="76" fillId="0" borderId="162" xfId="0" applyNumberFormat="1" applyFont="1" applyBorder="1" applyAlignment="1" applyProtection="1">
      <alignment vertical="center" shrinkToFit="1"/>
      <protection locked="0"/>
    </xf>
    <xf numFmtId="176" fontId="76" fillId="0" borderId="163" xfId="0" applyNumberFormat="1" applyFont="1" applyBorder="1" applyAlignment="1" applyProtection="1">
      <alignment vertical="center" shrinkToFit="1"/>
      <protection locked="0"/>
    </xf>
    <xf numFmtId="38" fontId="97" fillId="0" borderId="15" xfId="2" applyFont="1" applyFill="1" applyBorder="1" applyAlignment="1" applyProtection="1">
      <alignment horizontal="right" vertical="center" shrinkToFit="1"/>
      <protection locked="0"/>
    </xf>
    <xf numFmtId="180" fontId="85" fillId="0" borderId="174" xfId="3" applyNumberFormat="1" applyFont="1" applyFill="1" applyBorder="1" applyAlignment="1" applyProtection="1">
      <alignment horizontal="center" vertical="center" shrinkToFit="1"/>
    </xf>
    <xf numFmtId="180" fontId="85" fillId="0" borderId="175" xfId="3" applyNumberFormat="1" applyFont="1" applyFill="1" applyBorder="1" applyAlignment="1" applyProtection="1">
      <alignment horizontal="center" vertical="center" shrinkToFit="1"/>
    </xf>
    <xf numFmtId="178" fontId="85" fillId="0" borderId="176" xfId="0" applyNumberFormat="1" applyFont="1" applyBorder="1" applyAlignment="1">
      <alignment horizontal="center" vertical="center" shrinkToFit="1"/>
    </xf>
    <xf numFmtId="178" fontId="85" fillId="0" borderId="177" xfId="0" applyNumberFormat="1" applyFont="1" applyBorder="1" applyAlignment="1">
      <alignment horizontal="center" vertical="center" shrinkToFit="1"/>
    </xf>
    <xf numFmtId="178" fontId="85" fillId="0" borderId="178" xfId="0" applyNumberFormat="1" applyFont="1" applyBorder="1" applyAlignment="1">
      <alignment horizontal="center" vertical="center" shrinkToFit="1"/>
    </xf>
    <xf numFmtId="178" fontId="140" fillId="0" borderId="140" xfId="0" applyNumberFormat="1" applyFont="1" applyBorder="1" applyAlignment="1">
      <alignment horizontal="center" vertical="center" wrapText="1" shrinkToFit="1"/>
    </xf>
    <xf numFmtId="178" fontId="140" fillId="0" borderId="0" xfId="0" applyNumberFormat="1" applyFont="1" applyAlignment="1">
      <alignment horizontal="center" vertical="center" wrapText="1" shrinkToFit="1"/>
    </xf>
    <xf numFmtId="178" fontId="140" fillId="0" borderId="12" xfId="0" applyNumberFormat="1" applyFont="1" applyBorder="1" applyAlignment="1">
      <alignment horizontal="center" vertical="center" wrapText="1" shrinkToFit="1"/>
    </xf>
    <xf numFmtId="178" fontId="116" fillId="0" borderId="136" xfId="0" applyNumberFormat="1" applyFont="1" applyBorder="1" applyAlignment="1">
      <alignment horizontal="center" vertical="center" shrinkToFit="1"/>
    </xf>
    <xf numFmtId="178" fontId="116" fillId="0" borderId="137" xfId="0" applyNumberFormat="1" applyFont="1" applyBorder="1" applyAlignment="1">
      <alignment horizontal="center" vertical="center" shrinkToFit="1"/>
    </xf>
    <xf numFmtId="178" fontId="116" fillId="0" borderId="242" xfId="0" applyNumberFormat="1" applyFont="1" applyBorder="1" applyAlignment="1">
      <alignment horizontal="center" vertical="center" shrinkToFit="1"/>
    </xf>
    <xf numFmtId="178" fontId="85" fillId="0" borderId="161" xfId="0" applyNumberFormat="1" applyFont="1" applyBorder="1" applyAlignment="1" applyProtection="1">
      <alignment horizontal="center" vertical="center" shrinkToFit="1"/>
      <protection locked="0"/>
    </xf>
    <xf numFmtId="178" fontId="85" fillId="0" borderId="162" xfId="0" applyNumberFormat="1" applyFont="1" applyBorder="1" applyAlignment="1" applyProtection="1">
      <alignment horizontal="center" vertical="center" shrinkToFit="1"/>
      <protection locked="0"/>
    </xf>
    <xf numFmtId="178" fontId="85" fillId="0" borderId="163" xfId="0" applyNumberFormat="1" applyFont="1" applyBorder="1" applyAlignment="1" applyProtection="1">
      <alignment horizontal="center" vertical="center" shrinkToFit="1"/>
      <protection locked="0"/>
    </xf>
    <xf numFmtId="178" fontId="116" fillId="10" borderId="2" xfId="0" applyNumberFormat="1" applyFont="1" applyFill="1" applyBorder="1" applyAlignment="1">
      <alignment horizontal="center" vertical="center"/>
    </xf>
    <xf numFmtId="178" fontId="116" fillId="10" borderId="3" xfId="0" applyNumberFormat="1" applyFont="1" applyFill="1" applyBorder="1" applyAlignment="1">
      <alignment horizontal="center" vertical="center"/>
    </xf>
    <xf numFmtId="178" fontId="111" fillId="0" borderId="13" xfId="0" applyNumberFormat="1" applyFont="1" applyBorder="1" applyAlignment="1">
      <alignment horizontal="center" vertical="center" textRotation="255" shrinkToFit="1"/>
    </xf>
    <xf numFmtId="178" fontId="111" fillId="0" borderId="136" xfId="0" applyNumberFormat="1" applyFont="1" applyBorder="1" applyAlignment="1">
      <alignment horizontal="center" vertical="center" textRotation="255" shrinkToFit="1"/>
    </xf>
    <xf numFmtId="180" fontId="76" fillId="0" borderId="40" xfId="0" applyNumberFormat="1" applyFont="1" applyBorder="1" applyAlignment="1" applyProtection="1">
      <alignment horizontal="center" vertical="center" shrinkToFit="1"/>
      <protection locked="0"/>
    </xf>
    <xf numFmtId="0" fontId="81" fillId="9" borderId="34" xfId="0" applyFont="1" applyFill="1" applyBorder="1" applyAlignment="1">
      <alignment horizontal="center" vertical="center" textRotation="255"/>
    </xf>
    <xf numFmtId="0" fontId="81" fillId="9" borderId="38" xfId="0" applyFont="1" applyFill="1" applyBorder="1" applyAlignment="1">
      <alignment horizontal="center" vertical="center" textRotation="255"/>
    </xf>
    <xf numFmtId="0" fontId="81" fillId="9" borderId="217" xfId="0" applyFont="1" applyFill="1" applyBorder="1" applyAlignment="1">
      <alignment horizontal="center" vertical="center" textRotation="255"/>
    </xf>
    <xf numFmtId="0" fontId="253" fillId="0" borderId="56" xfId="0" applyFont="1" applyBorder="1" applyAlignment="1">
      <alignment horizontal="center" vertical="center" justifyLastLine="1"/>
    </xf>
    <xf numFmtId="0" fontId="253" fillId="0" borderId="17" xfId="0" applyFont="1" applyBorder="1" applyAlignment="1">
      <alignment horizontal="center" vertical="center" justifyLastLine="1"/>
    </xf>
    <xf numFmtId="0" fontId="253" fillId="0" borderId="78" xfId="0" applyFont="1" applyBorder="1" applyAlignment="1">
      <alignment horizontal="center" vertical="center" justifyLastLine="1"/>
    </xf>
    <xf numFmtId="0" fontId="111" fillId="0" borderId="70" xfId="0" applyFont="1" applyBorder="1" applyAlignment="1" applyProtection="1">
      <alignment horizontal="left" vertical="center" shrinkToFit="1"/>
      <protection locked="0"/>
    </xf>
    <xf numFmtId="0" fontId="111" fillId="0" borderId="76" xfId="0" applyFont="1" applyBorder="1" applyAlignment="1" applyProtection="1">
      <alignment horizontal="left" vertical="center" shrinkToFit="1"/>
      <protection locked="0"/>
    </xf>
    <xf numFmtId="0" fontId="111" fillId="0" borderId="18" xfId="0" applyFont="1" applyBorder="1" applyAlignment="1" applyProtection="1">
      <alignment horizontal="left" vertical="center" shrinkToFit="1"/>
      <protection locked="0"/>
    </xf>
    <xf numFmtId="178" fontId="67" fillId="0" borderId="68" xfId="0" applyNumberFormat="1" applyFont="1" applyBorder="1" applyAlignment="1">
      <alignment horizontal="left" vertical="center" shrinkToFit="1"/>
    </xf>
    <xf numFmtId="178" fontId="93" fillId="0" borderId="68" xfId="0" applyNumberFormat="1" applyFont="1" applyBorder="1" applyAlignment="1">
      <alignment horizontal="left" vertical="center" shrinkToFit="1"/>
    </xf>
    <xf numFmtId="178" fontId="85" fillId="0" borderId="176" xfId="0" applyNumberFormat="1" applyFont="1" applyBorder="1" applyAlignment="1">
      <alignment horizontal="center" vertical="center" wrapText="1" shrinkToFit="1"/>
    </xf>
    <xf numFmtId="6" fontId="117" fillId="0" borderId="152" xfId="4" applyFont="1" applyFill="1" applyBorder="1" applyAlignment="1" applyProtection="1">
      <alignment horizontal="right" vertical="center" shrinkToFit="1"/>
    </xf>
    <xf numFmtId="6" fontId="117" fillId="0" borderId="64" xfId="4" applyFont="1" applyFill="1" applyBorder="1" applyAlignment="1" applyProtection="1">
      <alignment horizontal="right" vertical="center" shrinkToFit="1"/>
    </xf>
    <xf numFmtId="0" fontId="111" fillId="0" borderId="15" xfId="0" applyFont="1" applyBorder="1" applyAlignment="1">
      <alignment horizontal="center" vertical="center" wrapText="1"/>
    </xf>
    <xf numFmtId="0" fontId="111" fillId="0" borderId="10" xfId="0" applyFont="1" applyBorder="1" applyAlignment="1">
      <alignment horizontal="center" vertical="center" wrapText="1"/>
    </xf>
    <xf numFmtId="0" fontId="111" fillId="0" borderId="14" xfId="0" applyFont="1" applyBorder="1" applyAlignment="1">
      <alignment horizontal="center" vertical="center" wrapText="1"/>
    </xf>
    <xf numFmtId="0" fontId="111" fillId="0" borderId="74" xfId="0" applyFont="1" applyBorder="1" applyAlignment="1" applyProtection="1">
      <alignment horizontal="left" vertical="center" shrinkToFit="1"/>
      <protection locked="0"/>
    </xf>
    <xf numFmtId="0" fontId="111" fillId="0" borderId="17" xfId="0" applyFont="1" applyBorder="1" applyAlignment="1" applyProtection="1">
      <alignment horizontal="left" vertical="center" shrinkToFit="1"/>
      <protection locked="0"/>
    </xf>
    <xf numFmtId="0" fontId="111" fillId="0" borderId="78" xfId="0" applyFont="1" applyBorder="1" applyAlignment="1" applyProtection="1">
      <alignment horizontal="left" vertical="center" shrinkToFit="1"/>
      <protection locked="0"/>
    </xf>
    <xf numFmtId="0" fontId="111" fillId="0" borderId="71" xfId="0" applyFont="1" applyBorder="1" applyAlignment="1" applyProtection="1">
      <alignment horizontal="left" vertical="center" shrinkToFit="1"/>
      <protection locked="0"/>
    </xf>
    <xf numFmtId="0" fontId="111" fillId="0" borderId="10" xfId="0" applyFont="1" applyBorder="1" applyAlignment="1" applyProtection="1">
      <alignment horizontal="left" vertical="center" shrinkToFit="1"/>
      <protection locked="0"/>
    </xf>
    <xf numFmtId="0" fontId="111" fillId="0" borderId="269" xfId="0" applyFont="1" applyBorder="1" applyAlignment="1" applyProtection="1">
      <alignment horizontal="left" vertical="center" shrinkToFit="1"/>
      <protection locked="0"/>
    </xf>
    <xf numFmtId="180" fontId="76" fillId="0" borderId="222" xfId="0" applyNumberFormat="1" applyFont="1" applyBorder="1" applyAlignment="1" applyProtection="1">
      <alignment horizontal="center" vertical="center" shrinkToFit="1"/>
      <protection locked="0"/>
    </xf>
    <xf numFmtId="180" fontId="76" fillId="0" borderId="210" xfId="0" applyNumberFormat="1" applyFont="1" applyBorder="1" applyAlignment="1" applyProtection="1">
      <alignment horizontal="center" vertical="center" shrinkToFit="1"/>
      <protection locked="0"/>
    </xf>
    <xf numFmtId="180" fontId="76" fillId="0" borderId="211" xfId="0" applyNumberFormat="1" applyFont="1" applyBorder="1" applyAlignment="1" applyProtection="1">
      <alignment horizontal="center" vertical="center" shrinkToFit="1"/>
      <protection locked="0"/>
    </xf>
    <xf numFmtId="0" fontId="93" fillId="0" borderId="104" xfId="0" applyFont="1" applyBorder="1" applyAlignment="1" applyProtection="1">
      <alignment horizontal="center" vertical="center" wrapText="1" shrinkToFit="1"/>
      <protection locked="0"/>
    </xf>
    <xf numFmtId="0" fontId="93" fillId="0" borderId="209" xfId="0" applyFont="1" applyBorder="1" applyAlignment="1" applyProtection="1">
      <alignment horizontal="center" vertical="center" wrapText="1" shrinkToFit="1"/>
      <protection locked="0"/>
    </xf>
    <xf numFmtId="0" fontId="93" fillId="0" borderId="201" xfId="0" applyFont="1" applyBorder="1" applyAlignment="1" applyProtection="1">
      <alignment horizontal="center" vertical="center" wrapText="1" shrinkToFit="1"/>
      <protection locked="0"/>
    </xf>
    <xf numFmtId="0" fontId="80" fillId="0" borderId="98" xfId="0" applyFont="1" applyBorder="1" applyAlignment="1" applyProtection="1">
      <alignment horizontal="center" vertical="center"/>
      <protection locked="0"/>
    </xf>
    <xf numFmtId="178" fontId="67" fillId="0" borderId="250" xfId="0" applyNumberFormat="1" applyFont="1" applyBorder="1" applyAlignment="1">
      <alignment horizontal="left" vertical="center" shrinkToFit="1"/>
    </xf>
    <xf numFmtId="178" fontId="93" fillId="0" borderId="250" xfId="0" applyNumberFormat="1" applyFont="1" applyBorder="1" applyAlignment="1">
      <alignment horizontal="left" vertical="center" shrinkToFit="1"/>
    </xf>
    <xf numFmtId="178" fontId="85" fillId="0" borderId="34" xfId="0" applyNumberFormat="1" applyFont="1" applyBorder="1" applyAlignment="1">
      <alignment horizontal="center" vertical="center" shrinkToFit="1"/>
    </xf>
    <xf numFmtId="178" fontId="85" fillId="0" borderId="60" xfId="0" applyNumberFormat="1" applyFont="1" applyBorder="1" applyAlignment="1">
      <alignment horizontal="center" vertical="center" shrinkToFit="1"/>
    </xf>
    <xf numFmtId="178" fontId="85" fillId="0" borderId="58" xfId="0" applyNumberFormat="1" applyFont="1" applyBorder="1" applyAlignment="1">
      <alignment horizontal="center" vertical="center" shrinkToFit="1"/>
    </xf>
    <xf numFmtId="178" fontId="85" fillId="0" borderId="59" xfId="0" applyNumberFormat="1" applyFont="1" applyBorder="1" applyAlignment="1">
      <alignment horizontal="center" vertical="center" shrinkToFit="1"/>
    </xf>
    <xf numFmtId="178" fontId="85" fillId="0" borderId="320" xfId="0" applyNumberFormat="1" applyFont="1" applyBorder="1" applyAlignment="1">
      <alignment horizontal="center" vertical="center" shrinkToFit="1"/>
    </xf>
    <xf numFmtId="178" fontId="85" fillId="0" borderId="321" xfId="0" applyNumberFormat="1" applyFont="1" applyBorder="1" applyAlignment="1">
      <alignment horizontal="center" vertical="center" shrinkToFit="1"/>
    </xf>
    <xf numFmtId="178" fontId="85" fillId="0" borderId="322" xfId="0" applyNumberFormat="1" applyFont="1" applyBorder="1" applyAlignment="1">
      <alignment horizontal="center" vertical="center" shrinkToFit="1"/>
    </xf>
    <xf numFmtId="178" fontId="67" fillId="0" borderId="283" xfId="0" applyNumberFormat="1" applyFont="1" applyBorder="1" applyAlignment="1">
      <alignment horizontal="left" vertical="center" shrinkToFit="1"/>
    </xf>
    <xf numFmtId="178" fontId="67" fillId="0" borderId="8" xfId="0" applyNumberFormat="1" applyFont="1" applyBorder="1" applyAlignment="1">
      <alignment horizontal="left" vertical="center" shrinkToFit="1"/>
    </xf>
    <xf numFmtId="178" fontId="67" fillId="0" borderId="119" xfId="0" applyNumberFormat="1" applyFont="1" applyBorder="1" applyAlignment="1">
      <alignment horizontal="left" vertical="center" shrinkToFit="1"/>
    </xf>
    <xf numFmtId="178" fontId="85" fillId="0" borderId="159" xfId="0" applyNumberFormat="1" applyFont="1" applyBorder="1" applyAlignment="1" applyProtection="1">
      <alignment horizontal="center" vertical="center" shrinkToFit="1"/>
      <protection locked="0"/>
    </xf>
    <xf numFmtId="178" fontId="85" fillId="0" borderId="27" xfId="0" applyNumberFormat="1" applyFont="1" applyBorder="1" applyAlignment="1" applyProtection="1">
      <alignment horizontal="center" vertical="center" shrinkToFit="1"/>
      <protection locked="0"/>
    </xf>
    <xf numFmtId="178" fontId="85" fillId="0" borderId="28" xfId="0" applyNumberFormat="1" applyFont="1" applyBorder="1" applyAlignment="1" applyProtection="1">
      <alignment horizontal="center" vertical="center" shrinkToFit="1"/>
      <protection locked="0"/>
    </xf>
    <xf numFmtId="178" fontId="85" fillId="0" borderId="181" xfId="0" applyNumberFormat="1" applyFont="1" applyBorder="1" applyAlignment="1">
      <alignment horizontal="center" vertical="center" shrinkToFit="1"/>
    </xf>
    <xf numFmtId="178" fontId="85" fillId="0" borderId="182" xfId="0" applyNumberFormat="1" applyFont="1" applyBorder="1" applyAlignment="1">
      <alignment horizontal="center" vertical="center" shrinkToFit="1"/>
    </xf>
    <xf numFmtId="178" fontId="85" fillId="0" borderId="102" xfId="0" applyNumberFormat="1" applyFont="1" applyBorder="1" applyAlignment="1">
      <alignment horizontal="center" vertical="center" shrinkToFit="1"/>
    </xf>
    <xf numFmtId="178" fontId="85" fillId="0" borderId="159" xfId="0" applyNumberFormat="1" applyFont="1" applyBorder="1" applyAlignment="1">
      <alignment horizontal="center" vertical="center" wrapText="1" shrinkToFit="1"/>
    </xf>
    <xf numFmtId="180" fontId="115" fillId="0" borderId="164" xfId="3" applyNumberFormat="1" applyFont="1" applyFill="1" applyBorder="1" applyAlignment="1" applyProtection="1">
      <alignment horizontal="right" vertical="center" shrinkToFit="1"/>
    </xf>
    <xf numFmtId="180" fontId="113" fillId="0" borderId="94" xfId="3" applyNumberFormat="1" applyFont="1" applyFill="1" applyBorder="1" applyAlignment="1" applyProtection="1">
      <alignment horizontal="right" vertical="center" shrinkToFit="1"/>
    </xf>
    <xf numFmtId="180" fontId="115" fillId="0" borderId="139" xfId="3" applyNumberFormat="1" applyFont="1" applyFill="1" applyBorder="1" applyAlignment="1" applyProtection="1">
      <alignment horizontal="right" vertical="center" shrinkToFit="1"/>
    </xf>
    <xf numFmtId="180" fontId="113" fillId="0" borderId="14" xfId="3" applyNumberFormat="1" applyFont="1" applyFill="1" applyBorder="1" applyAlignment="1" applyProtection="1">
      <alignment horizontal="right" vertical="center" shrinkToFit="1"/>
    </xf>
    <xf numFmtId="180" fontId="76" fillId="0" borderId="166" xfId="0" applyNumberFormat="1" applyFont="1" applyBorder="1" applyAlignment="1" applyProtection="1">
      <alignment horizontal="center" vertical="center" shrinkToFit="1"/>
      <protection locked="0"/>
    </xf>
    <xf numFmtId="180" fontId="76" fillId="0" borderId="99" xfId="0" applyNumberFormat="1" applyFont="1" applyBorder="1" applyAlignment="1" applyProtection="1">
      <alignment horizontal="center" vertical="center" shrinkToFit="1"/>
      <protection locked="0"/>
    </xf>
    <xf numFmtId="180" fontId="76" fillId="0" borderId="184" xfId="0" applyNumberFormat="1" applyFont="1" applyBorder="1" applyAlignment="1" applyProtection="1">
      <alignment horizontal="center" vertical="center" shrinkToFit="1"/>
      <protection locked="0"/>
    </xf>
    <xf numFmtId="0" fontId="93" fillId="0" borderId="55" xfId="0" applyFont="1" applyBorder="1" applyAlignment="1">
      <alignment horizontal="center" vertical="center" wrapText="1" shrinkToFit="1"/>
    </xf>
    <xf numFmtId="0" fontId="93" fillId="0" borderId="21" xfId="0" applyFont="1" applyBorder="1" applyAlignment="1">
      <alignment horizontal="center" vertical="center" shrinkToFit="1"/>
    </xf>
    <xf numFmtId="176" fontId="76" fillId="0" borderId="176" xfId="0" applyNumberFormat="1" applyFont="1" applyBorder="1" applyAlignment="1" applyProtection="1">
      <alignment horizontal="center" vertical="center" shrinkToFit="1"/>
      <protection locked="0"/>
    </xf>
    <xf numFmtId="176" fontId="76" fillId="0" borderId="177" xfId="0" applyNumberFormat="1" applyFont="1" applyBorder="1" applyAlignment="1" applyProtection="1">
      <alignment horizontal="center" vertical="center" shrinkToFit="1"/>
      <protection locked="0"/>
    </xf>
    <xf numFmtId="176" fontId="76" fillId="0" borderId="92" xfId="0" applyNumberFormat="1" applyFont="1" applyBorder="1" applyAlignment="1" applyProtection="1">
      <alignment horizontal="center" vertical="center" shrinkToFit="1"/>
      <protection locked="0"/>
    </xf>
    <xf numFmtId="0" fontId="93" fillId="0" borderId="34" xfId="0" applyFont="1" applyBorder="1" applyAlignment="1">
      <alignment horizontal="center" vertical="center"/>
    </xf>
    <xf numFmtId="38" fontId="93" fillId="0" borderId="11" xfId="3" applyFont="1" applyFill="1" applyBorder="1" applyAlignment="1" applyProtection="1">
      <alignment horizontal="center"/>
    </xf>
    <xf numFmtId="38" fontId="93" fillId="0" borderId="3" xfId="3" applyFont="1" applyFill="1" applyBorder="1" applyAlignment="1" applyProtection="1">
      <alignment horizontal="center"/>
    </xf>
    <xf numFmtId="180" fontId="80" fillId="0" borderId="198" xfId="3" applyNumberFormat="1" applyFont="1" applyFill="1" applyBorder="1" applyAlignment="1" applyProtection="1">
      <alignment horizontal="right" vertical="center" shrinkToFit="1"/>
    </xf>
    <xf numFmtId="180" fontId="80" fillId="0" borderId="199" xfId="3" applyNumberFormat="1" applyFont="1" applyFill="1" applyBorder="1" applyAlignment="1" applyProtection="1">
      <alignment horizontal="right" vertical="center" shrinkToFit="1"/>
    </xf>
    <xf numFmtId="180" fontId="80" fillId="0" borderId="193" xfId="3" applyNumberFormat="1" applyFont="1" applyFill="1" applyBorder="1" applyAlignment="1" applyProtection="1">
      <alignment horizontal="right" vertical="center" shrinkToFit="1"/>
    </xf>
    <xf numFmtId="180" fontId="80" fillId="0" borderId="194" xfId="3" applyNumberFormat="1" applyFont="1" applyFill="1" applyBorder="1" applyAlignment="1" applyProtection="1">
      <alignment horizontal="right" vertical="center" shrinkToFit="1"/>
    </xf>
    <xf numFmtId="0" fontId="93" fillId="0" borderId="212" xfId="0" applyFont="1" applyBorder="1" applyAlignment="1">
      <alignment horizontal="center" vertical="center" wrapText="1" shrinkToFit="1"/>
    </xf>
    <xf numFmtId="0" fontId="93" fillId="0" borderId="212" xfId="0" applyFont="1" applyBorder="1" applyAlignment="1">
      <alignment horizontal="center" vertical="center" shrinkToFit="1"/>
    </xf>
    <xf numFmtId="191" fontId="81" fillId="0" borderId="56" xfId="0" applyNumberFormat="1" applyFont="1" applyBorder="1" applyAlignment="1">
      <alignment horizontal="center" vertical="center" justifyLastLine="1"/>
    </xf>
    <xf numFmtId="191" fontId="81" fillId="0" borderId="17" xfId="0" applyNumberFormat="1" applyFont="1" applyBorder="1" applyAlignment="1">
      <alignment horizontal="center" vertical="center" justifyLastLine="1"/>
    </xf>
    <xf numFmtId="191" fontId="81" fillId="0" borderId="55" xfId="0" applyNumberFormat="1" applyFont="1" applyBorder="1" applyAlignment="1">
      <alignment horizontal="center" vertical="center" justifyLastLine="1"/>
    </xf>
    <xf numFmtId="176" fontId="76" fillId="0" borderId="207" xfId="0" applyNumberFormat="1" applyFont="1" applyBorder="1" applyAlignment="1" applyProtection="1">
      <alignment horizontal="center" vertical="center" shrinkToFit="1"/>
      <protection locked="0"/>
    </xf>
    <xf numFmtId="0" fontId="258" fillId="0" borderId="53" xfId="0" applyFont="1" applyBorder="1" applyAlignment="1">
      <alignment vertical="center" wrapText="1"/>
    </xf>
    <xf numFmtId="0" fontId="257" fillId="0" borderId="53" xfId="0" applyFont="1" applyBorder="1" applyAlignment="1">
      <alignment vertical="center" wrapText="1"/>
    </xf>
    <xf numFmtId="0" fontId="257" fillId="0" borderId="0" xfId="0" applyFont="1" applyAlignment="1">
      <alignment vertical="center" wrapText="1"/>
    </xf>
    <xf numFmtId="6" fontId="117" fillId="0" borderId="39" xfId="4" applyFont="1" applyFill="1" applyBorder="1" applyAlignment="1" applyProtection="1">
      <alignment horizontal="right" vertical="center" shrinkToFit="1"/>
    </xf>
    <xf numFmtId="38" fontId="97" fillId="0" borderId="154" xfId="2" applyFont="1" applyFill="1" applyBorder="1" applyAlignment="1" applyProtection="1">
      <alignment horizontal="right" vertical="center" shrinkToFit="1"/>
    </xf>
    <xf numFmtId="38" fontId="97" fillId="0" borderId="156" xfId="2" applyFont="1" applyFill="1" applyBorder="1" applyAlignment="1" applyProtection="1">
      <alignment horizontal="right" vertical="center" shrinkToFit="1"/>
    </xf>
    <xf numFmtId="6" fontId="117" fillId="0" borderId="233" xfId="4" applyFont="1" applyFill="1" applyBorder="1" applyAlignment="1" applyProtection="1">
      <alignment horizontal="right" vertical="center" shrinkToFit="1"/>
    </xf>
    <xf numFmtId="191" fontId="81" fillId="0" borderId="89" xfId="0" applyNumberFormat="1" applyFont="1" applyBorder="1" applyAlignment="1">
      <alignment horizontal="center" vertical="center"/>
    </xf>
    <xf numFmtId="191" fontId="81" fillId="0" borderId="131" xfId="0" applyNumberFormat="1" applyFont="1" applyBorder="1" applyAlignment="1">
      <alignment horizontal="center" vertical="center" justifyLastLine="1"/>
    </xf>
    <xf numFmtId="191" fontId="81" fillId="0" borderId="76" xfId="0" applyNumberFormat="1" applyFont="1" applyBorder="1" applyAlignment="1">
      <alignment horizontal="center" vertical="center" justifyLastLine="1"/>
    </xf>
    <xf numFmtId="191" fontId="81" fillId="0" borderId="75" xfId="0" applyNumberFormat="1" applyFont="1" applyBorder="1" applyAlignment="1">
      <alignment horizontal="center" vertical="center" justifyLastLine="1"/>
    </xf>
    <xf numFmtId="38" fontId="117" fillId="10" borderId="20" xfId="2" applyFont="1" applyFill="1" applyBorder="1" applyAlignment="1" applyProtection="1">
      <alignment vertical="center" shrinkToFit="1"/>
    </xf>
    <xf numFmtId="38" fontId="97" fillId="0" borderId="60" xfId="2" applyFont="1" applyBorder="1" applyAlignment="1" applyProtection="1">
      <alignment vertical="center" shrinkToFit="1"/>
    </xf>
    <xf numFmtId="38" fontId="97" fillId="0" borderId="58" xfId="2" applyFont="1" applyBorder="1" applyAlignment="1" applyProtection="1">
      <alignment vertical="center" shrinkToFit="1"/>
    </xf>
    <xf numFmtId="38" fontId="97" fillId="0" borderId="61" xfId="2" applyFont="1" applyBorder="1" applyAlignment="1" applyProtection="1">
      <alignment vertical="center" shrinkToFit="1"/>
    </xf>
    <xf numFmtId="38" fontId="97" fillId="0" borderId="59" xfId="2" applyFont="1" applyBorder="1" applyAlignment="1" applyProtection="1">
      <alignment vertical="center" shrinkToFit="1"/>
    </xf>
    <xf numFmtId="0" fontId="262" fillId="13" borderId="34" xfId="0" applyFont="1" applyFill="1" applyBorder="1" applyAlignment="1">
      <alignment horizontal="center" vertical="center" textRotation="255"/>
    </xf>
    <xf numFmtId="0" fontId="262" fillId="13" borderId="38" xfId="0" applyFont="1" applyFill="1" applyBorder="1" applyAlignment="1">
      <alignment horizontal="center" vertical="center" textRotation="255"/>
    </xf>
    <xf numFmtId="0" fontId="262" fillId="13" borderId="39" xfId="0" applyFont="1" applyFill="1" applyBorder="1" applyAlignment="1">
      <alignment horizontal="center" vertical="center" textRotation="255"/>
    </xf>
    <xf numFmtId="0" fontId="111" fillId="0" borderId="12" xfId="0" applyFont="1" applyBorder="1" applyAlignment="1">
      <alignment horizontal="center" vertical="center" textRotation="255"/>
    </xf>
    <xf numFmtId="0" fontId="111" fillId="0" borderId="129" xfId="0" applyFont="1" applyBorder="1" applyAlignment="1">
      <alignment horizontal="center" vertical="center" textRotation="255"/>
    </xf>
    <xf numFmtId="38" fontId="117" fillId="0" borderId="241" xfId="2" applyFont="1" applyFill="1" applyBorder="1" applyAlignment="1" applyProtection="1">
      <alignment horizontal="right" vertical="center" shrinkToFit="1"/>
    </xf>
    <xf numFmtId="38" fontId="117" fillId="0" borderId="242" xfId="2" applyFont="1" applyFill="1" applyBorder="1" applyAlignment="1" applyProtection="1">
      <alignment horizontal="right" vertical="center" shrinkToFit="1"/>
    </xf>
    <xf numFmtId="180" fontId="76" fillId="0" borderId="100" xfId="0" applyNumberFormat="1" applyFont="1" applyBorder="1" applyAlignment="1" applyProtection="1">
      <alignment horizontal="center" vertical="center" shrinkToFit="1"/>
      <protection locked="0"/>
    </xf>
    <xf numFmtId="38" fontId="97" fillId="0" borderId="155" xfId="2" applyFont="1" applyFill="1" applyBorder="1" applyAlignment="1" applyProtection="1">
      <alignment horizontal="right" vertical="center" shrinkToFit="1"/>
    </xf>
    <xf numFmtId="38" fontId="97" fillId="0" borderId="10" xfId="2" applyFont="1" applyFill="1" applyBorder="1" applyAlignment="1" applyProtection="1">
      <alignment horizontal="right" vertical="center" shrinkToFit="1"/>
    </xf>
    <xf numFmtId="38" fontId="97" fillId="0" borderId="14" xfId="2" applyFont="1" applyFill="1" applyBorder="1" applyAlignment="1" applyProtection="1">
      <alignment horizontal="right" vertical="center" shrinkToFit="1"/>
    </xf>
    <xf numFmtId="38" fontId="97" fillId="0" borderId="15" xfId="2" applyFont="1" applyFill="1" applyBorder="1" applyAlignment="1" applyProtection="1">
      <alignment horizontal="right" vertical="center" shrinkToFit="1"/>
    </xf>
    <xf numFmtId="178" fontId="80" fillId="9" borderId="38" xfId="0" applyNumberFormat="1" applyFont="1" applyFill="1" applyBorder="1" applyAlignment="1">
      <alignment horizontal="center" vertical="center" textRotation="255"/>
    </xf>
    <xf numFmtId="178" fontId="80" fillId="9" borderId="39" xfId="0" applyNumberFormat="1" applyFont="1" applyFill="1" applyBorder="1" applyAlignment="1">
      <alignment horizontal="center" vertical="center" textRotation="255"/>
    </xf>
    <xf numFmtId="178" fontId="85" fillId="0" borderId="280" xfId="0" applyNumberFormat="1" applyFont="1" applyBorder="1" applyAlignment="1">
      <alignment horizontal="center" vertical="center" wrapText="1" shrinkToFit="1"/>
    </xf>
    <xf numFmtId="178" fontId="85" fillId="0" borderId="281" xfId="0" applyNumberFormat="1" applyFont="1" applyBorder="1" applyAlignment="1">
      <alignment horizontal="center" vertical="center" shrinkToFit="1"/>
    </xf>
    <xf numFmtId="178" fontId="85" fillId="0" borderId="282" xfId="0" applyNumberFormat="1" applyFont="1" applyBorder="1" applyAlignment="1">
      <alignment horizontal="center" vertical="center" shrinkToFit="1"/>
    </xf>
    <xf numFmtId="180" fontId="76" fillId="0" borderId="195" xfId="0" applyNumberFormat="1" applyFont="1" applyBorder="1" applyAlignment="1" applyProtection="1">
      <alignment horizontal="center" vertical="center" shrinkToFit="1"/>
      <protection locked="0"/>
    </xf>
    <xf numFmtId="180" fontId="76" fillId="0" borderId="196" xfId="0" applyNumberFormat="1" applyFont="1" applyBorder="1" applyAlignment="1" applyProtection="1">
      <alignment horizontal="center" vertical="center" shrinkToFit="1"/>
      <protection locked="0"/>
    </xf>
    <xf numFmtId="0" fontId="81" fillId="0" borderId="15" xfId="0" applyFont="1" applyBorder="1" applyAlignment="1">
      <alignment horizontal="center" vertical="center" textRotation="255" shrinkToFit="1"/>
    </xf>
    <xf numFmtId="0" fontId="81" fillId="0" borderId="13" xfId="0" applyFont="1" applyBorder="1" applyAlignment="1">
      <alignment horizontal="center" vertical="center" textRotation="255" shrinkToFit="1"/>
    </xf>
    <xf numFmtId="0" fontId="81" fillId="0" borderId="152" xfId="0" applyFont="1" applyBorder="1" applyAlignment="1">
      <alignment horizontal="center" vertical="center" textRotation="255" shrinkToFit="1"/>
    </xf>
    <xf numFmtId="180" fontId="115" fillId="0" borderId="235" xfId="3" applyNumberFormat="1" applyFont="1" applyFill="1" applyBorder="1" applyAlignment="1" applyProtection="1">
      <alignment horizontal="right" vertical="center" shrinkToFit="1"/>
    </xf>
    <xf numFmtId="180" fontId="113" fillId="0" borderId="93" xfId="3" applyNumberFormat="1" applyFont="1" applyFill="1" applyBorder="1" applyAlignment="1" applyProtection="1">
      <alignment horizontal="right" vertical="center" shrinkToFit="1"/>
    </xf>
    <xf numFmtId="0" fontId="93" fillId="0" borderId="82" xfId="0" applyFont="1" applyBorder="1" applyAlignment="1" applyProtection="1">
      <alignment horizontal="center" vertical="center" shrinkToFit="1"/>
      <protection locked="0"/>
    </xf>
    <xf numFmtId="0" fontId="93" fillId="0" borderId="183" xfId="0" applyFont="1" applyBorder="1" applyAlignment="1" applyProtection="1">
      <alignment horizontal="center" vertical="center" shrinkToFit="1"/>
      <protection locked="0"/>
    </xf>
    <xf numFmtId="0" fontId="93" fillId="0" borderId="215" xfId="0" applyFont="1" applyBorder="1" applyAlignment="1" applyProtection="1">
      <alignment horizontal="center" vertical="center" shrinkToFit="1"/>
      <protection locked="0"/>
    </xf>
    <xf numFmtId="180" fontId="76" fillId="0" borderId="213" xfId="0" applyNumberFormat="1" applyFont="1" applyBorder="1" applyAlignment="1" applyProtection="1">
      <alignment horizontal="center" vertical="center" shrinkToFit="1"/>
      <protection locked="0"/>
    </xf>
    <xf numFmtId="180" fontId="76" fillId="0" borderId="223" xfId="0" applyNumberFormat="1" applyFont="1" applyBorder="1" applyAlignment="1" applyProtection="1">
      <alignment horizontal="center" vertical="center" shrinkToFit="1"/>
      <protection locked="0"/>
    </xf>
    <xf numFmtId="0" fontId="85" fillId="0" borderId="38" xfId="0" applyFont="1" applyBorder="1" applyAlignment="1">
      <alignment horizontal="center" vertical="center" wrapText="1" shrinkToFit="1"/>
    </xf>
    <xf numFmtId="0" fontId="85" fillId="0" borderId="38" xfId="0" applyFont="1" applyBorder="1" applyAlignment="1">
      <alignment horizontal="center" vertical="center" shrinkToFit="1"/>
    </xf>
    <xf numFmtId="0" fontId="85" fillId="0" borderId="13" xfId="0" applyFont="1" applyBorder="1" applyAlignment="1">
      <alignment horizontal="center" vertical="center" shrinkToFit="1"/>
    </xf>
    <xf numFmtId="0" fontId="80" fillId="0" borderId="188" xfId="0" applyFont="1" applyBorder="1" applyAlignment="1" applyProtection="1">
      <alignment horizontal="center" vertical="center"/>
      <protection locked="0"/>
    </xf>
    <xf numFmtId="178" fontId="116" fillId="0" borderId="13" xfId="0" applyNumberFormat="1" applyFont="1" applyBorder="1" applyAlignment="1">
      <alignment horizontal="center" vertical="center" shrinkToFit="1"/>
    </xf>
    <xf numFmtId="178" fontId="116" fillId="0" borderId="0" xfId="0" applyNumberFormat="1" applyFont="1" applyAlignment="1">
      <alignment horizontal="center" vertical="center" shrinkToFit="1"/>
    </xf>
    <xf numFmtId="178" fontId="116" fillId="0" borderId="12" xfId="0" applyNumberFormat="1" applyFont="1" applyBorder="1" applyAlignment="1">
      <alignment horizontal="center" vertical="center" shrinkToFit="1"/>
    </xf>
    <xf numFmtId="178" fontId="67" fillId="0" borderId="273" xfId="0" applyNumberFormat="1" applyFont="1" applyBorder="1" applyAlignment="1">
      <alignment horizontal="center" vertical="center" wrapText="1" shrinkToFit="1"/>
    </xf>
    <xf numFmtId="178" fontId="93" fillId="0" borderId="273" xfId="0" applyNumberFormat="1" applyFont="1" applyBorder="1" applyAlignment="1">
      <alignment horizontal="center" vertical="center" wrapText="1" shrinkToFit="1"/>
    </xf>
    <xf numFmtId="0" fontId="93" fillId="0" borderId="197" xfId="0" applyFont="1" applyBorder="1" applyAlignment="1">
      <alignment horizontal="center" vertical="center" wrapText="1" shrinkToFit="1"/>
    </xf>
    <xf numFmtId="0" fontId="93" fillId="0" borderId="197" xfId="0" applyFont="1" applyBorder="1" applyAlignment="1">
      <alignment horizontal="center" vertical="center" shrinkToFit="1"/>
    </xf>
    <xf numFmtId="178" fontId="85" fillId="0" borderId="320" xfId="0" applyNumberFormat="1" applyFont="1" applyBorder="1" applyAlignment="1">
      <alignment horizontal="center" vertical="center" wrapText="1" shrinkToFit="1"/>
    </xf>
    <xf numFmtId="0" fontId="80" fillId="0" borderId="187" xfId="0" applyFont="1" applyBorder="1" applyAlignment="1" applyProtection="1">
      <alignment horizontal="center" vertical="center"/>
      <protection locked="0"/>
    </xf>
    <xf numFmtId="180" fontId="76" fillId="0" borderId="214" xfId="0" applyNumberFormat="1" applyFont="1" applyBorder="1" applyAlignment="1" applyProtection="1">
      <alignment horizontal="center" vertical="center" shrinkToFit="1"/>
      <protection locked="0"/>
    </xf>
    <xf numFmtId="0" fontId="111" fillId="0" borderId="0" xfId="0" applyFont="1" applyAlignment="1">
      <alignment horizontal="left" vertical="center" wrapText="1" shrinkToFit="1"/>
    </xf>
    <xf numFmtId="0" fontId="161" fillId="0" borderId="0" xfId="0" applyFont="1" applyAlignment="1">
      <alignment horizontal="center" vertical="center"/>
    </xf>
    <xf numFmtId="0" fontId="161" fillId="0" borderId="0" xfId="0" applyFont="1" applyAlignment="1">
      <alignment horizontal="left" vertical="center"/>
    </xf>
    <xf numFmtId="0" fontId="111" fillId="0" borderId="21" xfId="0" applyFont="1" applyBorder="1" applyAlignment="1">
      <alignment horizontal="center" vertical="center"/>
    </xf>
    <xf numFmtId="178" fontId="80" fillId="0" borderId="138" xfId="0" applyNumberFormat="1" applyFont="1" applyBorder="1" applyAlignment="1">
      <alignment horizontal="center" vertical="center" shrinkToFit="1"/>
    </xf>
    <xf numFmtId="178" fontId="80" fillId="0" borderId="53" xfId="0" applyNumberFormat="1" applyFont="1" applyBorder="1" applyAlignment="1">
      <alignment horizontal="center" vertical="center" shrinkToFit="1"/>
    </xf>
    <xf numFmtId="178" fontId="80" fillId="0" borderId="54" xfId="0" applyNumberFormat="1" applyFont="1" applyBorder="1" applyAlignment="1">
      <alignment horizontal="center" vertical="center" shrinkToFit="1"/>
    </xf>
    <xf numFmtId="178" fontId="85" fillId="0" borderId="56" xfId="0" applyNumberFormat="1" applyFont="1" applyBorder="1" applyAlignment="1">
      <alignment horizontal="center" vertical="center" wrapText="1" shrinkToFit="1"/>
    </xf>
    <xf numFmtId="178" fontId="85" fillId="0" borderId="17" xfId="0" applyNumberFormat="1" applyFont="1" applyBorder="1" applyAlignment="1">
      <alignment horizontal="center" vertical="center" shrinkToFit="1"/>
    </xf>
    <xf numFmtId="178" fontId="85" fillId="0" borderId="55" xfId="0" applyNumberFormat="1" applyFont="1" applyBorder="1" applyAlignment="1">
      <alignment horizontal="center" vertical="center" shrinkToFit="1"/>
    </xf>
    <xf numFmtId="178" fontId="85" fillId="0" borderId="17" xfId="0" applyNumberFormat="1" applyFont="1" applyBorder="1" applyAlignment="1">
      <alignment horizontal="center" vertical="center" wrapText="1" shrinkToFit="1"/>
    </xf>
    <xf numFmtId="178" fontId="85" fillId="0" borderId="55" xfId="0" applyNumberFormat="1" applyFont="1" applyBorder="1" applyAlignment="1">
      <alignment horizontal="center" vertical="center" wrapText="1" shrinkToFit="1"/>
    </xf>
    <xf numFmtId="0" fontId="109" fillId="0" borderId="0" xfId="0" applyFont="1" applyAlignment="1">
      <alignment horizontal="center" vertical="center" shrinkToFit="1"/>
    </xf>
    <xf numFmtId="0" fontId="110" fillId="0" borderId="0" xfId="0" applyFont="1" applyAlignment="1">
      <alignment horizontal="center" vertical="top" shrinkToFit="1"/>
    </xf>
    <xf numFmtId="0" fontId="110" fillId="0" borderId="0" xfId="0" applyFont="1" applyAlignment="1">
      <alignment horizontal="left" vertical="top" shrinkToFit="1"/>
    </xf>
    <xf numFmtId="178" fontId="80" fillId="0" borderId="190" xfId="0" applyNumberFormat="1" applyFont="1" applyBorder="1" applyAlignment="1">
      <alignment horizontal="center" vertical="center" shrinkToFit="1"/>
    </xf>
    <xf numFmtId="178" fontId="80" fillId="0" borderId="35" xfId="0" applyNumberFormat="1" applyFont="1" applyBorder="1" applyAlignment="1">
      <alignment horizontal="center" vertical="center" shrinkToFit="1"/>
    </xf>
    <xf numFmtId="178" fontId="80" fillId="0" borderId="37" xfId="0" applyNumberFormat="1" applyFont="1" applyBorder="1" applyAlignment="1">
      <alignment horizontal="center" vertical="center" shrinkToFit="1"/>
    </xf>
    <xf numFmtId="0" fontId="111" fillId="0" borderId="157" xfId="0" applyFont="1" applyBorder="1" applyAlignment="1">
      <alignment horizontal="center" vertical="center"/>
    </xf>
    <xf numFmtId="0" fontId="111" fillId="0" borderId="58" xfId="0" applyFont="1" applyBorder="1" applyAlignment="1">
      <alignment horizontal="center" vertical="center"/>
    </xf>
    <xf numFmtId="0" fontId="111" fillId="0" borderId="61" xfId="0" applyFont="1" applyBorder="1" applyAlignment="1">
      <alignment horizontal="center" vertical="center"/>
    </xf>
    <xf numFmtId="0" fontId="111" fillId="0" borderId="35" xfId="0" applyFont="1" applyBorder="1" applyAlignment="1">
      <alignment horizontal="center" vertical="center" shrinkToFit="1"/>
    </xf>
    <xf numFmtId="0" fontId="111" fillId="0" borderId="37" xfId="0" applyFont="1" applyBorder="1" applyAlignment="1">
      <alignment horizontal="center" vertical="center" shrinkToFit="1"/>
    </xf>
    <xf numFmtId="177" fontId="110" fillId="0" borderId="0" xfId="0" applyNumberFormat="1" applyFont="1" applyAlignment="1">
      <alignment horizontal="center" vertical="top" shrinkToFit="1"/>
    </xf>
    <xf numFmtId="178" fontId="93" fillId="0" borderId="15" xfId="0" applyNumberFormat="1" applyFont="1" applyBorder="1" applyAlignment="1">
      <alignment horizontal="center" vertical="center" shrinkToFit="1"/>
    </xf>
    <xf numFmtId="178" fontId="93" fillId="0" borderId="10" xfId="0" applyNumberFormat="1" applyFont="1" applyBorder="1" applyAlignment="1">
      <alignment horizontal="center" vertical="center" shrinkToFit="1"/>
    </xf>
    <xf numFmtId="178" fontId="93" fillId="0" borderId="14" xfId="0" applyNumberFormat="1" applyFont="1" applyBorder="1" applyAlignment="1">
      <alignment horizontal="center" vertical="center" shrinkToFit="1"/>
    </xf>
    <xf numFmtId="0" fontId="78" fillId="0" borderId="56" xfId="0" applyFont="1" applyBorder="1" applyAlignment="1">
      <alignment horizontal="center" vertical="center" wrapText="1"/>
    </xf>
    <xf numFmtId="0" fontId="78" fillId="0" borderId="56" xfId="0" applyFont="1" applyBorder="1" applyAlignment="1">
      <alignment horizontal="center" vertical="center"/>
    </xf>
    <xf numFmtId="176" fontId="76" fillId="0" borderId="40" xfId="0" applyNumberFormat="1" applyFont="1" applyBorder="1" applyAlignment="1" applyProtection="1">
      <alignment horizontal="center" vertical="center" shrinkToFit="1"/>
      <protection locked="0"/>
    </xf>
    <xf numFmtId="176" fontId="76" fillId="0" borderId="161" xfId="0" applyNumberFormat="1" applyFont="1" applyBorder="1" applyAlignment="1" applyProtection="1">
      <alignment horizontal="center" vertical="center" shrinkToFit="1"/>
      <protection locked="0"/>
    </xf>
    <xf numFmtId="180" fontId="113" fillId="0" borderId="192" xfId="3" applyNumberFormat="1" applyFont="1" applyFill="1" applyBorder="1" applyAlignment="1" applyProtection="1">
      <alignment horizontal="right" vertical="center" shrinkToFit="1"/>
    </xf>
    <xf numFmtId="180" fontId="113" fillId="0" borderId="191" xfId="3" applyNumberFormat="1" applyFont="1" applyFill="1" applyBorder="1" applyAlignment="1" applyProtection="1">
      <alignment horizontal="right" vertical="center" shrinkToFit="1"/>
    </xf>
    <xf numFmtId="176" fontId="76" fillId="0" borderId="160" xfId="0" applyNumberFormat="1" applyFont="1" applyBorder="1" applyAlignment="1" applyProtection="1">
      <alignment horizontal="center" vertical="center" shrinkToFit="1"/>
      <protection locked="0"/>
    </xf>
    <xf numFmtId="176" fontId="76" fillId="0" borderId="25" xfId="0" applyNumberFormat="1" applyFont="1" applyBorder="1" applyAlignment="1" applyProtection="1">
      <alignment horizontal="center" vertical="center" shrinkToFit="1"/>
      <protection locked="0"/>
    </xf>
    <xf numFmtId="176" fontId="76" fillId="0" borderId="26" xfId="0" applyNumberFormat="1" applyFont="1" applyBorder="1" applyAlignment="1" applyProtection="1">
      <alignment horizontal="center" vertical="center" shrinkToFit="1"/>
      <protection locked="0"/>
    </xf>
    <xf numFmtId="176" fontId="76" fillId="0" borderId="244" xfId="0" applyNumberFormat="1" applyFont="1" applyBorder="1" applyAlignment="1" applyProtection="1">
      <alignment horizontal="center" vertical="center" shrinkToFit="1"/>
      <protection locked="0"/>
    </xf>
    <xf numFmtId="176" fontId="76" fillId="0" borderId="245" xfId="0" applyNumberFormat="1" applyFont="1" applyBorder="1" applyAlignment="1" applyProtection="1">
      <alignment horizontal="center" vertical="center" shrinkToFit="1"/>
      <protection locked="0"/>
    </xf>
    <xf numFmtId="176" fontId="76" fillId="0" borderId="246" xfId="0" applyNumberFormat="1" applyFont="1" applyBorder="1" applyAlignment="1" applyProtection="1">
      <alignment horizontal="center" vertical="center" shrinkToFit="1"/>
      <protection locked="0"/>
    </xf>
    <xf numFmtId="176" fontId="76" fillId="0" borderId="244" xfId="0" applyNumberFormat="1" applyFont="1" applyBorder="1" applyAlignment="1" applyProtection="1">
      <alignment vertical="center" shrinkToFit="1"/>
      <protection locked="0"/>
    </xf>
    <xf numFmtId="176" fontId="76" fillId="0" borderId="245" xfId="0" applyNumberFormat="1" applyFont="1" applyBorder="1" applyAlignment="1" applyProtection="1">
      <alignment vertical="center" shrinkToFit="1"/>
      <protection locked="0"/>
    </xf>
    <xf numFmtId="176" fontId="76" fillId="0" borderId="246" xfId="0" applyNumberFormat="1" applyFont="1" applyBorder="1" applyAlignment="1" applyProtection="1">
      <alignment vertical="center" shrinkToFit="1"/>
      <protection locked="0"/>
    </xf>
    <xf numFmtId="180" fontId="113" fillId="0" borderId="257" xfId="3" applyNumberFormat="1" applyFont="1" applyFill="1" applyBorder="1" applyAlignment="1" applyProtection="1">
      <alignment horizontal="right" vertical="center" shrinkToFit="1"/>
    </xf>
    <xf numFmtId="180" fontId="113" fillId="0" borderId="258" xfId="3" applyNumberFormat="1" applyFont="1" applyFill="1" applyBorder="1" applyAlignment="1" applyProtection="1">
      <alignment horizontal="right" vertical="center" shrinkToFit="1"/>
    </xf>
    <xf numFmtId="176" fontId="76" fillId="0" borderId="174" xfId="0" applyNumberFormat="1" applyFont="1" applyBorder="1" applyAlignment="1" applyProtection="1">
      <alignment horizontal="center" vertical="center" shrinkToFit="1"/>
      <protection locked="0"/>
    </xf>
    <xf numFmtId="176" fontId="76" fillId="0" borderId="175" xfId="0" applyNumberFormat="1" applyFont="1" applyBorder="1" applyAlignment="1" applyProtection="1">
      <alignment horizontal="center" vertical="center" shrinkToFit="1"/>
      <protection locked="0"/>
    </xf>
    <xf numFmtId="0" fontId="178" fillId="0" borderId="0" xfId="0" applyFont="1" applyAlignment="1">
      <alignment vertical="center" wrapText="1"/>
    </xf>
    <xf numFmtId="0" fontId="176" fillId="0" borderId="0" xfId="0" applyFont="1" applyAlignment="1">
      <alignment horizontal="left" vertical="center" shrinkToFit="1"/>
    </xf>
    <xf numFmtId="0" fontId="176" fillId="0" borderId="0" xfId="0" applyFont="1" applyAlignment="1">
      <alignment vertical="center" shrinkToFit="1"/>
    </xf>
    <xf numFmtId="0" fontId="111" fillId="0" borderId="15" xfId="0" applyFont="1" applyBorder="1" applyAlignment="1">
      <alignment horizontal="center" vertical="center" textRotation="255" shrinkToFit="1"/>
    </xf>
    <xf numFmtId="0" fontId="111" fillId="0" borderId="13" xfId="0" applyFont="1" applyBorder="1" applyAlignment="1">
      <alignment horizontal="center" vertical="center" textRotation="255" shrinkToFit="1"/>
    </xf>
    <xf numFmtId="0" fontId="111" fillId="0" borderId="152" xfId="0" applyFont="1" applyBorder="1" applyAlignment="1">
      <alignment horizontal="center" vertical="center" textRotation="255" shrinkToFit="1"/>
    </xf>
    <xf numFmtId="178" fontId="85" fillId="0" borderId="280" xfId="0" applyNumberFormat="1" applyFont="1" applyBorder="1" applyAlignment="1">
      <alignment horizontal="center" vertical="center" shrinkToFit="1"/>
    </xf>
    <xf numFmtId="0" fontId="85" fillId="0" borderId="10" xfId="0" applyFont="1" applyBorder="1" applyAlignment="1">
      <alignment horizontal="center" vertical="center" textRotation="255" wrapText="1" shrinkToFit="1"/>
    </xf>
    <xf numFmtId="0" fontId="85" fillId="0" borderId="14" xfId="0" applyFont="1" applyBorder="1" applyAlignment="1">
      <alignment horizontal="center" vertical="center" textRotation="255" wrapText="1" shrinkToFit="1"/>
    </xf>
    <xf numFmtId="0" fontId="85" fillId="0" borderId="0" xfId="0" applyFont="1" applyAlignment="1">
      <alignment horizontal="center" vertical="center" textRotation="255" wrapText="1" shrinkToFit="1"/>
    </xf>
    <xf numFmtId="0" fontId="85" fillId="0" borderId="12" xfId="0" applyFont="1" applyBorder="1" applyAlignment="1">
      <alignment horizontal="center" vertical="center" textRotation="255" wrapText="1" shrinkToFit="1"/>
    </xf>
    <xf numFmtId="0" fontId="85" fillId="0" borderId="2" xfId="0" applyFont="1" applyBorder="1" applyAlignment="1">
      <alignment horizontal="center" vertical="center" textRotation="255" wrapText="1" shrinkToFit="1"/>
    </xf>
    <xf numFmtId="0" fontId="85" fillId="0" borderId="3" xfId="0" applyFont="1" applyBorder="1" applyAlignment="1">
      <alignment horizontal="center" vertical="center" textRotation="255" wrapText="1" shrinkToFit="1"/>
    </xf>
    <xf numFmtId="0" fontId="85" fillId="29" borderId="56" xfId="0" applyFont="1" applyFill="1" applyBorder="1" applyAlignment="1">
      <alignment horizontal="center" vertical="center" justifyLastLine="1"/>
    </xf>
    <xf numFmtId="0" fontId="85" fillId="29" borderId="17" xfId="0" applyFont="1" applyFill="1" applyBorder="1" applyAlignment="1">
      <alignment horizontal="center" vertical="center" justifyLastLine="1"/>
    </xf>
    <xf numFmtId="0" fontId="85" fillId="29" borderId="78" xfId="0" applyFont="1" applyFill="1" applyBorder="1" applyAlignment="1">
      <alignment horizontal="center" vertical="center" justifyLastLine="1"/>
    </xf>
    <xf numFmtId="0" fontId="111" fillId="29" borderId="70" xfId="0" applyFont="1" applyFill="1" applyBorder="1" applyAlignment="1" applyProtection="1">
      <alignment horizontal="left" vertical="center" shrinkToFit="1"/>
      <protection locked="0"/>
    </xf>
    <xf numFmtId="0" fontId="111" fillId="29" borderId="76" xfId="0" applyFont="1" applyFill="1" applyBorder="1" applyAlignment="1" applyProtection="1">
      <alignment horizontal="left" vertical="center" shrinkToFit="1"/>
      <protection locked="0"/>
    </xf>
    <xf numFmtId="0" fontId="111" fillId="29" borderId="18" xfId="0" applyFont="1" applyFill="1" applyBorder="1" applyAlignment="1" applyProtection="1">
      <alignment horizontal="left" vertical="center" shrinkToFit="1"/>
      <protection locked="0"/>
    </xf>
    <xf numFmtId="0" fontId="81" fillId="0" borderId="0" xfId="0" applyFont="1" applyAlignment="1">
      <alignment horizontal="left" vertical="center" wrapText="1"/>
    </xf>
    <xf numFmtId="0" fontId="81" fillId="3" borderId="0" xfId="0" applyFont="1" applyFill="1" applyAlignment="1">
      <alignment horizontal="left" vertical="center" wrapText="1"/>
    </xf>
    <xf numFmtId="0" fontId="111" fillId="3" borderId="15" xfId="0" applyFont="1" applyFill="1" applyBorder="1" applyAlignment="1">
      <alignment horizontal="center" vertical="center" wrapText="1"/>
    </xf>
    <xf numFmtId="0" fontId="111" fillId="3" borderId="10" xfId="0" applyFont="1" applyFill="1" applyBorder="1" applyAlignment="1">
      <alignment horizontal="center" vertical="center" wrapText="1"/>
    </xf>
    <xf numFmtId="0" fontId="111" fillId="3" borderId="11" xfId="0" applyFont="1" applyFill="1" applyBorder="1" applyAlignment="1">
      <alignment horizontal="center" vertical="center" wrapText="1"/>
    </xf>
    <xf numFmtId="0" fontId="111" fillId="3" borderId="2" xfId="0" applyFont="1" applyFill="1" applyBorder="1" applyAlignment="1">
      <alignment horizontal="center" vertical="center" wrapText="1"/>
    </xf>
    <xf numFmtId="0" fontId="111" fillId="13" borderId="14" xfId="0" applyFont="1" applyFill="1" applyBorder="1" applyAlignment="1">
      <alignment horizontal="center" vertical="center" wrapText="1"/>
    </xf>
    <xf numFmtId="0" fontId="111" fillId="13" borderId="3" xfId="0" applyFont="1" applyFill="1" applyBorder="1" applyAlignment="1">
      <alignment horizontal="center" vertical="center" wrapText="1"/>
    </xf>
    <xf numFmtId="0" fontId="85" fillId="0" borderId="15" xfId="0" applyFont="1" applyBorder="1" applyAlignment="1">
      <alignment horizontal="center" vertical="center"/>
    </xf>
    <xf numFmtId="0" fontId="85" fillId="0" borderId="14" xfId="0" applyFont="1" applyBorder="1" applyAlignment="1">
      <alignment horizontal="center" vertical="center"/>
    </xf>
    <xf numFmtId="178" fontId="262" fillId="13" borderId="34" xfId="0" applyNumberFormat="1" applyFont="1" applyFill="1" applyBorder="1" applyAlignment="1">
      <alignment horizontal="center" vertical="center" textRotation="255"/>
    </xf>
    <xf numFmtId="178" fontId="262" fillId="13" borderId="38" xfId="0" applyNumberFormat="1" applyFont="1" applyFill="1" applyBorder="1" applyAlignment="1">
      <alignment horizontal="center" vertical="center" textRotation="255"/>
    </xf>
    <xf numFmtId="0" fontId="93" fillId="29" borderId="21" xfId="0" applyFont="1" applyFill="1" applyBorder="1" applyAlignment="1">
      <alignment horizontal="center" vertical="center" wrapText="1"/>
    </xf>
    <xf numFmtId="0" fontId="93" fillId="29" borderId="21" xfId="0" applyFont="1" applyFill="1" applyBorder="1" applyAlignment="1">
      <alignment horizontal="center" vertical="center"/>
    </xf>
    <xf numFmtId="178" fontId="67" fillId="0" borderId="68" xfId="0" applyNumberFormat="1" applyFont="1" applyBorder="1" applyAlignment="1">
      <alignment horizontal="center" vertical="center" wrapText="1"/>
    </xf>
    <xf numFmtId="178" fontId="93" fillId="0" borderId="68" xfId="0" applyNumberFormat="1" applyFont="1" applyBorder="1" applyAlignment="1">
      <alignment horizontal="center" vertical="center" wrapText="1"/>
    </xf>
    <xf numFmtId="178" fontId="111" fillId="0" borderId="190" xfId="0" applyNumberFormat="1" applyFont="1" applyBorder="1" applyAlignment="1">
      <alignment horizontal="center" vertical="center"/>
    </xf>
    <xf numFmtId="178" fontId="111" fillId="0" borderId="35" xfId="0" applyNumberFormat="1" applyFont="1" applyBorder="1" applyAlignment="1">
      <alignment horizontal="center" vertical="center"/>
    </xf>
    <xf numFmtId="6" fontId="111" fillId="0" borderId="0" xfId="6" applyFont="1" applyFill="1" applyBorder="1" applyAlignment="1" applyProtection="1">
      <alignment horizontal="left" vertical="center" wrapText="1"/>
    </xf>
    <xf numFmtId="0" fontId="63" fillId="0" borderId="0" xfId="0" applyFont="1" applyAlignment="1">
      <alignment horizontal="center" vertical="center"/>
    </xf>
    <xf numFmtId="0" fontId="87" fillId="0" borderId="0" xfId="0" applyFont="1" applyAlignment="1">
      <alignment horizontal="center" wrapText="1"/>
    </xf>
    <xf numFmtId="49" fontId="86" fillId="0" borderId="15" xfId="0" applyNumberFormat="1" applyFont="1" applyBorder="1" applyAlignment="1">
      <alignment horizontal="center" vertical="center"/>
    </xf>
    <xf numFmtId="49" fontId="86" fillId="0" borderId="10" xfId="0" applyNumberFormat="1" applyFont="1" applyBorder="1" applyAlignment="1">
      <alignment horizontal="center" vertical="center"/>
    </xf>
    <xf numFmtId="49" fontId="86" fillId="0" borderId="14" xfId="0" applyNumberFormat="1" applyFont="1" applyBorder="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14" xfId="0" applyNumberFormat="1" applyFont="1" applyBorder="1" applyAlignment="1">
      <alignment horizontal="center" vertical="center"/>
    </xf>
    <xf numFmtId="49" fontId="76" fillId="0" borderId="13" xfId="0" applyNumberFormat="1" applyFont="1" applyBorder="1" applyAlignment="1">
      <alignment horizontal="center" vertical="center"/>
    </xf>
    <xf numFmtId="49" fontId="76" fillId="0" borderId="0" xfId="0" applyNumberFormat="1" applyFont="1" applyAlignment="1">
      <alignment horizontal="center" vertical="center"/>
    </xf>
    <xf numFmtId="49" fontId="76" fillId="0" borderId="12" xfId="0" applyNumberFormat="1" applyFont="1" applyBorder="1" applyAlignment="1">
      <alignment horizontal="center" vertical="center"/>
    </xf>
    <xf numFmtId="49" fontId="86" fillId="0" borderId="13" xfId="0" applyNumberFormat="1" applyFont="1" applyBorder="1" applyAlignment="1">
      <alignment horizontal="center" vertical="center"/>
    </xf>
    <xf numFmtId="49" fontId="86" fillId="0" borderId="0" xfId="0" applyNumberFormat="1" applyFont="1" applyAlignment="1">
      <alignment horizontal="center" vertical="center"/>
    </xf>
    <xf numFmtId="49" fontId="86" fillId="0" borderId="12" xfId="0" applyNumberFormat="1" applyFont="1" applyBorder="1" applyAlignment="1">
      <alignment horizontal="center" vertical="center"/>
    </xf>
    <xf numFmtId="49" fontId="86" fillId="0" borderId="13" xfId="0" applyNumberFormat="1" applyFont="1" applyBorder="1" applyAlignment="1">
      <alignment horizontal="left" vertical="center"/>
    </xf>
    <xf numFmtId="49" fontId="86" fillId="0" borderId="0" xfId="0" applyNumberFormat="1" applyFont="1" applyAlignment="1">
      <alignment horizontal="left" vertical="center"/>
    </xf>
    <xf numFmtId="49" fontId="86" fillId="0" borderId="12" xfId="0" applyNumberFormat="1" applyFont="1" applyBorder="1" applyAlignment="1">
      <alignment horizontal="left" vertical="center"/>
    </xf>
    <xf numFmtId="178" fontId="65" fillId="0" borderId="13" xfId="0" applyNumberFormat="1" applyFont="1" applyBorder="1" applyAlignment="1">
      <alignment horizontal="right" vertical="center"/>
    </xf>
    <xf numFmtId="178" fontId="65" fillId="0" borderId="0" xfId="0" applyNumberFormat="1" applyFont="1" applyAlignment="1">
      <alignment horizontal="right" vertical="center"/>
    </xf>
    <xf numFmtId="0" fontId="65" fillId="0" borderId="0" xfId="0" applyFont="1" applyAlignment="1" applyProtection="1">
      <alignment horizontal="center" vertical="center" shrinkToFit="1"/>
      <protection locked="0"/>
    </xf>
    <xf numFmtId="0" fontId="65" fillId="0" borderId="0" xfId="0" applyFont="1" applyAlignment="1">
      <alignment horizontal="center" vertical="center"/>
    </xf>
    <xf numFmtId="0" fontId="89" fillId="0" borderId="0" xfId="0" applyFont="1" applyAlignment="1">
      <alignment horizontal="center" vertical="center"/>
    </xf>
    <xf numFmtId="0" fontId="89" fillId="0" borderId="12" xfId="0" applyFont="1" applyBorder="1" applyAlignment="1">
      <alignment horizontal="center" vertical="center"/>
    </xf>
    <xf numFmtId="178" fontId="65" fillId="0" borderId="0" xfId="0" applyNumberFormat="1" applyFont="1" applyAlignment="1">
      <alignment horizontal="center" vertical="center" shrinkToFit="1"/>
    </xf>
    <xf numFmtId="178" fontId="65" fillId="0" borderId="12" xfId="0" applyNumberFormat="1" applyFont="1" applyBorder="1" applyAlignment="1">
      <alignment horizontal="center" vertical="center" shrinkToFit="1"/>
    </xf>
    <xf numFmtId="0" fontId="65" fillId="0" borderId="12" xfId="0" applyFont="1" applyBorder="1" applyAlignment="1">
      <alignment horizontal="center" vertical="center"/>
    </xf>
    <xf numFmtId="181" fontId="65" fillId="0" borderId="0" xfId="0" applyNumberFormat="1" applyFont="1" applyAlignment="1">
      <alignment horizontal="center" vertical="center" shrinkToFit="1"/>
    </xf>
    <xf numFmtId="181" fontId="65" fillId="0" borderId="12" xfId="0" applyNumberFormat="1" applyFont="1" applyBorder="1" applyAlignment="1">
      <alignment horizontal="center" vertical="center" shrinkToFit="1"/>
    </xf>
    <xf numFmtId="49" fontId="86" fillId="0" borderId="56" xfId="0" applyNumberFormat="1" applyFont="1" applyBorder="1" applyAlignment="1">
      <alignment horizontal="center" vertical="center"/>
    </xf>
    <xf numFmtId="49" fontId="86" fillId="0" borderId="17" xfId="0" applyNumberFormat="1" applyFont="1" applyBorder="1" applyAlignment="1">
      <alignment horizontal="center" vertical="center"/>
    </xf>
    <xf numFmtId="178" fontId="86" fillId="0" borderId="17" xfId="0" applyNumberFormat="1" applyFont="1" applyBorder="1" applyAlignment="1">
      <alignment horizontal="center" vertical="center"/>
    </xf>
    <xf numFmtId="49" fontId="86" fillId="0" borderId="55" xfId="0" applyNumberFormat="1" applyFont="1" applyBorder="1" applyAlignment="1">
      <alignment horizontal="center" vertical="center"/>
    </xf>
    <xf numFmtId="49" fontId="65" fillId="0" borderId="0" xfId="0" applyNumberFormat="1" applyFont="1" applyAlignment="1">
      <alignment horizontal="center" vertical="center"/>
    </xf>
    <xf numFmtId="0" fontId="65" fillId="0" borderId="56" xfId="0" applyFont="1" applyBorder="1" applyAlignment="1">
      <alignment horizontal="right" vertical="center"/>
    </xf>
    <xf numFmtId="49" fontId="65" fillId="0" borderId="17" xfId="0" applyNumberFormat="1" applyFont="1" applyBorder="1" applyAlignment="1">
      <alignment horizontal="right" vertical="center"/>
    </xf>
    <xf numFmtId="0" fontId="96" fillId="0" borderId="17" xfId="0" applyFont="1" applyBorder="1" applyAlignment="1">
      <alignment horizontal="center" vertical="center"/>
    </xf>
    <xf numFmtId="49" fontId="65" fillId="0" borderId="56" xfId="0" applyNumberFormat="1" applyFont="1" applyBorder="1" applyAlignment="1">
      <alignment horizontal="center" vertical="center"/>
    </xf>
    <xf numFmtId="49" fontId="65" fillId="0" borderId="17" xfId="0" applyNumberFormat="1" applyFont="1" applyBorder="1" applyAlignment="1">
      <alignment horizontal="center" vertical="center"/>
    </xf>
    <xf numFmtId="49" fontId="86" fillId="0" borderId="11" xfId="0" applyNumberFormat="1" applyFont="1" applyBorder="1" applyAlignment="1">
      <alignment horizontal="center" vertical="center"/>
    </xf>
    <xf numFmtId="49" fontId="86" fillId="0" borderId="2" xfId="0" applyNumberFormat="1" applyFont="1" applyBorder="1" applyAlignment="1">
      <alignment horizontal="center" vertical="center"/>
    </xf>
    <xf numFmtId="49" fontId="86" fillId="0" borderId="3" xfId="0" applyNumberFormat="1" applyFont="1" applyBorder="1" applyAlignment="1">
      <alignment horizontal="center" vertical="center"/>
    </xf>
    <xf numFmtId="0" fontId="65" fillId="0" borderId="56" xfId="0" applyFont="1" applyBorder="1" applyAlignment="1">
      <alignment horizontal="center" vertical="center"/>
    </xf>
    <xf numFmtId="0" fontId="65" fillId="0" borderId="17" xfId="0" applyFont="1" applyBorder="1" applyAlignment="1">
      <alignment horizontal="center" vertical="center"/>
    </xf>
    <xf numFmtId="0" fontId="65" fillId="0" borderId="55" xfId="0" applyFont="1" applyBorder="1" applyAlignment="1">
      <alignment horizontal="center" vertical="center"/>
    </xf>
    <xf numFmtId="49" fontId="65" fillId="0" borderId="55" xfId="0" applyNumberFormat="1" applyFont="1" applyBorder="1" applyAlignment="1">
      <alignment horizontal="center" vertical="center"/>
    </xf>
    <xf numFmtId="49" fontId="67" fillId="0" borderId="17" xfId="0" applyNumberFormat="1" applyFont="1" applyBorder="1" applyAlignment="1">
      <alignment horizontal="left" vertical="center" wrapText="1"/>
    </xf>
    <xf numFmtId="49" fontId="67" fillId="0" borderId="55" xfId="0" applyNumberFormat="1" applyFont="1" applyBorder="1" applyAlignment="1">
      <alignment horizontal="left" vertical="center" wrapText="1"/>
    </xf>
    <xf numFmtId="38" fontId="76" fillId="0" borderId="0" xfId="1" applyFont="1" applyBorder="1" applyAlignment="1">
      <alignment horizontal="right"/>
    </xf>
    <xf numFmtId="38" fontId="76" fillId="0" borderId="63" xfId="1" applyFont="1" applyBorder="1" applyAlignment="1">
      <alignment horizontal="right"/>
    </xf>
    <xf numFmtId="38" fontId="76" fillId="0" borderId="0" xfId="1" applyFont="1" applyBorder="1" applyAlignment="1">
      <alignment horizontal="center"/>
    </xf>
    <xf numFmtId="38" fontId="76" fillId="0" borderId="63" xfId="1" applyFont="1" applyBorder="1" applyAlignment="1">
      <alignment horizontal="center"/>
    </xf>
    <xf numFmtId="0" fontId="86" fillId="0" borderId="13" xfId="0" applyFont="1" applyBorder="1" applyAlignment="1">
      <alignment horizontal="left" vertical="center"/>
    </xf>
    <xf numFmtId="0" fontId="115" fillId="0" borderId="0" xfId="0" applyFont="1" applyAlignment="1">
      <alignment horizontal="center" shrinkToFit="1"/>
    </xf>
    <xf numFmtId="0" fontId="115" fillId="0" borderId="2" xfId="0" applyFont="1" applyBorder="1" applyAlignment="1">
      <alignment horizontal="center" shrinkToFit="1"/>
    </xf>
    <xf numFmtId="0" fontId="115" fillId="0" borderId="10" xfId="0" applyFont="1" applyBorder="1" applyAlignment="1">
      <alignment horizontal="center" shrinkToFit="1"/>
    </xf>
    <xf numFmtId="6" fontId="115" fillId="0" borderId="0" xfId="4" applyFont="1" applyBorder="1" applyAlignment="1">
      <alignment horizontal="right" shrinkToFit="1"/>
    </xf>
    <xf numFmtId="6" fontId="115" fillId="0" borderId="2" xfId="4" applyFont="1" applyBorder="1" applyAlignment="1">
      <alignment horizontal="right" shrinkToFit="1"/>
    </xf>
    <xf numFmtId="6" fontId="115" fillId="0" borderId="10" xfId="4" applyFont="1" applyBorder="1" applyAlignment="1">
      <alignment horizontal="right" shrinkToFit="1"/>
    </xf>
    <xf numFmtId="0" fontId="115" fillId="0" borderId="0" xfId="0" applyFont="1" applyAlignment="1">
      <alignment horizontal="center"/>
    </xf>
    <xf numFmtId="0" fontId="115" fillId="0" borderId="2" xfId="0" applyFont="1" applyBorder="1" applyAlignment="1">
      <alignment horizontal="center"/>
    </xf>
    <xf numFmtId="0" fontId="115" fillId="0" borderId="10" xfId="0" applyFont="1" applyBorder="1" applyAlignment="1">
      <alignment horizontal="center"/>
    </xf>
    <xf numFmtId="0" fontId="86" fillId="0" borderId="21" xfId="0" applyFont="1" applyBorder="1" applyAlignment="1">
      <alignment horizontal="center" vertical="center"/>
    </xf>
    <xf numFmtId="0" fontId="86" fillId="0" borderId="12" xfId="0" applyFont="1" applyBorder="1" applyAlignment="1">
      <alignment horizontal="center" vertical="center"/>
    </xf>
    <xf numFmtId="49" fontId="66" fillId="0" borderId="21" xfId="0" applyNumberFormat="1" applyFont="1" applyBorder="1" applyAlignment="1" applyProtection="1">
      <alignment horizontal="center" vertical="center"/>
      <protection locked="0"/>
    </xf>
    <xf numFmtId="0" fontId="122" fillId="0" borderId="0" xfId="0" applyFont="1" applyAlignment="1">
      <alignment horizontal="center"/>
    </xf>
    <xf numFmtId="0" fontId="122" fillId="0" borderId="63" xfId="0" applyFont="1" applyBorder="1" applyAlignment="1">
      <alignment horizontal="center"/>
    </xf>
    <xf numFmtId="49" fontId="66" fillId="0" borderId="56" xfId="0" applyNumberFormat="1" applyFont="1" applyBorder="1" applyAlignment="1" applyProtection="1">
      <alignment horizontal="center" vertical="center"/>
      <protection locked="0"/>
    </xf>
    <xf numFmtId="49" fontId="66" fillId="0" borderId="17" xfId="0" applyNumberFormat="1" applyFont="1" applyBorder="1" applyAlignment="1" applyProtection="1">
      <alignment horizontal="center" vertical="center"/>
      <protection locked="0"/>
    </xf>
    <xf numFmtId="49" fontId="66" fillId="0" borderId="55" xfId="0" applyNumberFormat="1" applyFont="1" applyBorder="1" applyAlignment="1" applyProtection="1">
      <alignment horizontal="center" vertical="center"/>
      <protection locked="0"/>
    </xf>
    <xf numFmtId="0" fontId="120" fillId="0" borderId="0" xfId="0" applyFont="1" applyAlignment="1">
      <alignment horizontal="center" wrapText="1"/>
    </xf>
    <xf numFmtId="0" fontId="120" fillId="0" borderId="63" xfId="0" applyFont="1" applyBorder="1" applyAlignment="1">
      <alignment horizontal="center" wrapText="1"/>
    </xf>
    <xf numFmtId="0" fontId="89" fillId="0" borderId="17" xfId="0" applyFont="1" applyBorder="1" applyAlignment="1">
      <alignment horizontal="center" vertical="center" wrapText="1"/>
    </xf>
    <xf numFmtId="0" fontId="89" fillId="0" borderId="17" xfId="0" applyFont="1" applyBorder="1" applyAlignment="1">
      <alignment horizontal="center" vertical="center"/>
    </xf>
    <xf numFmtId="0" fontId="89" fillId="0" borderId="55" xfId="0" applyFont="1" applyBorder="1" applyAlignment="1">
      <alignment horizontal="center" vertical="center"/>
    </xf>
    <xf numFmtId="49" fontId="104" fillId="0" borderId="13" xfId="0" applyNumberFormat="1" applyFont="1" applyBorder="1" applyAlignment="1">
      <alignment horizontal="left" wrapText="1"/>
    </xf>
    <xf numFmtId="49" fontId="104" fillId="0" borderId="0" xfId="0" applyNumberFormat="1" applyFont="1" applyAlignment="1">
      <alignment horizontal="left" wrapText="1"/>
    </xf>
    <xf numFmtId="38" fontId="123" fillId="0" borderId="11" xfId="1" applyFont="1" applyFill="1" applyBorder="1" applyAlignment="1">
      <alignment horizontal="right" wrapText="1"/>
    </xf>
    <xf numFmtId="38" fontId="123" fillId="0" borderId="2" xfId="1" applyFont="1" applyFill="1" applyBorder="1" applyAlignment="1">
      <alignment horizontal="right" wrapText="1"/>
    </xf>
    <xf numFmtId="49" fontId="104" fillId="0" borderId="11" xfId="0" applyNumberFormat="1" applyFont="1" applyBorder="1" applyAlignment="1">
      <alignment horizontal="center" vertical="center"/>
    </xf>
    <xf numFmtId="49" fontId="104" fillId="0" borderId="2" xfId="0" applyNumberFormat="1" applyFont="1" applyBorder="1" applyAlignment="1">
      <alignment horizontal="center" vertical="center"/>
    </xf>
    <xf numFmtId="49" fontId="104" fillId="0" borderId="3" xfId="0" applyNumberFormat="1" applyFont="1" applyBorder="1" applyAlignment="1">
      <alignment horizontal="center" vertical="center"/>
    </xf>
    <xf numFmtId="0" fontId="122" fillId="0" borderId="0" xfId="0" applyFont="1" applyAlignment="1" applyProtection="1">
      <alignment horizontal="center"/>
      <protection locked="0"/>
    </xf>
    <xf numFmtId="0" fontId="122" fillId="0" borderId="63" xfId="0" applyFont="1" applyBorder="1" applyAlignment="1" applyProtection="1">
      <alignment horizontal="center"/>
      <protection locked="0"/>
    </xf>
    <xf numFmtId="49" fontId="104" fillId="0" borderId="10" xfId="0" applyNumberFormat="1" applyFont="1" applyBorder="1" applyAlignment="1">
      <alignment horizontal="center"/>
    </xf>
    <xf numFmtId="38" fontId="123" fillId="0" borderId="11" xfId="1" applyFont="1" applyFill="1" applyBorder="1" applyAlignment="1">
      <alignment horizontal="right" shrinkToFit="1"/>
    </xf>
    <xf numFmtId="38" fontId="123" fillId="0" borderId="2" xfId="1" applyFont="1" applyFill="1" applyBorder="1" applyAlignment="1">
      <alignment horizontal="right" shrinkToFit="1"/>
    </xf>
    <xf numFmtId="0" fontId="104" fillId="0" borderId="21" xfId="0" applyFont="1" applyBorder="1" applyAlignment="1">
      <alignment horizontal="center" vertical="center"/>
    </xf>
    <xf numFmtId="0" fontId="104" fillId="0" borderId="13" xfId="0" applyFont="1" applyBorder="1" applyAlignment="1">
      <alignment horizontal="left"/>
    </xf>
    <xf numFmtId="0" fontId="104" fillId="0" borderId="0" xfId="0" applyFont="1" applyAlignment="1">
      <alignment horizontal="left"/>
    </xf>
    <xf numFmtId="0" fontId="104" fillId="0" borderId="12" xfId="0" applyFont="1" applyBorder="1" applyAlignment="1">
      <alignment horizontal="left"/>
    </xf>
    <xf numFmtId="49" fontId="104" fillId="0" borderId="13" xfId="0" applyNumberFormat="1" applyFont="1" applyBorder="1" applyAlignment="1">
      <alignment horizontal="left"/>
    </xf>
    <xf numFmtId="49" fontId="104" fillId="0" borderId="0" xfId="0" applyNumberFormat="1" applyFont="1" applyAlignment="1">
      <alignment horizontal="left"/>
    </xf>
    <xf numFmtId="49" fontId="104" fillId="0" borderId="12" xfId="0" applyNumberFormat="1" applyFont="1" applyBorder="1" applyAlignment="1">
      <alignment horizontal="left"/>
    </xf>
    <xf numFmtId="49" fontId="104" fillId="0" borderId="13" xfId="0" applyNumberFormat="1" applyFont="1" applyBorder="1" applyAlignment="1">
      <alignment horizontal="center" vertical="center" wrapText="1"/>
    </xf>
    <xf numFmtId="49" fontId="104" fillId="0" borderId="0" xfId="0" applyNumberFormat="1" applyFont="1" applyAlignment="1">
      <alignment horizontal="center" vertical="center"/>
    </xf>
    <xf numFmtId="49" fontId="104" fillId="0" borderId="12" xfId="0" applyNumberFormat="1" applyFont="1" applyBorder="1" applyAlignment="1">
      <alignment horizontal="center" vertical="center"/>
    </xf>
    <xf numFmtId="49" fontId="104" fillId="0" borderId="13" xfId="0" applyNumberFormat="1" applyFont="1" applyBorder="1" applyAlignment="1">
      <alignment horizontal="left" vertical="center"/>
    </xf>
    <xf numFmtId="49" fontId="104" fillId="0" borderId="0" xfId="0" applyNumberFormat="1" applyFont="1" applyAlignment="1">
      <alignment horizontal="left" vertical="center"/>
    </xf>
    <xf numFmtId="49" fontId="104" fillId="0" borderId="12" xfId="0" applyNumberFormat="1" applyFont="1" applyBorder="1" applyAlignment="1">
      <alignment horizontal="left" vertical="center"/>
    </xf>
    <xf numFmtId="178" fontId="104" fillId="0" borderId="17" xfId="0" applyNumberFormat="1" applyFont="1" applyBorder="1" applyAlignment="1">
      <alignment horizontal="center" vertical="center"/>
    </xf>
    <xf numFmtId="49" fontId="104" fillId="0" borderId="17" xfId="0" applyNumberFormat="1" applyFont="1" applyBorder="1" applyAlignment="1">
      <alignment horizontal="center" vertical="center"/>
    </xf>
    <xf numFmtId="49" fontId="104" fillId="0" borderId="55" xfId="0" applyNumberFormat="1" applyFont="1" applyBorder="1" applyAlignment="1">
      <alignment horizontal="center" vertical="center"/>
    </xf>
    <xf numFmtId="49" fontId="104" fillId="0" borderId="15" xfId="0" applyNumberFormat="1" applyFont="1" applyBorder="1" applyAlignment="1">
      <alignment horizontal="left" wrapText="1"/>
    </xf>
    <xf numFmtId="49" fontId="104" fillId="0" borderId="10" xfId="0" applyNumberFormat="1" applyFont="1" applyBorder="1" applyAlignment="1">
      <alignment horizontal="left" wrapText="1"/>
    </xf>
    <xf numFmtId="49" fontId="104" fillId="0" borderId="14" xfId="0" applyNumberFormat="1" applyFont="1" applyBorder="1" applyAlignment="1">
      <alignment horizontal="left" wrapText="1"/>
    </xf>
    <xf numFmtId="49" fontId="104" fillId="0" borderId="56" xfId="0" applyNumberFormat="1" applyFont="1" applyBorder="1" applyAlignment="1">
      <alignment horizontal="center" vertical="center"/>
    </xf>
    <xf numFmtId="178" fontId="75" fillId="0" borderId="17" xfId="0" applyNumberFormat="1" applyFont="1" applyBorder="1" applyAlignment="1">
      <alignment horizontal="center" vertical="center"/>
    </xf>
    <xf numFmtId="49" fontId="104" fillId="0" borderId="0" xfId="0" applyNumberFormat="1" applyFont="1" applyAlignment="1">
      <alignment horizontal="center" vertical="center" wrapText="1"/>
    </xf>
    <xf numFmtId="49" fontId="104" fillId="0" borderId="12" xfId="0" applyNumberFormat="1" applyFont="1" applyBorder="1" applyAlignment="1">
      <alignment horizontal="center" vertical="center" wrapText="1"/>
    </xf>
    <xf numFmtId="49" fontId="104" fillId="0" borderId="13" xfId="0" applyNumberFormat="1" applyFont="1" applyBorder="1" applyAlignment="1">
      <alignment horizontal="center" vertical="center"/>
    </xf>
    <xf numFmtId="181" fontId="66" fillId="0" borderId="0" xfId="0" applyNumberFormat="1" applyFont="1" applyAlignment="1">
      <alignment horizontal="center" vertical="center"/>
    </xf>
    <xf numFmtId="181" fontId="66" fillId="0" borderId="12" xfId="0" applyNumberFormat="1" applyFont="1" applyBorder="1" applyAlignment="1">
      <alignment horizontal="center" vertical="center"/>
    </xf>
    <xf numFmtId="178" fontId="66" fillId="0" borderId="0" xfId="0" applyNumberFormat="1" applyFont="1" applyAlignment="1">
      <alignment horizontal="center" vertical="center"/>
    </xf>
    <xf numFmtId="178" fontId="94" fillId="0" borderId="0" xfId="0" applyNumberFormat="1" applyFont="1" applyAlignment="1">
      <alignment horizontal="center" vertical="center"/>
    </xf>
    <xf numFmtId="178" fontId="94" fillId="0" borderId="12" xfId="0" applyNumberFormat="1" applyFont="1" applyBorder="1" applyAlignment="1">
      <alignment horizontal="center" vertical="center"/>
    </xf>
    <xf numFmtId="0" fontId="66" fillId="0" borderId="0" xfId="0" applyFont="1" applyAlignment="1">
      <alignment horizontal="center" vertical="center"/>
    </xf>
    <xf numFmtId="0" fontId="94" fillId="0" borderId="0" xfId="0" applyFont="1" applyAlignment="1">
      <alignment horizontal="center" vertical="center"/>
    </xf>
    <xf numFmtId="0" fontId="94" fillId="0" borderId="12" xfId="0" applyFont="1" applyBorder="1" applyAlignment="1">
      <alignment horizontal="center" vertical="center"/>
    </xf>
    <xf numFmtId="0" fontId="66" fillId="0" borderId="12" xfId="0" applyFont="1" applyBorder="1" applyAlignment="1">
      <alignment horizontal="center" vertical="center"/>
    </xf>
    <xf numFmtId="0" fontId="66" fillId="0" borderId="0" xfId="0" applyFont="1" applyAlignment="1" applyProtection="1">
      <alignment horizontal="right" vertical="center"/>
      <protection locked="0"/>
    </xf>
    <xf numFmtId="49" fontId="66" fillId="0" borderId="0" xfId="0" applyNumberFormat="1" applyFont="1" applyAlignment="1" applyProtection="1">
      <alignment horizontal="right" vertical="center"/>
      <protection locked="0"/>
    </xf>
    <xf numFmtId="49" fontId="66" fillId="0" borderId="13" xfId="0" applyNumberFormat="1" applyFont="1" applyBorder="1" applyAlignment="1">
      <alignment horizontal="right" vertical="center"/>
    </xf>
    <xf numFmtId="49" fontId="66" fillId="0" borderId="0" xfId="0" applyNumberFormat="1" applyFont="1" applyAlignment="1">
      <alignment horizontal="right" vertical="center"/>
    </xf>
    <xf numFmtId="49" fontId="104" fillId="0" borderId="15" xfId="0" applyNumberFormat="1" applyFont="1" applyBorder="1" applyAlignment="1">
      <alignment horizontal="center" vertical="center"/>
    </xf>
    <xf numFmtId="49" fontId="104" fillId="0" borderId="10" xfId="0" applyNumberFormat="1" applyFont="1" applyBorder="1" applyAlignment="1">
      <alignment horizontal="center" vertical="center"/>
    </xf>
    <xf numFmtId="49" fontId="104" fillId="0" borderId="14" xfId="0" applyNumberFormat="1" applyFont="1" applyBorder="1" applyAlignment="1">
      <alignment horizontal="center" vertical="center"/>
    </xf>
    <xf numFmtId="49" fontId="71" fillId="0" borderId="13" xfId="0" applyNumberFormat="1" applyFont="1" applyBorder="1" applyAlignment="1">
      <alignment horizontal="center" vertical="center"/>
    </xf>
    <xf numFmtId="49" fontId="71" fillId="0" borderId="0" xfId="0" applyNumberFormat="1" applyFont="1" applyAlignment="1">
      <alignment horizontal="center" vertical="center"/>
    </xf>
    <xf numFmtId="49" fontId="71" fillId="0" borderId="12" xfId="0" applyNumberFormat="1" applyFont="1" applyBorder="1" applyAlignment="1">
      <alignment horizontal="center" vertical="center"/>
    </xf>
    <xf numFmtId="0" fontId="82" fillId="0" borderId="0" xfId="8" applyFont="1">
      <alignment vertical="center"/>
    </xf>
    <xf numFmtId="0" fontId="82" fillId="0" borderId="286" xfId="8" applyFont="1" applyBorder="1" applyAlignment="1">
      <alignment horizontal="center" vertical="center" textRotation="255"/>
    </xf>
    <xf numFmtId="0" fontId="82" fillId="0" borderId="285" xfId="8" applyFont="1" applyBorder="1" applyAlignment="1">
      <alignment horizontal="center" vertical="center" textRotation="255"/>
    </xf>
    <xf numFmtId="0" fontId="82" fillId="0" borderId="315" xfId="8" applyFont="1" applyBorder="1" applyAlignment="1">
      <alignment horizontal="center" vertical="center" textRotation="255"/>
    </xf>
    <xf numFmtId="0" fontId="86" fillId="0" borderId="292" xfId="8" applyFont="1" applyBorder="1" applyAlignment="1">
      <alignment horizontal="center" vertical="center"/>
    </xf>
    <xf numFmtId="0" fontId="86" fillId="0" borderId="10" xfId="8" applyFont="1" applyBorder="1" applyAlignment="1">
      <alignment horizontal="center" vertical="center"/>
    </xf>
    <xf numFmtId="0" fontId="86" fillId="0" borderId="293" xfId="8" applyFont="1" applyBorder="1" applyAlignment="1">
      <alignment horizontal="center" vertical="center"/>
    </xf>
    <xf numFmtId="0" fontId="86" fillId="0" borderId="0" xfId="8" applyFont="1" applyAlignment="1">
      <alignment horizontal="center" vertical="center"/>
    </xf>
    <xf numFmtId="49" fontId="86" fillId="0" borderId="10" xfId="8" applyNumberFormat="1" applyFont="1" applyBorder="1" applyAlignment="1">
      <alignment horizontal="center" vertical="center"/>
    </xf>
    <xf numFmtId="0" fontId="86" fillId="0" borderId="14" xfId="8" applyFont="1" applyBorder="1" applyAlignment="1">
      <alignment horizontal="center" vertical="center"/>
    </xf>
    <xf numFmtId="0" fontId="86" fillId="0" borderId="12" xfId="8" applyFont="1" applyBorder="1" applyAlignment="1">
      <alignment horizontal="center" vertical="center"/>
    </xf>
    <xf numFmtId="0" fontId="86" fillId="0" borderId="15" xfId="8" applyFont="1" applyBorder="1" applyAlignment="1">
      <alignment horizontal="center" vertical="center" wrapText="1"/>
    </xf>
    <xf numFmtId="0" fontId="86" fillId="0" borderId="10" xfId="8" applyFont="1" applyBorder="1" applyAlignment="1">
      <alignment horizontal="center" vertical="center" wrapText="1"/>
    </xf>
    <xf numFmtId="0" fontId="86" fillId="0" borderId="14" xfId="8" applyFont="1" applyBorder="1" applyAlignment="1">
      <alignment horizontal="center" vertical="center" wrapText="1"/>
    </xf>
    <xf numFmtId="0" fontId="87" fillId="0" borderId="13" xfId="8" applyFont="1" applyBorder="1" applyAlignment="1">
      <alignment horizontal="left" vertical="center" wrapText="1"/>
    </xf>
    <xf numFmtId="0" fontId="87" fillId="0" borderId="0" xfId="8" applyFont="1" applyAlignment="1">
      <alignment horizontal="left" vertical="center" wrapText="1"/>
    </xf>
    <xf numFmtId="0" fontId="87" fillId="0" borderId="12" xfId="8" applyFont="1" applyBorder="1" applyAlignment="1">
      <alignment horizontal="left" vertical="center" wrapText="1"/>
    </xf>
    <xf numFmtId="0" fontId="87" fillId="0" borderId="11" xfId="8" applyFont="1" applyBorder="1" applyAlignment="1">
      <alignment horizontal="left" vertical="center" wrapText="1"/>
    </xf>
    <xf numFmtId="0" fontId="87" fillId="0" borderId="2" xfId="8" applyFont="1" applyBorder="1" applyAlignment="1">
      <alignment horizontal="left" vertical="center" wrapText="1"/>
    </xf>
    <xf numFmtId="0" fontId="87" fillId="0" borderId="3" xfId="8" applyFont="1" applyBorder="1" applyAlignment="1">
      <alignment horizontal="left" vertical="center" wrapText="1"/>
    </xf>
    <xf numFmtId="49" fontId="86" fillId="0" borderId="0" xfId="8" applyNumberFormat="1" applyFont="1" applyAlignment="1">
      <alignment horizontal="center" vertical="center"/>
    </xf>
    <xf numFmtId="0" fontId="86" fillId="0" borderId="2" xfId="8" applyFont="1" applyBorder="1" applyAlignment="1">
      <alignment horizontal="center" vertical="center"/>
    </xf>
    <xf numFmtId="0" fontId="86" fillId="0" borderId="3" xfId="8" applyFont="1" applyBorder="1" applyAlignment="1">
      <alignment horizontal="center" vertical="center"/>
    </xf>
    <xf numFmtId="0" fontId="87" fillId="0" borderId="89" xfId="8" applyFont="1" applyBorder="1" applyAlignment="1">
      <alignment horizontal="center" vertical="center" textRotation="255" wrapText="1"/>
    </xf>
    <xf numFmtId="0" fontId="87" fillId="0" borderId="24" xfId="8" applyFont="1" applyBorder="1" applyAlignment="1">
      <alignment horizontal="center" vertical="center" textRotation="255"/>
    </xf>
    <xf numFmtId="0" fontId="86" fillId="0" borderId="73" xfId="8" applyFont="1" applyBorder="1" applyAlignment="1">
      <alignment horizontal="center" vertical="center"/>
    </xf>
    <xf numFmtId="0" fontId="86" fillId="0" borderId="90" xfId="8" applyFont="1" applyBorder="1" applyAlignment="1">
      <alignment horizontal="center" vertical="center"/>
    </xf>
    <xf numFmtId="0" fontId="86" fillId="0" borderId="133" xfId="8" applyFont="1" applyBorder="1" applyAlignment="1">
      <alignment horizontal="center" vertical="center"/>
    </xf>
    <xf numFmtId="0" fontId="86" fillId="0" borderId="71" xfId="8" applyFont="1" applyBorder="1" applyAlignment="1">
      <alignment horizontal="center" vertical="center" wrapText="1"/>
    </xf>
    <xf numFmtId="0" fontId="86" fillId="0" borderId="264" xfId="8" applyFont="1" applyBorder="1" applyAlignment="1">
      <alignment horizontal="center" vertical="center" wrapText="1"/>
    </xf>
    <xf numFmtId="0" fontId="86" fillId="0" borderId="0" xfId="8" applyFont="1" applyAlignment="1">
      <alignment horizontal="center" vertical="center" wrapText="1"/>
    </xf>
    <xf numFmtId="0" fontId="86" fillId="0" borderId="12" xfId="8" applyFont="1" applyBorder="1" applyAlignment="1">
      <alignment horizontal="center" vertical="center" wrapText="1"/>
    </xf>
    <xf numFmtId="0" fontId="86" fillId="0" borderId="13" xfId="8" applyFont="1" applyBorder="1" applyAlignment="1">
      <alignment horizontal="center" vertical="center" wrapText="1"/>
    </xf>
    <xf numFmtId="0" fontId="86" fillId="0" borderId="89" xfId="8" applyFont="1" applyBorder="1" applyAlignment="1">
      <alignment horizontal="center" vertical="center"/>
    </xf>
    <xf numFmtId="0" fontId="86" fillId="0" borderId="121" xfId="8" applyFont="1" applyBorder="1" applyAlignment="1">
      <alignment horizontal="center" vertical="center"/>
    </xf>
    <xf numFmtId="0" fontId="86" fillId="0" borderId="294" xfId="8" applyFont="1" applyBorder="1" applyAlignment="1">
      <alignment horizontal="center" vertical="center"/>
    </xf>
    <xf numFmtId="195" fontId="86" fillId="0" borderId="0" xfId="8" applyNumberFormat="1" applyFont="1" applyAlignment="1">
      <alignment horizontal="center" vertical="center" shrinkToFit="1"/>
    </xf>
    <xf numFmtId="195" fontId="86" fillId="0" borderId="2" xfId="8" applyNumberFormat="1" applyFont="1" applyBorder="1" applyAlignment="1">
      <alignment horizontal="center" vertical="center" shrinkToFit="1"/>
    </xf>
    <xf numFmtId="49" fontId="86" fillId="0" borderId="12" xfId="8" applyNumberFormat="1" applyFont="1" applyBorder="1" applyAlignment="1">
      <alignment horizontal="center" vertical="center"/>
    </xf>
    <xf numFmtId="49" fontId="86" fillId="0" borderId="3" xfId="8" applyNumberFormat="1" applyFont="1" applyBorder="1" applyAlignment="1">
      <alignment horizontal="center" vertical="center"/>
    </xf>
    <xf numFmtId="0" fontId="86" fillId="0" borderId="118" xfId="8" applyFont="1" applyBorder="1" applyAlignment="1">
      <alignment horizontal="center" vertical="center"/>
    </xf>
    <xf numFmtId="0" fontId="86" fillId="0" borderId="303" xfId="8" applyFont="1" applyBorder="1" applyAlignment="1">
      <alignment horizontal="center" vertical="center"/>
    </xf>
    <xf numFmtId="0" fontId="86" fillId="0" borderId="302" xfId="8" applyFont="1" applyBorder="1" applyAlignment="1">
      <alignment horizontal="center" vertical="center"/>
    </xf>
    <xf numFmtId="0" fontId="86" fillId="0" borderId="24" xfId="8" applyFont="1" applyBorder="1" applyAlignment="1">
      <alignment horizontal="center" vertical="center" textRotation="255" wrapText="1"/>
    </xf>
    <xf numFmtId="0" fontId="86" fillId="0" borderId="24" xfId="8" applyFont="1" applyBorder="1" applyAlignment="1">
      <alignment horizontal="center" vertical="center" textRotation="255"/>
    </xf>
    <xf numFmtId="0" fontId="86" fillId="0" borderId="378" xfId="8" applyFont="1" applyBorder="1" applyAlignment="1" applyProtection="1">
      <alignment horizontal="center" vertical="center"/>
      <protection locked="0"/>
    </xf>
    <xf numFmtId="0" fontId="86" fillId="0" borderId="291" xfId="8" applyFont="1" applyBorder="1" applyAlignment="1" applyProtection="1">
      <alignment horizontal="center" vertical="center"/>
      <protection locked="0"/>
    </xf>
    <xf numFmtId="0" fontId="86" fillId="0" borderId="122" xfId="8" applyFont="1" applyBorder="1" applyAlignment="1" applyProtection="1">
      <alignment horizontal="center" vertical="center"/>
      <protection locked="0"/>
    </xf>
    <xf numFmtId="0" fontId="86" fillId="0" borderId="310" xfId="8" applyFont="1" applyBorder="1" applyAlignment="1" applyProtection="1">
      <alignment horizontal="center" vertical="center"/>
      <protection locked="0"/>
    </xf>
    <xf numFmtId="192" fontId="86" fillId="0" borderId="291" xfId="8" applyNumberFormat="1" applyFont="1" applyBorder="1" applyAlignment="1" applyProtection="1">
      <alignment horizontal="center" vertical="center"/>
      <protection locked="0"/>
    </xf>
    <xf numFmtId="192" fontId="86" fillId="0" borderId="310" xfId="8" applyNumberFormat="1" applyFont="1" applyBorder="1" applyAlignment="1" applyProtection="1">
      <alignment horizontal="center" vertical="center"/>
      <protection locked="0"/>
    </xf>
    <xf numFmtId="0" fontId="86" fillId="0" borderId="314" xfId="8" applyFont="1" applyBorder="1" applyAlignment="1">
      <alignment horizontal="center" vertical="center"/>
    </xf>
    <xf numFmtId="0" fontId="86" fillId="0" borderId="110" xfId="8" applyFont="1" applyBorder="1" applyAlignment="1">
      <alignment horizontal="center" vertical="center"/>
    </xf>
    <xf numFmtId="0" fontId="86" fillId="0" borderId="127" xfId="8" applyFont="1" applyBorder="1" applyAlignment="1">
      <alignment horizontal="center" vertical="center"/>
    </xf>
    <xf numFmtId="0" fontId="86" fillId="0" borderId="298" xfId="8" applyFont="1" applyBorder="1" applyAlignment="1" applyProtection="1">
      <alignment horizontal="center" vertical="center"/>
      <protection locked="0"/>
    </xf>
    <xf numFmtId="0" fontId="86" fillId="0" borderId="379" xfId="8" applyFont="1" applyBorder="1" applyAlignment="1" applyProtection="1">
      <alignment horizontal="center" vertical="center"/>
      <protection locked="0"/>
    </xf>
    <xf numFmtId="0" fontId="86" fillId="0" borderId="380" xfId="8" applyFont="1" applyBorder="1" applyAlignment="1" applyProtection="1">
      <alignment horizontal="center" vertical="center"/>
      <protection locked="0"/>
    </xf>
    <xf numFmtId="0" fontId="67" fillId="0" borderId="291" xfId="8" applyFont="1" applyBorder="1" applyAlignment="1">
      <alignment horizontal="center" vertical="center"/>
    </xf>
    <xf numFmtId="0" fontId="67" fillId="0" borderId="305" xfId="8" applyFont="1" applyBorder="1" applyAlignment="1">
      <alignment horizontal="center" vertical="center"/>
    </xf>
    <xf numFmtId="0" fontId="67" fillId="0" borderId="380" xfId="8" applyFont="1" applyBorder="1" applyAlignment="1">
      <alignment horizontal="center" vertical="center"/>
    </xf>
    <xf numFmtId="0" fontId="67" fillId="0" borderId="381" xfId="8" applyFont="1" applyBorder="1" applyAlignment="1">
      <alignment horizontal="center" vertical="center"/>
    </xf>
    <xf numFmtId="0" fontId="86" fillId="0" borderId="295" xfId="8" applyFont="1" applyBorder="1" applyAlignment="1">
      <alignment horizontal="center" vertical="center" wrapText="1"/>
    </xf>
    <xf numFmtId="0" fontId="86" fillId="0" borderId="110" xfId="8" applyFont="1" applyBorder="1" applyAlignment="1">
      <alignment horizontal="center" vertical="center" wrapText="1"/>
    </xf>
    <xf numFmtId="0" fontId="86" fillId="0" borderId="127" xfId="8" applyFont="1" applyBorder="1" applyAlignment="1">
      <alignment horizontal="center" vertical="center" wrapText="1"/>
    </xf>
    <xf numFmtId="0" fontId="67" fillId="0" borderId="310" xfId="8" applyFont="1" applyBorder="1" applyAlignment="1">
      <alignment horizontal="center" vertical="center"/>
    </xf>
    <xf numFmtId="0" fontId="67" fillId="0" borderId="311" xfId="8" applyFont="1" applyBorder="1" applyAlignment="1">
      <alignment horizontal="center" vertical="center"/>
    </xf>
    <xf numFmtId="0" fontId="86" fillId="0" borderId="312" xfId="8" applyFont="1" applyBorder="1" applyAlignment="1">
      <alignment horizontal="center" vertical="center" shrinkToFit="1"/>
    </xf>
    <xf numFmtId="0" fontId="86" fillId="0" borderId="8" xfId="8" applyFont="1" applyBorder="1" applyAlignment="1">
      <alignment horizontal="center" vertical="center" shrinkToFit="1"/>
    </xf>
    <xf numFmtId="0" fontId="86" fillId="0" borderId="119" xfId="8" applyFont="1" applyBorder="1" applyAlignment="1">
      <alignment horizontal="center" vertical="center" shrinkToFit="1"/>
    </xf>
    <xf numFmtId="192" fontId="86" fillId="0" borderId="291" xfId="8" applyNumberFormat="1" applyFont="1" applyBorder="1" applyAlignment="1">
      <alignment horizontal="center" vertical="center"/>
    </xf>
    <xf numFmtId="192" fontId="86" fillId="0" borderId="310" xfId="8" applyNumberFormat="1" applyFont="1" applyBorder="1" applyAlignment="1">
      <alignment horizontal="center" vertical="center"/>
    </xf>
    <xf numFmtId="0" fontId="86" fillId="0" borderId="291" xfId="8" applyFont="1" applyBorder="1" applyAlignment="1">
      <alignment horizontal="center" vertical="center"/>
    </xf>
    <xf numFmtId="0" fontId="86" fillId="0" borderId="310" xfId="8" applyFont="1" applyBorder="1" applyAlignment="1">
      <alignment horizontal="center" vertical="center"/>
    </xf>
    <xf numFmtId="0" fontId="86" fillId="0" borderId="295" xfId="8" applyFont="1" applyBorder="1" applyAlignment="1" applyProtection="1">
      <alignment horizontal="center" vertical="center" wrapText="1"/>
      <protection locked="0"/>
    </xf>
    <xf numFmtId="0" fontId="86" fillId="0" borderId="110" xfId="8" applyFont="1" applyBorder="1" applyAlignment="1" applyProtection="1">
      <alignment horizontal="center" vertical="center" wrapText="1"/>
      <protection locked="0"/>
    </xf>
    <xf numFmtId="0" fontId="86" fillId="0" borderId="127" xfId="8" applyFont="1" applyBorder="1" applyAlignment="1" applyProtection="1">
      <alignment horizontal="center" vertical="center" wrapText="1"/>
      <protection locked="0"/>
    </xf>
    <xf numFmtId="0" fontId="86" fillId="0" borderId="13" xfId="8" applyFont="1" applyBorder="1" applyAlignment="1" applyProtection="1">
      <alignment horizontal="center" vertical="center" wrapText="1"/>
      <protection locked="0"/>
    </xf>
    <xf numFmtId="0" fontId="86" fillId="0" borderId="0" xfId="8" applyFont="1" applyAlignment="1" applyProtection="1">
      <alignment horizontal="center" vertical="center" wrapText="1"/>
      <protection locked="0"/>
    </xf>
    <xf numFmtId="0" fontId="86" fillId="0" borderId="12" xfId="8" applyFont="1" applyBorder="1" applyAlignment="1" applyProtection="1">
      <alignment horizontal="center" vertical="center" wrapText="1"/>
      <protection locked="0"/>
    </xf>
    <xf numFmtId="0" fontId="86" fillId="0" borderId="304" xfId="8" applyFont="1" applyBorder="1" applyAlignment="1">
      <alignment horizontal="center" vertical="center"/>
    </xf>
    <xf numFmtId="0" fontId="86" fillId="0" borderId="309" xfId="8" applyFont="1" applyBorder="1" applyAlignment="1">
      <alignment horizontal="center" vertical="center"/>
    </xf>
    <xf numFmtId="0" fontId="86" fillId="0" borderId="283" xfId="8" applyFont="1" applyBorder="1" applyAlignment="1">
      <alignment horizontal="center" vertical="center" wrapText="1"/>
    </xf>
    <xf numFmtId="0" fontId="86" fillId="0" borderId="8" xfId="8" applyFont="1" applyBorder="1" applyAlignment="1">
      <alignment horizontal="center" vertical="center" wrapText="1"/>
    </xf>
    <xf numFmtId="0" fontId="86" fillId="0" borderId="119" xfId="8" applyFont="1" applyBorder="1" applyAlignment="1">
      <alignment horizontal="center" vertical="center" wrapText="1"/>
    </xf>
    <xf numFmtId="0" fontId="86" fillId="0" borderId="283" xfId="8" applyFont="1" applyBorder="1" applyAlignment="1" applyProtection="1">
      <alignment horizontal="center" vertical="center" wrapText="1"/>
      <protection locked="0"/>
    </xf>
    <xf numFmtId="0" fontId="86" fillId="0" borderId="8" xfId="8" applyFont="1" applyBorder="1" applyAlignment="1" applyProtection="1">
      <alignment horizontal="center" vertical="center" wrapText="1"/>
      <protection locked="0"/>
    </xf>
    <xf numFmtId="0" fontId="86" fillId="0" borderId="119" xfId="8" applyFont="1" applyBorder="1" applyAlignment="1" applyProtection="1">
      <alignment horizontal="center" vertical="center" wrapText="1"/>
      <protection locked="0"/>
    </xf>
    <xf numFmtId="0" fontId="86" fillId="0" borderId="380" xfId="8" applyFont="1" applyBorder="1" applyAlignment="1">
      <alignment horizontal="center" vertical="center"/>
    </xf>
    <xf numFmtId="0" fontId="86" fillId="0" borderId="385" xfId="8" applyFont="1" applyBorder="1" applyAlignment="1">
      <alignment horizontal="center" vertical="center" wrapText="1"/>
    </xf>
    <xf numFmtId="0" fontId="86" fillId="0" borderId="383" xfId="8" applyFont="1" applyBorder="1" applyAlignment="1">
      <alignment horizontal="center" vertical="center" wrapText="1"/>
    </xf>
    <xf numFmtId="0" fontId="86" fillId="0" borderId="384" xfId="8" applyFont="1" applyBorder="1" applyAlignment="1">
      <alignment horizontal="center" vertical="center" wrapText="1"/>
    </xf>
    <xf numFmtId="0" fontId="86" fillId="0" borderId="382" xfId="8" applyFont="1" applyBorder="1" applyAlignment="1">
      <alignment horizontal="center" vertical="center"/>
    </xf>
    <xf numFmtId="0" fontId="86" fillId="0" borderId="383" xfId="8" applyFont="1" applyBorder="1" applyAlignment="1">
      <alignment horizontal="center" vertical="center"/>
    </xf>
    <xf numFmtId="0" fontId="86" fillId="0" borderId="384" xfId="8" applyFont="1" applyBorder="1" applyAlignment="1">
      <alignment horizontal="center" vertical="center"/>
    </xf>
    <xf numFmtId="0" fontId="86" fillId="0" borderId="385" xfId="8" applyFont="1" applyBorder="1" applyAlignment="1" applyProtection="1">
      <alignment horizontal="center" vertical="center" wrapText="1"/>
      <protection locked="0"/>
    </xf>
    <xf numFmtId="0" fontId="86" fillId="0" borderId="383" xfId="8" applyFont="1" applyBorder="1" applyAlignment="1" applyProtection="1">
      <alignment horizontal="center" vertical="center" wrapText="1"/>
      <protection locked="0"/>
    </xf>
    <xf numFmtId="0" fontId="86" fillId="0" borderId="384" xfId="8" applyFont="1" applyBorder="1" applyAlignment="1" applyProtection="1">
      <alignment horizontal="center" vertical="center" wrapText="1"/>
      <protection locked="0"/>
    </xf>
    <xf numFmtId="0" fontId="86" fillId="0" borderId="386" xfId="8" applyFont="1" applyBorder="1" applyAlignment="1">
      <alignment horizontal="center" vertical="center"/>
    </xf>
    <xf numFmtId="192" fontId="86" fillId="0" borderId="380" xfId="8" applyNumberFormat="1" applyFont="1" applyBorder="1" applyAlignment="1">
      <alignment horizontal="center" vertical="center"/>
    </xf>
    <xf numFmtId="0" fontId="67" fillId="0" borderId="331" xfId="8" applyFont="1" applyBorder="1" applyAlignment="1">
      <alignment horizontal="center" vertical="center" textRotation="255" wrapText="1"/>
    </xf>
    <xf numFmtId="0" fontId="67" fillId="0" borderId="392" xfId="8" applyFont="1" applyBorder="1" applyAlignment="1">
      <alignment horizontal="center" vertical="center" textRotation="255"/>
    </xf>
    <xf numFmtId="0" fontId="67" fillId="0" borderId="327" xfId="8" applyFont="1" applyBorder="1" applyAlignment="1">
      <alignment horizontal="center" vertical="center" textRotation="255"/>
    </xf>
    <xf numFmtId="0" fontId="86" fillId="0" borderId="7" xfId="8" applyFont="1" applyBorder="1" applyAlignment="1" applyProtection="1">
      <alignment horizontal="center" vertical="center"/>
      <protection locked="0"/>
    </xf>
    <xf numFmtId="0" fontId="86" fillId="0" borderId="387" xfId="8" applyFont="1" applyBorder="1" applyAlignment="1" applyProtection="1">
      <alignment horizontal="center" vertical="center"/>
      <protection locked="0"/>
    </xf>
    <xf numFmtId="192" fontId="86" fillId="0" borderId="421" xfId="8" applyNumberFormat="1" applyFont="1" applyBorder="1" applyAlignment="1" applyProtection="1">
      <alignment horizontal="center" vertical="center"/>
      <protection locked="0"/>
    </xf>
    <xf numFmtId="0" fontId="86" fillId="0" borderId="420" xfId="8" applyFont="1" applyBorder="1" applyAlignment="1" applyProtection="1">
      <alignment horizontal="center" vertical="center"/>
      <protection locked="0"/>
    </xf>
    <xf numFmtId="0" fontId="86" fillId="0" borderId="307" xfId="8" applyFont="1" applyBorder="1" applyAlignment="1" applyProtection="1">
      <alignment horizontal="center" vertical="center"/>
      <protection locked="0"/>
    </xf>
    <xf numFmtId="192" fontId="86" fillId="0" borderId="307" xfId="8" applyNumberFormat="1" applyFont="1" applyBorder="1" applyAlignment="1" applyProtection="1">
      <alignment horizontal="center" vertical="center"/>
      <protection locked="0"/>
    </xf>
    <xf numFmtId="0" fontId="86" fillId="0" borderId="389" xfId="8" applyFont="1" applyBorder="1" applyAlignment="1">
      <alignment horizontal="center" vertical="center" wrapText="1"/>
    </xf>
    <xf numFmtId="0" fontId="86" fillId="0" borderId="6" xfId="8" applyFont="1" applyBorder="1" applyAlignment="1">
      <alignment horizontal="center" vertical="center" wrapText="1"/>
    </xf>
    <xf numFmtId="0" fontId="86" fillId="0" borderId="5" xfId="8" applyFont="1" applyBorder="1" applyAlignment="1">
      <alignment horizontal="center" vertical="center" wrapText="1"/>
    </xf>
    <xf numFmtId="0" fontId="67" fillId="0" borderId="312" xfId="8" applyFont="1" applyBorder="1" applyAlignment="1">
      <alignment horizontal="center" vertical="center"/>
    </xf>
    <xf numFmtId="0" fontId="67" fillId="0" borderId="8" xfId="8" applyFont="1" applyBorder="1" applyAlignment="1">
      <alignment horizontal="center" vertical="center"/>
    </xf>
    <xf numFmtId="0" fontId="67" fillId="0" borderId="119" xfId="8" applyFont="1" applyBorder="1" applyAlignment="1">
      <alignment horizontal="center" vertical="center"/>
    </xf>
    <xf numFmtId="0" fontId="67" fillId="0" borderId="291" xfId="8" applyFont="1" applyBorder="1" applyAlignment="1" applyProtection="1">
      <alignment horizontal="center" vertical="center"/>
      <protection locked="0"/>
    </xf>
    <xf numFmtId="0" fontId="67" fillId="0" borderId="305" xfId="8" applyFont="1" applyBorder="1" applyAlignment="1" applyProtection="1">
      <alignment horizontal="center" vertical="center"/>
      <protection locked="0"/>
    </xf>
    <xf numFmtId="0" fontId="67" fillId="0" borderId="312" xfId="8" applyFont="1" applyBorder="1" applyAlignment="1">
      <alignment horizontal="center" vertical="center" shrinkToFit="1"/>
    </xf>
    <xf numFmtId="0" fontId="67" fillId="0" borderId="8" xfId="8" applyFont="1" applyBorder="1" applyAlignment="1">
      <alignment horizontal="center" vertical="center" shrinkToFit="1"/>
    </xf>
    <xf numFmtId="0" fontId="67" fillId="0" borderId="119" xfId="8" applyFont="1" applyBorder="1" applyAlignment="1">
      <alignment horizontal="center" vertical="center" shrinkToFit="1"/>
    </xf>
    <xf numFmtId="192" fontId="86" fillId="0" borderId="387" xfId="8" applyNumberFormat="1" applyFont="1" applyBorder="1" applyAlignment="1">
      <alignment horizontal="center" vertical="center"/>
    </xf>
    <xf numFmtId="0" fontId="86" fillId="0" borderId="387" xfId="8" applyFont="1" applyBorder="1" applyAlignment="1">
      <alignment horizontal="center" vertical="center"/>
    </xf>
    <xf numFmtId="0" fontId="67" fillId="0" borderId="387" xfId="8" applyFont="1" applyBorder="1" applyAlignment="1">
      <alignment horizontal="center" vertical="center"/>
    </xf>
    <xf numFmtId="0" fontId="67" fillId="0" borderId="388" xfId="8" applyFont="1" applyBorder="1" applyAlignment="1">
      <alignment horizontal="center" vertical="center"/>
    </xf>
    <xf numFmtId="0" fontId="67" fillId="0" borderId="391" xfId="8" applyFont="1" applyBorder="1" applyAlignment="1">
      <alignment horizontal="center" vertical="center" shrinkToFit="1"/>
    </xf>
    <xf numFmtId="0" fontId="67" fillId="0" borderId="6" xfId="8" applyFont="1" applyBorder="1" applyAlignment="1">
      <alignment horizontal="center" vertical="center" shrinkToFit="1"/>
    </xf>
    <xf numFmtId="0" fontId="67" fillId="0" borderId="5" xfId="8" applyFont="1" applyBorder="1" applyAlignment="1">
      <alignment horizontal="center" vertical="center" shrinkToFit="1"/>
    </xf>
    <xf numFmtId="0" fontId="67" fillId="0" borderId="387" xfId="8" applyFont="1" applyBorder="1" applyAlignment="1" applyProtection="1">
      <alignment horizontal="center" vertical="center"/>
      <protection locked="0"/>
    </xf>
    <xf numFmtId="0" fontId="67" fillId="0" borderId="388" xfId="8" applyFont="1" applyBorder="1" applyAlignment="1" applyProtection="1">
      <alignment horizontal="center" vertical="center"/>
      <protection locked="0"/>
    </xf>
    <xf numFmtId="0" fontId="86" fillId="0" borderId="389" xfId="8" applyFont="1" applyBorder="1" applyAlignment="1" applyProtection="1">
      <alignment horizontal="center" vertical="center" wrapText="1"/>
      <protection locked="0"/>
    </xf>
    <xf numFmtId="0" fontId="86" fillId="0" borderId="6" xfId="8" applyFont="1" applyBorder="1" applyAlignment="1" applyProtection="1">
      <alignment horizontal="center" vertical="center" wrapText="1"/>
      <protection locked="0"/>
    </xf>
    <xf numFmtId="0" fontId="86" fillId="0" borderId="5" xfId="8" applyFont="1" applyBorder="1" applyAlignment="1" applyProtection="1">
      <alignment horizontal="center" vertical="center" wrapText="1"/>
      <protection locked="0"/>
    </xf>
    <xf numFmtId="0" fontId="86" fillId="0" borderId="390" xfId="8" applyFont="1" applyBorder="1" applyAlignment="1">
      <alignment horizontal="center" vertical="center"/>
    </xf>
    <xf numFmtId="0" fontId="67" fillId="0" borderId="307" xfId="8" applyFont="1" applyBorder="1" applyAlignment="1" applyProtection="1">
      <alignment horizontal="center" vertical="center"/>
      <protection locked="0"/>
    </xf>
    <xf numFmtId="0" fontId="67" fillId="0" borderId="308" xfId="8" applyFont="1" applyBorder="1" applyAlignment="1" applyProtection="1">
      <alignment horizontal="center" vertical="center"/>
      <protection locked="0"/>
    </xf>
    <xf numFmtId="0" fontId="86" fillId="0" borderId="307" xfId="8" applyFont="1" applyBorder="1" applyAlignment="1">
      <alignment horizontal="center" vertical="center"/>
    </xf>
    <xf numFmtId="0" fontId="67" fillId="0" borderId="307" xfId="8" applyFont="1" applyBorder="1" applyAlignment="1">
      <alignment horizontal="center" vertical="center"/>
    </xf>
    <xf numFmtId="0" fontId="67" fillId="0" borderId="308" xfId="8" applyFont="1" applyBorder="1" applyAlignment="1">
      <alignment horizontal="center" vertical="center"/>
    </xf>
    <xf numFmtId="0" fontId="86" fillId="0" borderId="284" xfId="8" applyFont="1" applyBorder="1" applyAlignment="1">
      <alignment horizontal="center" vertical="center" wrapText="1"/>
    </xf>
    <xf numFmtId="0" fontId="86" fillId="0" borderId="125" xfId="8" applyFont="1" applyBorder="1" applyAlignment="1">
      <alignment horizontal="center" vertical="center" wrapText="1"/>
    </xf>
    <xf numFmtId="0" fontId="86" fillId="0" borderId="126" xfId="8" applyFont="1" applyBorder="1" applyAlignment="1">
      <alignment horizontal="center" vertical="center" wrapText="1"/>
    </xf>
    <xf numFmtId="0" fontId="67" fillId="0" borderId="393" xfId="8" applyFont="1" applyBorder="1" applyAlignment="1">
      <alignment horizontal="center" vertical="center"/>
    </xf>
    <xf numFmtId="0" fontId="67" fillId="0" borderId="125" xfId="8" applyFont="1" applyBorder="1" applyAlignment="1">
      <alignment horizontal="center" vertical="center"/>
    </xf>
    <xf numFmtId="0" fontId="67" fillId="0" borderId="126" xfId="8" applyFont="1" applyBorder="1" applyAlignment="1">
      <alignment horizontal="center" vertical="center"/>
    </xf>
    <xf numFmtId="0" fontId="86" fillId="0" borderId="284" xfId="8" applyFont="1" applyBorder="1" applyAlignment="1" applyProtection="1">
      <alignment horizontal="center" vertical="center" wrapText="1"/>
      <protection locked="0"/>
    </xf>
    <xf numFmtId="0" fontId="86" fillId="0" borderId="125" xfId="8" applyFont="1" applyBorder="1" applyAlignment="1" applyProtection="1">
      <alignment horizontal="center" vertical="center" wrapText="1"/>
      <protection locked="0"/>
    </xf>
    <xf numFmtId="0" fontId="86" fillId="0" borderId="126" xfId="8" applyFont="1" applyBorder="1" applyAlignment="1" applyProtection="1">
      <alignment horizontal="center" vertical="center" wrapText="1"/>
      <protection locked="0"/>
    </xf>
    <xf numFmtId="0" fontId="86" fillId="0" borderId="306" xfId="8" applyFont="1" applyBorder="1" applyAlignment="1">
      <alignment horizontal="center" vertical="center"/>
    </xf>
    <xf numFmtId="192" fontId="86" fillId="0" borderId="307" xfId="8" applyNumberFormat="1" applyFont="1" applyBorder="1" applyAlignment="1">
      <alignment horizontal="center" vertical="center"/>
    </xf>
    <xf numFmtId="0" fontId="86" fillId="0" borderId="15" xfId="8" applyFont="1" applyBorder="1" applyAlignment="1">
      <alignment horizontal="center" vertical="center"/>
    </xf>
    <xf numFmtId="0" fontId="86" fillId="0" borderId="296" xfId="8" applyFont="1" applyBorder="1" applyAlignment="1">
      <alignment horizontal="center" vertical="center"/>
    </xf>
    <xf numFmtId="0" fontId="87" fillId="0" borderId="10" xfId="8" applyFont="1" applyBorder="1" applyAlignment="1">
      <alignment horizontal="center" vertical="center"/>
    </xf>
    <xf numFmtId="0" fontId="87" fillId="0" borderId="14" xfId="8" applyFont="1" applyBorder="1" applyAlignment="1">
      <alignment horizontal="center" vertical="center"/>
    </xf>
    <xf numFmtId="0" fontId="86" fillId="0" borderId="34" xfId="8" applyFont="1" applyBorder="1" applyAlignment="1">
      <alignment horizontal="center" vertical="center"/>
    </xf>
    <xf numFmtId="0" fontId="86" fillId="0" borderId="34" xfId="8" applyFont="1" applyBorder="1" applyAlignment="1">
      <alignment horizontal="center" vertical="center" wrapText="1"/>
    </xf>
    <xf numFmtId="0" fontId="86" fillId="0" borderId="298" xfId="8" applyFont="1" applyBorder="1" applyAlignment="1">
      <alignment horizontal="center" vertical="center"/>
    </xf>
    <xf numFmtId="0" fontId="86" fillId="0" borderId="297" xfId="8" applyFont="1" applyBorder="1" applyAlignment="1">
      <alignment horizontal="center" vertical="center"/>
    </xf>
    <xf numFmtId="0" fontId="87" fillId="0" borderId="111" xfId="8" applyFont="1" applyBorder="1" applyAlignment="1">
      <alignment horizontal="center" vertical="center"/>
    </xf>
    <xf numFmtId="0" fontId="87" fillId="0" borderId="109" xfId="8" applyFont="1" applyBorder="1" applyAlignment="1">
      <alignment horizontal="center" vertical="center"/>
    </xf>
    <xf numFmtId="0" fontId="86" fillId="0" borderId="34" xfId="8" applyFont="1" applyBorder="1" applyAlignment="1" applyProtection="1">
      <alignment horizontal="center" vertical="center" wrapText="1"/>
      <protection locked="0"/>
    </xf>
    <xf numFmtId="0" fontId="175" fillId="0" borderId="113" xfId="8" applyFont="1" applyBorder="1" applyAlignment="1">
      <alignment horizontal="center" vertical="center"/>
    </xf>
    <xf numFmtId="0" fontId="175" fillId="0" borderId="122" xfId="8" applyFont="1" applyBorder="1" applyAlignment="1">
      <alignment horizontal="center" vertical="center"/>
    </xf>
    <xf numFmtId="0" fontId="175" fillId="0" borderId="112" xfId="8" applyFont="1" applyBorder="1" applyAlignment="1">
      <alignment horizontal="center" vertical="center"/>
    </xf>
    <xf numFmtId="0" fontId="175" fillId="0" borderId="7" xfId="8" applyFont="1" applyBorder="1" applyAlignment="1">
      <alignment horizontal="center" vertical="center"/>
    </xf>
    <xf numFmtId="0" fontId="175" fillId="0" borderId="110" xfId="8" applyFont="1" applyBorder="1" applyAlignment="1">
      <alignment horizontal="center" vertical="center"/>
    </xf>
    <xf numFmtId="0" fontId="175" fillId="0" borderId="6" xfId="8" applyFont="1" applyBorder="1" applyAlignment="1">
      <alignment horizontal="center" vertical="center"/>
    </xf>
    <xf numFmtId="0" fontId="86" fillId="0" borderId="34" xfId="8" applyFont="1" applyBorder="1" applyAlignment="1" applyProtection="1">
      <alignment horizontal="center" vertical="center"/>
      <protection locked="0"/>
    </xf>
    <xf numFmtId="0" fontId="86" fillId="0" borderId="38" xfId="8" applyFont="1" applyBorder="1" applyAlignment="1" applyProtection="1">
      <alignment horizontal="center" vertical="center"/>
      <protection locked="0"/>
    </xf>
    <xf numFmtId="0" fontId="86" fillId="0" borderId="39" xfId="8" applyFont="1" applyBorder="1" applyAlignment="1" applyProtection="1">
      <alignment horizontal="center" vertical="center"/>
      <protection locked="0"/>
    </xf>
    <xf numFmtId="0" fontId="86" fillId="0" borderId="120" xfId="8" applyFont="1" applyBorder="1" applyAlignment="1">
      <alignment horizontal="center" vertical="center"/>
    </xf>
    <xf numFmtId="0" fontId="175" fillId="0" borderId="260" xfId="8" applyFont="1" applyBorder="1" applyAlignment="1">
      <alignment horizontal="center" vertical="center"/>
    </xf>
    <xf numFmtId="0" fontId="175" fillId="0" borderId="106" xfId="8" applyFont="1" applyBorder="1" applyAlignment="1">
      <alignment horizontal="center" vertical="center"/>
    </xf>
    <xf numFmtId="0" fontId="175" fillId="0" borderId="0" xfId="8" applyFont="1" applyAlignment="1">
      <alignment horizontal="center" vertical="center"/>
    </xf>
    <xf numFmtId="0" fontId="86" fillId="0" borderId="38" xfId="8" applyFont="1" applyBorder="1" applyAlignment="1">
      <alignment horizontal="center" vertical="center"/>
    </xf>
    <xf numFmtId="0" fontId="86" fillId="0" borderId="39" xfId="8" applyFont="1" applyBorder="1" applyAlignment="1">
      <alignment horizontal="center" vertical="center"/>
    </xf>
    <xf numFmtId="0" fontId="86" fillId="0" borderId="34" xfId="8" applyFont="1" applyBorder="1" applyAlignment="1">
      <alignment vertical="center" wrapText="1"/>
    </xf>
    <xf numFmtId="0" fontId="86" fillId="0" borderId="38" xfId="8" applyFont="1" applyBorder="1" applyAlignment="1">
      <alignment vertical="center" wrapText="1"/>
    </xf>
    <xf numFmtId="0" fontId="86" fillId="0" borderId="39" xfId="8" applyFont="1" applyBorder="1" applyAlignment="1">
      <alignment vertical="center" wrapText="1"/>
    </xf>
    <xf numFmtId="0" fontId="86" fillId="0" borderId="300" xfId="8" applyFont="1" applyBorder="1" applyAlignment="1">
      <alignment horizontal="center" vertical="center"/>
    </xf>
    <xf numFmtId="0" fontId="86" fillId="0" borderId="299" xfId="8" applyFont="1" applyBorder="1" applyAlignment="1">
      <alignment horizontal="center" vertical="center"/>
    </xf>
    <xf numFmtId="0" fontId="86" fillId="0" borderId="34" xfId="8" applyFont="1" applyBorder="1" applyAlignment="1" applyProtection="1">
      <alignment vertical="center" wrapText="1"/>
      <protection locked="0"/>
    </xf>
    <xf numFmtId="0" fontId="86" fillId="0" borderId="38" xfId="8" applyFont="1" applyBorder="1" applyAlignment="1" applyProtection="1">
      <alignment vertical="center" wrapText="1"/>
      <protection locked="0"/>
    </xf>
    <xf numFmtId="0" fontId="86" fillId="0" borderId="39" xfId="8" applyFont="1" applyBorder="1" applyAlignment="1" applyProtection="1">
      <alignment vertical="center" wrapText="1"/>
      <protection locked="0"/>
    </xf>
    <xf numFmtId="0" fontId="86" fillId="0" borderId="286" xfId="8" applyFont="1" applyBorder="1" applyAlignment="1">
      <alignment horizontal="center" vertical="center" textRotation="255"/>
    </xf>
    <xf numFmtId="0" fontId="86" fillId="0" borderId="285" xfId="8" applyFont="1" applyBorder="1" applyAlignment="1">
      <alignment horizontal="center" vertical="center" textRotation="255"/>
    </xf>
    <xf numFmtId="0" fontId="86" fillId="0" borderId="315" xfId="8" applyFont="1" applyBorder="1" applyAlignment="1">
      <alignment horizontal="center" vertical="center" textRotation="255"/>
    </xf>
    <xf numFmtId="0" fontId="86" fillId="0" borderId="301" xfId="8" applyFont="1" applyBorder="1" applyAlignment="1">
      <alignment horizontal="center" vertical="center"/>
    </xf>
    <xf numFmtId="0" fontId="86" fillId="0" borderId="422" xfId="8" applyFont="1" applyBorder="1" applyAlignment="1" applyProtection="1">
      <alignment horizontal="center" vertical="center"/>
      <protection locked="0"/>
    </xf>
    <xf numFmtId="0" fontId="86" fillId="0" borderId="421" xfId="8" applyFont="1" applyBorder="1" applyAlignment="1" applyProtection="1">
      <alignment horizontal="center" vertical="center"/>
      <protection locked="0"/>
    </xf>
    <xf numFmtId="0" fontId="86" fillId="0" borderId="316" xfId="8" applyFont="1" applyBorder="1" applyAlignment="1">
      <alignment horizontal="center" vertical="center"/>
    </xf>
    <xf numFmtId="0" fontId="86" fillId="0" borderId="317" xfId="8" applyFont="1" applyBorder="1" applyAlignment="1">
      <alignment horizontal="center" vertical="center"/>
    </xf>
    <xf numFmtId="0" fontId="86" fillId="0" borderId="318" xfId="8" applyFont="1" applyBorder="1" applyAlignment="1">
      <alignment horizontal="center" vertical="center"/>
    </xf>
    <xf numFmtId="0" fontId="86" fillId="0" borderId="304" xfId="8" applyFont="1" applyBorder="1" applyAlignment="1">
      <alignment horizontal="center" vertical="center" wrapText="1"/>
    </xf>
    <xf numFmtId="0" fontId="175" fillId="0" borderId="291" xfId="8" applyFont="1" applyBorder="1" applyAlignment="1" applyProtection="1">
      <alignment horizontal="center" vertical="center"/>
      <protection locked="0"/>
    </xf>
    <xf numFmtId="0" fontId="175" fillId="0" borderId="305" xfId="8" applyFont="1" applyBorder="1" applyAlignment="1" applyProtection="1">
      <alignment horizontal="center" vertical="center"/>
      <protection locked="0"/>
    </xf>
    <xf numFmtId="0" fontId="175" fillId="0" borderId="307" xfId="8" applyFont="1" applyBorder="1" applyAlignment="1" applyProtection="1">
      <alignment horizontal="center" vertical="center"/>
      <protection locked="0"/>
    </xf>
    <xf numFmtId="0" fontId="175" fillId="0" borderId="308" xfId="8" applyFont="1" applyBorder="1" applyAlignment="1" applyProtection="1">
      <alignment horizontal="center" vertical="center"/>
      <protection locked="0"/>
    </xf>
    <xf numFmtId="0" fontId="86" fillId="0" borderId="259" xfId="8" applyFont="1" applyBorder="1" applyAlignment="1">
      <alignment horizontal="center" vertical="center" wrapText="1"/>
    </xf>
    <xf numFmtId="0" fontId="86" fillId="0" borderId="65" xfId="8" applyFont="1" applyBorder="1" applyAlignment="1">
      <alignment horizontal="center" vertical="center" wrapText="1"/>
    </xf>
    <xf numFmtId="0" fontId="86" fillId="0" borderId="66" xfId="8" applyFont="1" applyBorder="1" applyAlignment="1">
      <alignment horizontal="center" vertical="center" wrapText="1"/>
    </xf>
    <xf numFmtId="0" fontId="86" fillId="0" borderId="9" xfId="8" applyFont="1" applyBorder="1" applyAlignment="1">
      <alignment horizontal="center" vertical="center" wrapText="1"/>
    </xf>
    <xf numFmtId="0" fontId="86" fillId="0" borderId="0" xfId="8" applyFont="1" applyAlignment="1" applyProtection="1">
      <alignment horizontal="center" vertical="center"/>
      <protection locked="0"/>
    </xf>
    <xf numFmtId="0" fontId="86" fillId="0" borderId="0" xfId="8" applyFont="1" applyAlignment="1" applyProtection="1">
      <alignment vertical="center" wrapText="1"/>
      <protection locked="0"/>
    </xf>
    <xf numFmtId="0" fontId="86" fillId="0" borderId="304" xfId="8" applyFont="1" applyBorder="1" applyAlignment="1">
      <alignment horizontal="center" vertical="center" shrinkToFit="1"/>
    </xf>
    <xf numFmtId="0" fontId="86" fillId="0" borderId="291" xfId="8" applyFont="1" applyBorder="1" applyAlignment="1">
      <alignment horizontal="center" vertical="center" shrinkToFit="1"/>
    </xf>
    <xf numFmtId="0" fontId="86" fillId="0" borderId="114" xfId="8" applyFont="1" applyBorder="1" applyAlignment="1">
      <alignment horizontal="center" vertical="center" shrinkToFit="1"/>
    </xf>
    <xf numFmtId="0" fontId="175" fillId="0" borderId="298" xfId="8" applyFont="1" applyBorder="1" applyAlignment="1">
      <alignment horizontal="center" vertical="center"/>
    </xf>
    <xf numFmtId="0" fontId="175" fillId="0" borderId="291" xfId="8" applyFont="1" applyBorder="1" applyAlignment="1">
      <alignment horizontal="center" vertical="center"/>
    </xf>
    <xf numFmtId="0" fontId="175" fillId="0" borderId="114" xfId="8" applyFont="1" applyBorder="1" applyAlignment="1">
      <alignment horizontal="center" vertical="center"/>
    </xf>
    <xf numFmtId="0" fontId="175" fillId="0" borderId="300" xfId="8" applyFont="1" applyBorder="1" applyAlignment="1">
      <alignment horizontal="center" vertical="center"/>
    </xf>
    <xf numFmtId="0" fontId="175" fillId="0" borderId="120" xfId="8" applyFont="1" applyBorder="1" applyAlignment="1">
      <alignment horizontal="center" vertical="center"/>
    </xf>
    <xf numFmtId="0" fontId="175" fillId="0" borderId="319" xfId="8" applyFont="1" applyBorder="1" applyAlignment="1">
      <alignment horizontal="center" vertical="center"/>
    </xf>
    <xf numFmtId="0" fontId="175" fillId="0" borderId="304" xfId="8" applyFont="1" applyBorder="1" applyAlignment="1" applyProtection="1">
      <alignment horizontal="center" vertical="center"/>
      <protection locked="0"/>
    </xf>
    <xf numFmtId="0" fontId="175" fillId="0" borderId="306" xfId="8" applyFont="1" applyBorder="1" applyAlignment="1" applyProtection="1">
      <alignment horizontal="center" vertical="center"/>
      <protection locked="0"/>
    </xf>
    <xf numFmtId="0" fontId="86" fillId="0" borderId="313" xfId="8" applyFont="1" applyBorder="1" applyAlignment="1">
      <alignment horizontal="center" vertical="center" shrinkToFit="1"/>
    </xf>
    <xf numFmtId="0" fontId="86" fillId="0" borderId="120" xfId="8" applyFont="1" applyBorder="1" applyAlignment="1">
      <alignment horizontal="center" vertical="center" shrinkToFit="1"/>
    </xf>
    <xf numFmtId="0" fontId="86" fillId="0" borderId="319" xfId="8" applyFont="1" applyBorder="1" applyAlignment="1">
      <alignment horizontal="center" vertical="center" shrinkToFit="1"/>
    </xf>
    <xf numFmtId="192" fontId="86" fillId="0" borderId="387" xfId="8" applyNumberFormat="1" applyFont="1" applyBorder="1" applyAlignment="1" applyProtection="1">
      <alignment horizontal="center" vertical="center"/>
      <protection locked="0"/>
    </xf>
    <xf numFmtId="49" fontId="65" fillId="0" borderId="0" xfId="0" applyNumberFormat="1" applyFont="1" applyAlignment="1" applyProtection="1">
      <alignment horizontal="left" vertical="center"/>
      <protection locked="0"/>
    </xf>
    <xf numFmtId="49" fontId="65" fillId="0" borderId="0" xfId="0" applyNumberFormat="1" applyFont="1" applyAlignment="1">
      <alignment horizontal="left" vertical="center"/>
    </xf>
    <xf numFmtId="49" fontId="65" fillId="0" borderId="0" xfId="0" applyNumberFormat="1" applyFont="1" applyAlignment="1">
      <alignment horizontal="right" vertical="center"/>
    </xf>
    <xf numFmtId="49" fontId="119" fillId="7" borderId="0" xfId="0" applyNumberFormat="1" applyFont="1" applyFill="1" applyAlignment="1">
      <alignment horizontal="center" vertical="center"/>
    </xf>
    <xf numFmtId="49" fontId="86" fillId="0" borderId="0" xfId="0" applyNumberFormat="1" applyFont="1" applyAlignment="1" applyProtection="1">
      <alignment horizontal="center" vertical="center"/>
      <protection locked="0"/>
    </xf>
    <xf numFmtId="183" fontId="124" fillId="0" borderId="0" xfId="0" applyNumberFormat="1" applyFont="1" applyAlignment="1">
      <alignment horizontal="center" vertical="center"/>
    </xf>
    <xf numFmtId="0" fontId="124" fillId="0" borderId="0" xfId="0" applyFont="1" applyAlignment="1">
      <alignment horizontal="center" vertical="center"/>
    </xf>
    <xf numFmtId="0" fontId="101" fillId="0" borderId="0" xfId="0" applyFont="1" applyAlignment="1">
      <alignment horizontal="center" vertical="center"/>
    </xf>
    <xf numFmtId="49" fontId="65" fillId="0" borderId="0" xfId="0" applyNumberFormat="1" applyFont="1" applyAlignment="1" applyProtection="1">
      <alignment horizontal="right" vertical="center"/>
      <protection locked="0"/>
    </xf>
    <xf numFmtId="0" fontId="87" fillId="0" borderId="2" xfId="0" applyFont="1" applyBorder="1" applyAlignment="1">
      <alignment horizontal="left" vertical="center"/>
    </xf>
    <xf numFmtId="0" fontId="87" fillId="0" borderId="2" xfId="0" applyFont="1" applyBorder="1" applyAlignment="1">
      <alignment horizontal="center" vertical="center"/>
    </xf>
    <xf numFmtId="0" fontId="87" fillId="0" borderId="3" xfId="0" applyFont="1" applyBorder="1" applyAlignment="1">
      <alignment horizontal="center" vertical="center"/>
    </xf>
    <xf numFmtId="0" fontId="76" fillId="0" borderId="15" xfId="0" applyFont="1" applyBorder="1" applyAlignment="1">
      <alignment horizontal="center" vertical="center" wrapText="1"/>
    </xf>
    <xf numFmtId="0" fontId="76" fillId="0" borderId="10"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3" xfId="0" applyFont="1" applyBorder="1" applyAlignment="1">
      <alignment horizontal="center" vertical="center" wrapText="1"/>
    </xf>
    <xf numFmtId="178" fontId="90" fillId="0" borderId="21" xfId="0" applyNumberFormat="1" applyFont="1" applyBorder="1" applyAlignment="1">
      <alignment horizontal="center" vertical="center"/>
    </xf>
    <xf numFmtId="178" fontId="81" fillId="0" borderId="21" xfId="0" applyNumberFormat="1" applyFont="1" applyBorder="1" applyAlignment="1">
      <alignment horizontal="center" vertical="center" textRotation="255"/>
    </xf>
    <xf numFmtId="178" fontId="90" fillId="0" borderId="17" xfId="0" applyNumberFormat="1" applyFont="1" applyBorder="1" applyAlignment="1">
      <alignment horizontal="center" vertical="center"/>
    </xf>
    <xf numFmtId="178" fontId="90" fillId="0" borderId="55" xfId="0" applyNumberFormat="1" applyFont="1" applyBorder="1" applyAlignment="1">
      <alignment horizontal="center" vertical="center"/>
    </xf>
    <xf numFmtId="0" fontId="87" fillId="0" borderId="10" xfId="0" applyFont="1" applyBorder="1" applyAlignment="1">
      <alignment horizontal="left" vertical="center"/>
    </xf>
    <xf numFmtId="0" fontId="87" fillId="0" borderId="14" xfId="0" applyFont="1" applyBorder="1" applyAlignment="1">
      <alignment horizontal="left" vertical="center"/>
    </xf>
    <xf numFmtId="0" fontId="87" fillId="0" borderId="0" xfId="0" applyFont="1" applyAlignment="1">
      <alignment horizontal="left" vertical="center"/>
    </xf>
    <xf numFmtId="0" fontId="87" fillId="0" borderId="12" xfId="0" applyFont="1" applyBorder="1" applyAlignment="1">
      <alignment horizontal="left" vertical="center"/>
    </xf>
    <xf numFmtId="0" fontId="87" fillId="0" borderId="2" xfId="0" applyFont="1" applyBorder="1" applyAlignment="1">
      <alignment horizontal="right" vertical="center"/>
    </xf>
    <xf numFmtId="0" fontId="87" fillId="0" borderId="34" xfId="0" applyFont="1" applyBorder="1" applyAlignment="1">
      <alignment vertical="center" textRotation="255"/>
    </xf>
    <xf numFmtId="0" fontId="87" fillId="0" borderId="39" xfId="0" applyFont="1" applyBorder="1" applyAlignment="1">
      <alignment vertical="center" textRotation="255"/>
    </xf>
    <xf numFmtId="0" fontId="87" fillId="0" borderId="10" xfId="0" applyFont="1" applyBorder="1">
      <alignment vertical="center"/>
    </xf>
    <xf numFmtId="0" fontId="87" fillId="0" borderId="34" xfId="0" applyFont="1" applyBorder="1" applyAlignment="1">
      <alignment horizontal="center" vertical="center" textRotation="255"/>
    </xf>
    <xf numFmtId="0" fontId="87" fillId="0" borderId="39" xfId="0" applyFont="1" applyBorder="1" applyAlignment="1">
      <alignment horizontal="center" vertical="center" textRotation="255"/>
    </xf>
    <xf numFmtId="0" fontId="87" fillId="0" borderId="14" xfId="0" applyFont="1" applyBorder="1" applyAlignment="1">
      <alignment horizontal="center" vertical="center"/>
    </xf>
    <xf numFmtId="0" fontId="87" fillId="0" borderId="15" xfId="0" applyFont="1" applyBorder="1" applyAlignment="1">
      <alignment horizontal="right" vertical="center"/>
    </xf>
    <xf numFmtId="0" fontId="87" fillId="0" borderId="10" xfId="0" applyFont="1" applyBorder="1" applyAlignment="1">
      <alignment horizontal="right" vertical="center"/>
    </xf>
    <xf numFmtId="0" fontId="87" fillId="0" borderId="15" xfId="0" applyFont="1" applyBorder="1" applyAlignment="1">
      <alignment horizontal="left" vertical="top" wrapText="1"/>
    </xf>
    <xf numFmtId="0" fontId="87" fillId="0" borderId="10" xfId="0" applyFont="1" applyBorder="1" applyAlignment="1">
      <alignment horizontal="left" vertical="top" wrapText="1"/>
    </xf>
    <xf numFmtId="0" fontId="87" fillId="0" borderId="14" xfId="0" applyFont="1" applyBorder="1" applyAlignment="1">
      <alignment horizontal="left" vertical="top" wrapText="1"/>
    </xf>
    <xf numFmtId="0" fontId="87" fillId="0" borderId="11" xfId="0" applyFont="1" applyBorder="1" applyAlignment="1">
      <alignment horizontal="left" vertical="top" wrapText="1"/>
    </xf>
    <xf numFmtId="0" fontId="87" fillId="0" borderId="2" xfId="0" applyFont="1" applyBorder="1" applyAlignment="1">
      <alignment horizontal="left" vertical="top" wrapText="1"/>
    </xf>
    <xf numFmtId="0" fontId="87" fillId="0" borderId="3" xfId="0" applyFont="1" applyBorder="1" applyAlignment="1">
      <alignment horizontal="left" vertical="top" wrapText="1"/>
    </xf>
    <xf numFmtId="0" fontId="87" fillId="0" borderId="15" xfId="0" applyFont="1" applyBorder="1" applyAlignment="1">
      <alignment horizontal="left" vertical="center"/>
    </xf>
    <xf numFmtId="0" fontId="87" fillId="0" borderId="11" xfId="0" applyFont="1" applyBorder="1" applyAlignment="1">
      <alignment horizontal="left" vertical="center"/>
    </xf>
    <xf numFmtId="0" fontId="87" fillId="0" borderId="3" xfId="0" applyFont="1" applyBorder="1" applyAlignment="1">
      <alignment horizontal="left" vertical="center"/>
    </xf>
    <xf numFmtId="0" fontId="76" fillId="0" borderId="10" xfId="0" applyFont="1" applyBorder="1" applyAlignment="1">
      <alignment horizontal="center" vertical="center"/>
    </xf>
    <xf numFmtId="0" fontId="76" fillId="0" borderId="11" xfId="0" applyFont="1" applyBorder="1" applyAlignment="1">
      <alignment horizontal="center" vertical="center"/>
    </xf>
    <xf numFmtId="0" fontId="76" fillId="0" borderId="2" xfId="0" applyFont="1" applyBorder="1" applyAlignment="1">
      <alignment horizontal="center" vertical="center"/>
    </xf>
    <xf numFmtId="0" fontId="69" fillId="0" borderId="17" xfId="0" applyFont="1" applyBorder="1" applyAlignment="1">
      <alignment horizontal="center" vertical="center"/>
    </xf>
    <xf numFmtId="0" fontId="87" fillId="0" borderId="21" xfId="0" applyFont="1" applyBorder="1" applyAlignment="1">
      <alignment horizontal="center" vertical="center"/>
    </xf>
    <xf numFmtId="0" fontId="87" fillId="0" borderId="10" xfId="0" applyFont="1" applyBorder="1" applyAlignment="1">
      <alignment horizontal="center" vertical="center"/>
    </xf>
    <xf numFmtId="0" fontId="87" fillId="0" borderId="56" xfId="0" applyFont="1" applyBorder="1" applyAlignment="1">
      <alignment horizontal="center" vertical="center"/>
    </xf>
    <xf numFmtId="0" fontId="87" fillId="0" borderId="17" xfId="0" applyFont="1" applyBorder="1" applyAlignment="1">
      <alignment horizontal="center" vertical="center"/>
    </xf>
    <xf numFmtId="0" fontId="87" fillId="0" borderId="55" xfId="0" applyFont="1" applyBorder="1" applyAlignment="1">
      <alignment horizontal="center" vertical="center"/>
    </xf>
    <xf numFmtId="0" fontId="69" fillId="0" borderId="0" xfId="0" applyFont="1" applyAlignment="1">
      <alignment horizontal="left" vertical="center"/>
    </xf>
    <xf numFmtId="178" fontId="90" fillId="0" borderId="21" xfId="0" applyNumberFormat="1"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87" fillId="0" borderId="12" xfId="0" applyFont="1" applyBorder="1" applyAlignment="1" applyProtection="1">
      <alignment horizontal="left" vertical="top"/>
      <protection locked="0"/>
    </xf>
    <xf numFmtId="0" fontId="87" fillId="0" borderId="2" xfId="0" applyFont="1" applyBorder="1" applyAlignment="1" applyProtection="1">
      <alignment horizontal="left" vertical="top"/>
      <protection locked="0"/>
    </xf>
    <xf numFmtId="0" fontId="87" fillId="0" borderId="3" xfId="0" applyFont="1" applyBorder="1" applyAlignment="1" applyProtection="1">
      <alignment horizontal="left" vertical="top"/>
      <protection locked="0"/>
    </xf>
    <xf numFmtId="0" fontId="87" fillId="0" borderId="11" xfId="0" applyFont="1" applyBorder="1" applyAlignment="1">
      <alignment horizontal="right" vertical="center"/>
    </xf>
    <xf numFmtId="0" fontId="87" fillId="0" borderId="14" xfId="0" applyFont="1" applyBorder="1">
      <alignment vertical="center"/>
    </xf>
    <xf numFmtId="0" fontId="87" fillId="0" borderId="3" xfId="0" applyFont="1" applyBorder="1">
      <alignment vertical="center"/>
    </xf>
    <xf numFmtId="0" fontId="87" fillId="0" borderId="15" xfId="0" applyFont="1" applyBorder="1" applyAlignment="1">
      <alignment horizontal="center" vertical="center" textRotation="255"/>
    </xf>
    <xf numFmtId="0" fontId="87" fillId="0" borderId="11" xfId="0" applyFont="1" applyBorder="1" applyAlignment="1">
      <alignment horizontal="center" vertical="center" textRotation="255"/>
    </xf>
    <xf numFmtId="0" fontId="87" fillId="0" borderId="10" xfId="0" applyFont="1" applyBorder="1" applyAlignment="1">
      <alignment vertical="center" shrinkToFit="1"/>
    </xf>
    <xf numFmtId="0" fontId="87" fillId="0" borderId="2" xfId="0" applyFont="1" applyBorder="1" applyAlignment="1">
      <alignment vertical="center" shrinkToFit="1"/>
    </xf>
    <xf numFmtId="0" fontId="87" fillId="0" borderId="0" xfId="0" applyFont="1">
      <alignment vertical="center"/>
    </xf>
    <xf numFmtId="0" fontId="87" fillId="0" borderId="12" xfId="0" applyFont="1" applyBorder="1">
      <alignment vertical="center"/>
    </xf>
    <xf numFmtId="0" fontId="87" fillId="0" borderId="2" xfId="0" applyFont="1" applyBorder="1">
      <alignment vertical="center"/>
    </xf>
    <xf numFmtId="0" fontId="87" fillId="0" borderId="2" xfId="0" applyFont="1" applyBorder="1" applyProtection="1">
      <alignment vertical="center"/>
      <protection locked="0"/>
    </xf>
    <xf numFmtId="0" fontId="87" fillId="0" borderId="15" xfId="0" applyFont="1" applyBorder="1" applyAlignment="1" applyProtection="1">
      <alignment horizontal="left" vertical="top"/>
      <protection locked="0"/>
    </xf>
    <xf numFmtId="0" fontId="87" fillId="0" borderId="10" xfId="0" applyFont="1" applyBorder="1" applyAlignment="1" applyProtection="1">
      <alignment horizontal="left" vertical="top"/>
      <protection locked="0"/>
    </xf>
    <xf numFmtId="0" fontId="87" fillId="0" borderId="14" xfId="0" applyFont="1" applyBorder="1" applyAlignment="1" applyProtection="1">
      <alignment horizontal="left" vertical="top"/>
      <protection locked="0"/>
    </xf>
    <xf numFmtId="0" fontId="87" fillId="0" borderId="11" xfId="0" applyFont="1" applyBorder="1" applyAlignment="1" applyProtection="1">
      <alignment horizontal="left" vertical="top"/>
      <protection locked="0"/>
    </xf>
    <xf numFmtId="178" fontId="102" fillId="0" borderId="17" xfId="0" applyNumberFormat="1" applyFont="1" applyBorder="1" applyAlignment="1">
      <alignment horizontal="center" vertical="center" shrinkToFit="1"/>
    </xf>
    <xf numFmtId="0" fontId="87" fillId="0" borderId="13" xfId="0" applyFont="1" applyBorder="1" applyAlignment="1" applyProtection="1">
      <alignment horizontal="left" vertical="top"/>
      <protection locked="0"/>
    </xf>
  </cellXfs>
  <cellStyles count="17">
    <cellStyle name="ハイパーリンク" xfId="12" builtinId="8"/>
    <cellStyle name="桁区切り" xfId="1" builtinId="6"/>
    <cellStyle name="桁区切り 2" xfId="2" xr:uid="{00000000-0005-0000-0000-000002000000}"/>
    <cellStyle name="桁区切り 2 2" xfId="3" xr:uid="{00000000-0005-0000-0000-000003000000}"/>
    <cellStyle name="通貨" xfId="4" builtinId="7"/>
    <cellStyle name="通貨 2" xfId="5" xr:uid="{00000000-0005-0000-0000-000005000000}"/>
    <cellStyle name="通貨 2 2" xfId="6" xr:uid="{00000000-0005-0000-0000-000006000000}"/>
    <cellStyle name="通貨 2 2 2" xfId="15" xr:uid="{00000000-0005-0000-0000-000007000000}"/>
    <cellStyle name="通貨 2 3" xfId="14" xr:uid="{00000000-0005-0000-0000-000008000000}"/>
    <cellStyle name="通貨 3" xfId="13" xr:uid="{00000000-0005-0000-0000-000009000000}"/>
    <cellStyle name="標準" xfId="0" builtinId="0"/>
    <cellStyle name="標準 2" xfId="7" xr:uid="{00000000-0005-0000-0000-00000B000000}"/>
    <cellStyle name="標準 2 2" xfId="8" xr:uid="{00000000-0005-0000-0000-00000C000000}"/>
    <cellStyle name="標準 2 3" xfId="16" xr:uid="{4C97877B-5BAE-48F0-908B-3668D306F688}"/>
    <cellStyle name="標準 3" xfId="9" xr:uid="{00000000-0005-0000-0000-00000D000000}"/>
    <cellStyle name="標準 5" xfId="10" xr:uid="{00000000-0005-0000-0000-00000E000000}"/>
    <cellStyle name="標準 6" xfId="11" xr:uid="{00000000-0005-0000-0000-00000F000000}"/>
  </cellStyles>
  <dxfs count="1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FFFF00"/>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9"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8" tint="0.59996337778862885"/>
        </patternFill>
      </fill>
    </dxf>
    <dxf>
      <fill>
        <patternFill>
          <bgColor theme="9" tint="0.39994506668294322"/>
        </patternFill>
      </fill>
    </dxf>
    <dxf>
      <font>
        <color theme="0"/>
      </font>
      <fill>
        <patternFill patternType="none">
          <bgColor auto="1"/>
        </patternFill>
      </fill>
    </dxf>
    <dxf>
      <font>
        <color theme="0"/>
      </font>
    </dxf>
    <dxf>
      <font>
        <color theme="0"/>
      </font>
    </dxf>
    <dxf>
      <font>
        <color theme="0"/>
      </font>
    </dxf>
    <dxf>
      <font>
        <strike val="0"/>
        <color theme="0"/>
      </font>
    </dxf>
    <dxf>
      <font>
        <strike val="0"/>
        <color theme="0"/>
      </font>
    </dxf>
    <dxf>
      <font>
        <color theme="0"/>
      </font>
    </dxf>
    <dxf>
      <font>
        <color theme="0"/>
      </font>
    </dxf>
    <dxf>
      <font>
        <color theme="0"/>
      </font>
    </dxf>
    <dxf>
      <font>
        <color theme="0"/>
      </font>
    </dxf>
    <dxf>
      <font>
        <strike val="0"/>
        <color theme="0"/>
      </font>
    </dxf>
    <dxf>
      <font>
        <color theme="0"/>
      </font>
    </dxf>
    <dxf>
      <font>
        <strike val="0"/>
        <color theme="0"/>
      </font>
    </dxf>
    <dxf>
      <font>
        <color theme="0"/>
      </font>
    </dxf>
    <dxf>
      <font>
        <color theme="0"/>
      </font>
    </dxf>
    <dxf>
      <font>
        <color theme="0"/>
      </font>
    </dxf>
    <dxf>
      <font>
        <color theme="0"/>
      </font>
    </dxf>
    <dxf>
      <font>
        <color theme="2" tint="-9.9948118533890809E-2"/>
        <name val="ＭＳ Ｐゴシック"/>
        <scheme val="none"/>
      </font>
    </dxf>
    <dxf>
      <font>
        <color theme="0"/>
      </font>
    </dxf>
    <dxf>
      <font>
        <color theme="2" tint="-9.9948118533890809E-2"/>
        <name val="ＭＳ Ｐゴシック"/>
        <scheme val="none"/>
      </font>
    </dxf>
    <dxf>
      <font>
        <color theme="0"/>
      </font>
    </dxf>
    <dxf>
      <font>
        <color theme="0"/>
      </font>
    </dxf>
    <dxf>
      <font>
        <color theme="0"/>
      </font>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auto="1"/>
      </font>
      <fill>
        <patternFill patternType="solid">
          <bgColor theme="0"/>
        </patternFill>
      </fill>
    </dxf>
    <dxf>
      <font>
        <b val="0"/>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0"/>
      </font>
    </dxf>
    <dxf>
      <font>
        <color theme="0"/>
      </font>
    </dxf>
    <dxf>
      <font>
        <color theme="0"/>
      </font>
    </dxf>
    <dxf>
      <fill>
        <patternFill>
          <bgColor theme="0" tint="-4.9989318521683403E-2"/>
        </patternFill>
      </fill>
    </dxf>
    <dxf>
      <fill>
        <patternFill>
          <bgColor theme="0" tint="-4.9989318521683403E-2"/>
        </patternFill>
      </fill>
    </dxf>
    <dxf>
      <fill>
        <patternFill>
          <bgColor theme="0" tint="-4.9989318521683403E-2"/>
        </patternFill>
      </fill>
    </dxf>
    <dxf>
      <font>
        <color theme="0"/>
        <name val="ＭＳ Ｐゴシック"/>
        <scheme val="none"/>
      </font>
    </dxf>
    <dxf>
      <font>
        <color theme="0"/>
      </font>
      <fill>
        <patternFill patternType="none">
          <bgColor auto="1"/>
        </patternFill>
      </fill>
    </dxf>
    <dxf>
      <font>
        <color theme="0"/>
      </font>
    </dxf>
    <dxf>
      <font>
        <color theme="0"/>
      </font>
    </dxf>
    <dxf>
      <font>
        <strike val="0"/>
        <color theme="0"/>
      </font>
    </dxf>
    <dxf>
      <font>
        <color theme="0"/>
      </font>
    </dxf>
    <dxf>
      <font>
        <color theme="0"/>
      </font>
    </dxf>
    <dxf>
      <font>
        <color theme="2" tint="-9.9948118533890809E-2"/>
        <name val="ＭＳ Ｐゴシック"/>
        <scheme val="none"/>
      </font>
    </dxf>
    <dxf>
      <font>
        <color theme="0"/>
      </font>
    </dxf>
    <dxf>
      <font>
        <color theme="2" tint="-9.9948118533890809E-2"/>
        <name val="ＭＳ Ｐゴシック"/>
        <scheme val="none"/>
      </font>
    </dxf>
    <dxf>
      <fill>
        <patternFill>
          <bgColor theme="6" tint="0.79998168889431442"/>
        </patternFill>
      </fill>
    </dxf>
    <dxf>
      <font>
        <color theme="0"/>
      </font>
    </dxf>
    <dxf>
      <fill>
        <patternFill>
          <bgColor theme="6" tint="0.79998168889431442"/>
        </patternFill>
      </fill>
    </dxf>
    <dxf>
      <font>
        <color theme="0"/>
      </font>
    </dxf>
    <dxf>
      <font>
        <color theme="0"/>
      </font>
    </dxf>
    <dxf>
      <font>
        <color theme="0"/>
      </font>
    </dxf>
    <dxf>
      <font>
        <color theme="0"/>
      </font>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auto="1"/>
      </font>
      <fill>
        <patternFill patternType="solid">
          <bgColor theme="0"/>
        </patternFill>
      </fill>
    </dxf>
    <dxf>
      <font>
        <b val="0"/>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0"/>
      </font>
    </dxf>
    <dxf>
      <font>
        <color theme="0"/>
      </font>
    </dxf>
    <dxf>
      <font>
        <color theme="0"/>
      </font>
    </dxf>
    <dxf>
      <fill>
        <patternFill>
          <bgColor theme="6"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79998168889431442"/>
        </patternFill>
      </fill>
    </dxf>
    <dxf>
      <fill>
        <patternFill>
          <bgColor theme="6" tint="0.79998168889431442"/>
        </patternFill>
      </fill>
    </dxf>
    <dxf>
      <font>
        <b/>
        <i val="0"/>
      </font>
      <fill>
        <patternFill>
          <bgColor rgb="FFFFFF00"/>
        </patternFill>
      </fill>
    </dxf>
    <dxf>
      <font>
        <b/>
        <i val="0"/>
        <color theme="0"/>
      </font>
      <fill>
        <patternFill>
          <bgColor rgb="FFFF0000"/>
        </patternFill>
      </fill>
    </dxf>
    <dxf>
      <fill>
        <patternFill>
          <bgColor theme="6" tint="0.79998168889431442"/>
        </patternFill>
      </fill>
    </dxf>
    <dxf>
      <font>
        <color theme="0"/>
      </font>
      <fill>
        <patternFill>
          <bgColor rgb="FFC00000"/>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ont>
        <b/>
        <i val="0"/>
      </font>
      <fill>
        <patternFill>
          <bgColor rgb="FFFFFF00"/>
        </patternFill>
      </fill>
    </dxf>
    <dxf>
      <font>
        <b/>
        <i val="0"/>
        <color theme="0"/>
      </font>
      <fill>
        <patternFill>
          <bgColor rgb="FFFF0000"/>
        </patternFill>
      </fill>
    </dxf>
    <dxf>
      <font>
        <color theme="0"/>
      </font>
      <fill>
        <patternFill>
          <bgColor rgb="FFC00000"/>
        </patternFill>
      </fill>
    </dxf>
    <dxf>
      <fill>
        <patternFill>
          <bgColor theme="6" tint="0.79998168889431442"/>
        </patternFill>
      </fill>
    </dxf>
    <dxf>
      <fill>
        <patternFill>
          <bgColor theme="6" tint="0.79998168889431442"/>
        </patternFill>
      </fill>
    </dxf>
    <dxf>
      <font>
        <b/>
        <i val="0"/>
        <color theme="0"/>
      </font>
      <fill>
        <patternFill>
          <bgColor theme="5" tint="-0.24994659260841701"/>
        </patternFill>
      </fill>
    </dxf>
    <dxf>
      <font>
        <color theme="0"/>
      </font>
    </dxf>
    <dxf>
      <fill>
        <patternFill>
          <bgColor theme="6" tint="0.79998168889431442"/>
        </patternFill>
      </fill>
    </dxf>
    <dxf>
      <fill>
        <patternFill>
          <bgColor theme="6" tint="0.79998168889431442"/>
        </patternFill>
      </fill>
    </dxf>
    <dxf>
      <fill>
        <patternFill>
          <bgColor theme="6" tint="0.79998168889431442"/>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theme="0"/>
      </font>
      <fill>
        <patternFill>
          <bgColor rgb="FFFF0000"/>
        </patternFill>
      </fill>
    </dxf>
    <dxf>
      <fill>
        <patternFill>
          <bgColor theme="6" tint="0.79998168889431442"/>
        </patternFill>
      </fill>
    </dxf>
    <dxf>
      <fill>
        <patternFill>
          <bgColor theme="6" tint="0.79998168889431442"/>
        </patternFill>
      </fill>
    </dxf>
    <dxf>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R$4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2" lockText="1" noThreeD="1"/>
</file>

<file path=xl/ctrlProps/ctrlProp15.xml><?xml version="1.0" encoding="utf-8"?>
<formControlPr xmlns="http://schemas.microsoft.com/office/spreadsheetml/2009/9/main" objectType="CheckBox" fmlaLink="$T$40" lockText="1" noThreeD="1"/>
</file>

<file path=xl/ctrlProps/ctrlProp150.xml><?xml version="1.0" encoding="utf-8"?>
<formControlPr xmlns="http://schemas.microsoft.com/office/spreadsheetml/2009/9/main" objectType="CheckBox" fmlaLink="$B$2"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fmlaLink="$B$52" lockText="1" noThreeD="1"/>
</file>

<file path=xl/ctrlProps/ctrlProp156.xml><?xml version="1.0" encoding="utf-8"?>
<formControlPr xmlns="http://schemas.microsoft.com/office/spreadsheetml/2009/9/main" objectType="CheckBox" fmlaLink="$B$53"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S$40"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4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X$38"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fmlaLink="$U$11" lockText="1" noThreeD="1"/>
</file>

<file path=xl/ctrlProps/ctrlProp188.xml><?xml version="1.0" encoding="utf-8"?>
<formControlPr xmlns="http://schemas.microsoft.com/office/spreadsheetml/2009/9/main" objectType="CheckBox" checked="Checked" fmlaLink="$U$12" lockText="1" noThreeD="1"/>
</file>

<file path=xl/ctrlProps/ctrlProp189.xml><?xml version="1.0" encoding="utf-8"?>
<formControlPr xmlns="http://schemas.microsoft.com/office/spreadsheetml/2009/9/main" objectType="CheckBox" checked="Checked" fmlaLink="$U$13"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V$11" lockText="1" noThreeD="1"/>
</file>

<file path=xl/ctrlProps/ctrlProp192.xml><?xml version="1.0" encoding="utf-8"?>
<formControlPr xmlns="http://schemas.microsoft.com/office/spreadsheetml/2009/9/main" objectType="CheckBox" fmlaLink="$V$12" lockText="1" noThreeD="1"/>
</file>

<file path=xl/ctrlProps/ctrlProp193.xml><?xml version="1.0" encoding="utf-8"?>
<formControlPr xmlns="http://schemas.microsoft.com/office/spreadsheetml/2009/9/main" objectType="CheckBox" fmlaLink="$V$13"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U$14" lockText="1" noThreeD="1"/>
</file>

<file path=xl/ctrlProps/ctrlProp196.xml><?xml version="1.0" encoding="utf-8"?>
<formControlPr xmlns="http://schemas.microsoft.com/office/spreadsheetml/2009/9/main" objectType="CheckBox" fmlaLink="$V$14" lockText="1" noThreeD="1"/>
</file>

<file path=xl/ctrlProps/ctrlProp197.xml><?xml version="1.0" encoding="utf-8"?>
<formControlPr xmlns="http://schemas.microsoft.com/office/spreadsheetml/2009/9/main" objectType="CheckBox" checked="Checked" fmlaLink="$U$8" noThreeD="1"/>
</file>

<file path=xl/ctrlProps/ctrlProp198.xml><?xml version="1.0" encoding="utf-8"?>
<formControlPr xmlns="http://schemas.microsoft.com/office/spreadsheetml/2009/9/main" objectType="CheckBox" fmlaLink="$U$10" lockText="1" noThreeD="1"/>
</file>

<file path=xl/ctrlProps/ctrlProp199.xml><?xml version="1.0" encoding="utf-8"?>
<formControlPr xmlns="http://schemas.microsoft.com/office/spreadsheetml/2009/9/main" objectType="CheckBox" checked="Checked" fmlaLink="$V$10"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fmlaLink="$U$11" lockText="1" noThreeD="1"/>
</file>

<file path=xl/ctrlProps/ctrlProp202.xml><?xml version="1.0" encoding="utf-8"?>
<formControlPr xmlns="http://schemas.microsoft.com/office/spreadsheetml/2009/9/main" objectType="CheckBox" checked="Checked" fmlaLink="$U$12" lockText="1" noThreeD="1"/>
</file>

<file path=xl/ctrlProps/ctrlProp203.xml><?xml version="1.0" encoding="utf-8"?>
<formControlPr xmlns="http://schemas.microsoft.com/office/spreadsheetml/2009/9/main" objectType="CheckBox" checked="Checked" fmlaLink="$U$13"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V$11" lockText="1" noThreeD="1"/>
</file>

<file path=xl/ctrlProps/ctrlProp206.xml><?xml version="1.0" encoding="utf-8"?>
<formControlPr xmlns="http://schemas.microsoft.com/office/spreadsheetml/2009/9/main" objectType="CheckBox" fmlaLink="$V$12" lockText="1" noThreeD="1"/>
</file>

<file path=xl/ctrlProps/ctrlProp207.xml><?xml version="1.0" encoding="utf-8"?>
<formControlPr xmlns="http://schemas.microsoft.com/office/spreadsheetml/2009/9/main" objectType="CheckBox" fmlaLink="$V$13"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U$14"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fmlaLink="$V$14" lockText="1" noThreeD="1"/>
</file>

<file path=xl/ctrlProps/ctrlProp211.xml><?xml version="1.0" encoding="utf-8"?>
<formControlPr xmlns="http://schemas.microsoft.com/office/spreadsheetml/2009/9/main" objectType="CheckBox" fmlaLink="$U$10" lockText="1" noThreeD="1"/>
</file>

<file path=xl/ctrlProps/ctrlProp212.xml><?xml version="1.0" encoding="utf-8"?>
<formControlPr xmlns="http://schemas.microsoft.com/office/spreadsheetml/2009/9/main" objectType="CheckBox" checked="Checked" fmlaLink="$V$10" lockText="1" noThreeD="1"/>
</file>

<file path=xl/ctrlProps/ctrlProp213.xml><?xml version="1.0" encoding="utf-8"?>
<formControlPr xmlns="http://schemas.microsoft.com/office/spreadsheetml/2009/9/main" objectType="CheckBox" fmlaLink="$Z$17" lockText="1" noThreeD="1"/>
</file>

<file path=xl/ctrlProps/ctrlProp214.xml><?xml version="1.0" encoding="utf-8"?>
<formControlPr xmlns="http://schemas.microsoft.com/office/spreadsheetml/2009/9/main" objectType="CheckBox" fmlaLink="$Z$18"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49</xdr:col>
      <xdr:colOff>13855</xdr:colOff>
      <xdr:row>0</xdr:row>
      <xdr:rowOff>35501</xdr:rowOff>
    </xdr:from>
    <xdr:to>
      <xdr:col>51</xdr:col>
      <xdr:colOff>241589</xdr:colOff>
      <xdr:row>0</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618055" y="35501"/>
          <a:ext cx="1599334" cy="2597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19050</xdr:rowOff>
        </xdr:from>
        <xdr:to>
          <xdr:col>2</xdr:col>
          <xdr:colOff>57150</xdr:colOff>
          <xdr:row>19</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19050</xdr:rowOff>
        </xdr:from>
        <xdr:to>
          <xdr:col>2</xdr:col>
          <xdr:colOff>57150</xdr:colOff>
          <xdr:row>20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2</xdr:col>
          <xdr:colOff>57150</xdr:colOff>
          <xdr:row>22</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2</xdr:col>
          <xdr:colOff>57150</xdr:colOff>
          <xdr:row>23</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2</xdr:col>
          <xdr:colOff>57150</xdr:colOff>
          <xdr:row>24</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14</xdr:row>
          <xdr:rowOff>19050</xdr:rowOff>
        </xdr:from>
        <xdr:to>
          <xdr:col>48</xdr:col>
          <xdr:colOff>114300</xdr:colOff>
          <xdr:row>14</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18</xdr:row>
          <xdr:rowOff>0</xdr:rowOff>
        </xdr:from>
        <xdr:to>
          <xdr:col>49</xdr:col>
          <xdr:colOff>57150</xdr:colOff>
          <xdr:row>18</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17</xdr:row>
          <xdr:rowOff>9525</xdr:rowOff>
        </xdr:from>
        <xdr:to>
          <xdr:col>49</xdr:col>
          <xdr:colOff>57150</xdr:colOff>
          <xdr:row>18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19050</xdr:rowOff>
        </xdr:from>
        <xdr:to>
          <xdr:col>28</xdr:col>
          <xdr:colOff>57150</xdr:colOff>
          <xdr:row>20</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16</xdr:row>
          <xdr:rowOff>9525</xdr:rowOff>
        </xdr:from>
        <xdr:to>
          <xdr:col>38</xdr:col>
          <xdr:colOff>152400</xdr:colOff>
          <xdr:row>16</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14</xdr:row>
          <xdr:rowOff>19050</xdr:rowOff>
        </xdr:from>
        <xdr:to>
          <xdr:col>22</xdr:col>
          <xdr:colOff>114300</xdr:colOff>
          <xdr:row>14</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57150</xdr:rowOff>
        </xdr:from>
        <xdr:to>
          <xdr:col>12</xdr:col>
          <xdr:colOff>114300</xdr:colOff>
          <xdr:row>15</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14</xdr:row>
          <xdr:rowOff>47625</xdr:rowOff>
        </xdr:from>
        <xdr:to>
          <xdr:col>17</xdr:col>
          <xdr:colOff>95250</xdr:colOff>
          <xdr:row>15</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19050</xdr:rowOff>
        </xdr:from>
        <xdr:to>
          <xdr:col>12</xdr:col>
          <xdr:colOff>114300</xdr:colOff>
          <xdr:row>16</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xdr:row>
          <xdr:rowOff>38100</xdr:rowOff>
        </xdr:from>
        <xdr:to>
          <xdr:col>23</xdr:col>
          <xdr:colOff>0</xdr:colOff>
          <xdr:row>17</xdr:row>
          <xdr:rowOff>209550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xdr:row>
          <xdr:rowOff>28575</xdr:rowOff>
        </xdr:from>
        <xdr:to>
          <xdr:col>23</xdr:col>
          <xdr:colOff>38100</xdr:colOff>
          <xdr:row>18</xdr:row>
          <xdr:rowOff>219075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168605</xdr:colOff>
      <xdr:row>1</xdr:row>
      <xdr:rowOff>129760</xdr:rowOff>
    </xdr:from>
    <xdr:to>
      <xdr:col>38</xdr:col>
      <xdr:colOff>28711</xdr:colOff>
      <xdr:row>3</xdr:row>
      <xdr:rowOff>420584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98105" y="442724"/>
          <a:ext cx="2853677" cy="590181"/>
          <a:chOff x="10151454" y="1433193"/>
          <a:chExt cx="2995128" cy="1610715"/>
        </a:xfrm>
      </xdr:grpSpPr>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0151454" y="1433193"/>
            <a:ext cx="2964996" cy="1610715"/>
          </a:xfrm>
          <a:prstGeom prst="wedgeRectCallout">
            <a:avLst>
              <a:gd name="adj1" fmla="val -65358"/>
              <a:gd name="adj2" fmla="val 3527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348952" y="1912384"/>
            <a:ext cx="2797630" cy="72469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solidFill>
                  <a:schemeClr val="bg1"/>
                </a:solidFill>
              </a:rPr>
              <a:t>「学校名」からご記入ください</a:t>
            </a:r>
          </a:p>
        </xdr:txBody>
      </xdr:sp>
    </xdr:grpSp>
    <xdr:clientData fPrintsWithSheet="0"/>
  </xdr:twoCellAnchor>
  <mc:AlternateContent xmlns:mc="http://schemas.openxmlformats.org/markup-compatibility/2006">
    <mc:Choice xmlns:a14="http://schemas.microsoft.com/office/drawing/2010/main" Requires="a14">
      <xdr:twoCellAnchor editAs="oneCell">
        <xdr:from>
          <xdr:col>37</xdr:col>
          <xdr:colOff>28575</xdr:colOff>
          <xdr:row>14</xdr:row>
          <xdr:rowOff>76200</xdr:rowOff>
        </xdr:from>
        <xdr:to>
          <xdr:col>38</xdr:col>
          <xdr:colOff>66675</xdr:colOff>
          <xdr:row>15</xdr:row>
          <xdr:rowOff>38100</xdr:rowOff>
        </xdr:to>
        <xdr:sp macro="" textlink="">
          <xdr:nvSpPr>
            <xdr:cNvPr id="31299" name="Check Box 1603" hidden="1">
              <a:extLst>
                <a:ext uri="{63B3BB69-23CF-44E3-9099-C40C66FF867C}">
                  <a14:compatExt spid="_x0000_s31299"/>
                </a:ext>
                <a:ext uri="{FF2B5EF4-FFF2-40B4-BE49-F238E27FC236}">
                  <a16:creationId xmlns:a16="http://schemas.microsoft.com/office/drawing/2014/main" id="{00000000-0008-0000-0100-00004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31301" name="Check Box 1605" hidden="1">
              <a:extLst>
                <a:ext uri="{63B3BB69-23CF-44E3-9099-C40C66FF867C}">
                  <a14:compatExt spid="_x0000_s31301"/>
                </a:ext>
                <a:ext uri="{FF2B5EF4-FFF2-40B4-BE49-F238E27FC236}">
                  <a16:creationId xmlns:a16="http://schemas.microsoft.com/office/drawing/2014/main" id="{00000000-0008-0000-0100-00004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14</xdr:row>
          <xdr:rowOff>0</xdr:rowOff>
        </xdr:from>
        <xdr:to>
          <xdr:col>43</xdr:col>
          <xdr:colOff>180975</xdr:colOff>
          <xdr:row>15</xdr:row>
          <xdr:rowOff>0</xdr:rowOff>
        </xdr:to>
        <xdr:sp macro="" textlink="">
          <xdr:nvSpPr>
            <xdr:cNvPr id="31310" name="Check Box 1614" hidden="1">
              <a:extLst>
                <a:ext uri="{63B3BB69-23CF-44E3-9099-C40C66FF867C}">
                  <a14:compatExt spid="_x0000_s31310"/>
                </a:ext>
                <a:ext uri="{FF2B5EF4-FFF2-40B4-BE49-F238E27FC236}">
                  <a16:creationId xmlns:a16="http://schemas.microsoft.com/office/drawing/2014/main" id="{00000000-0008-0000-0100-00004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2</xdr:col>
          <xdr:colOff>57150</xdr:colOff>
          <xdr:row>22</xdr:row>
          <xdr:rowOff>247650</xdr:rowOff>
        </xdr:to>
        <xdr:sp macro="" textlink="">
          <xdr:nvSpPr>
            <xdr:cNvPr id="31311" name="Check Box 1615" hidden="1">
              <a:extLst>
                <a:ext uri="{63B3BB69-23CF-44E3-9099-C40C66FF867C}">
                  <a14:compatExt spid="_x0000_s31311"/>
                </a:ext>
                <a:ext uri="{FF2B5EF4-FFF2-40B4-BE49-F238E27FC236}">
                  <a16:creationId xmlns:a16="http://schemas.microsoft.com/office/drawing/2014/main" id="{00000000-0008-0000-0100-00004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2</xdr:col>
          <xdr:colOff>57150</xdr:colOff>
          <xdr:row>23</xdr:row>
          <xdr:rowOff>247650</xdr:rowOff>
        </xdr:to>
        <xdr:sp macro="" textlink="">
          <xdr:nvSpPr>
            <xdr:cNvPr id="31312" name="Check Box 1616" hidden="1">
              <a:extLst>
                <a:ext uri="{63B3BB69-23CF-44E3-9099-C40C66FF867C}">
                  <a14:compatExt spid="_x0000_s31312"/>
                </a:ext>
                <a:ext uri="{FF2B5EF4-FFF2-40B4-BE49-F238E27FC236}">
                  <a16:creationId xmlns:a16="http://schemas.microsoft.com/office/drawing/2014/main" id="{00000000-0008-0000-0100-00005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31314" name="Check Box 1618" hidden="1">
              <a:extLst>
                <a:ext uri="{63B3BB69-23CF-44E3-9099-C40C66FF867C}">
                  <a14:compatExt spid="_x0000_s31314"/>
                </a:ext>
                <a:ext uri="{FF2B5EF4-FFF2-40B4-BE49-F238E27FC236}">
                  <a16:creationId xmlns:a16="http://schemas.microsoft.com/office/drawing/2014/main" id="{00000000-0008-0000-0100-00005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28575</xdr:rowOff>
        </xdr:from>
        <xdr:to>
          <xdr:col>28</xdr:col>
          <xdr:colOff>57150</xdr:colOff>
          <xdr:row>22</xdr:row>
          <xdr:rowOff>247650</xdr:rowOff>
        </xdr:to>
        <xdr:sp macro="" textlink="">
          <xdr:nvSpPr>
            <xdr:cNvPr id="31317" name="Check Box 1621" hidden="1">
              <a:extLst>
                <a:ext uri="{63B3BB69-23CF-44E3-9099-C40C66FF867C}">
                  <a14:compatExt spid="_x0000_s31317"/>
                </a:ext>
                <a:ext uri="{FF2B5EF4-FFF2-40B4-BE49-F238E27FC236}">
                  <a16:creationId xmlns:a16="http://schemas.microsoft.com/office/drawing/2014/main" id="{00000000-0008-0000-0100-00005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28575</xdr:rowOff>
        </xdr:from>
        <xdr:to>
          <xdr:col>28</xdr:col>
          <xdr:colOff>57150</xdr:colOff>
          <xdr:row>23</xdr:row>
          <xdr:rowOff>247650</xdr:rowOff>
        </xdr:to>
        <xdr:sp macro="" textlink="">
          <xdr:nvSpPr>
            <xdr:cNvPr id="31318" name="Check Box 1622" hidden="1">
              <a:extLst>
                <a:ext uri="{63B3BB69-23CF-44E3-9099-C40C66FF867C}">
                  <a14:compatExt spid="_x0000_s31318"/>
                </a:ext>
                <a:ext uri="{FF2B5EF4-FFF2-40B4-BE49-F238E27FC236}">
                  <a16:creationId xmlns:a16="http://schemas.microsoft.com/office/drawing/2014/main" id="{00000000-0008-0000-0100-00005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28575</xdr:rowOff>
        </xdr:from>
        <xdr:to>
          <xdr:col>28</xdr:col>
          <xdr:colOff>57150</xdr:colOff>
          <xdr:row>24</xdr:row>
          <xdr:rowOff>247650</xdr:rowOff>
        </xdr:to>
        <xdr:sp macro="" textlink="">
          <xdr:nvSpPr>
            <xdr:cNvPr id="31319" name="Check Box 1623" hidden="1">
              <a:extLst>
                <a:ext uri="{63B3BB69-23CF-44E3-9099-C40C66FF867C}">
                  <a14:compatExt spid="_x0000_s31319"/>
                </a:ext>
                <a:ext uri="{FF2B5EF4-FFF2-40B4-BE49-F238E27FC236}">
                  <a16:creationId xmlns:a16="http://schemas.microsoft.com/office/drawing/2014/main" id="{00000000-0008-0000-0100-00005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28575</xdr:rowOff>
        </xdr:from>
        <xdr:to>
          <xdr:col>28</xdr:col>
          <xdr:colOff>57150</xdr:colOff>
          <xdr:row>25</xdr:row>
          <xdr:rowOff>247650</xdr:rowOff>
        </xdr:to>
        <xdr:sp macro="" textlink="">
          <xdr:nvSpPr>
            <xdr:cNvPr id="31320" name="Check Box 1624" hidden="1">
              <a:extLst>
                <a:ext uri="{63B3BB69-23CF-44E3-9099-C40C66FF867C}">
                  <a14:compatExt spid="_x0000_s31320"/>
                </a:ext>
                <a:ext uri="{FF2B5EF4-FFF2-40B4-BE49-F238E27FC236}">
                  <a16:creationId xmlns:a16="http://schemas.microsoft.com/office/drawing/2014/main" id="{00000000-0008-0000-0100-00005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21" name="Check Box 1625" hidden="1">
              <a:extLst>
                <a:ext uri="{63B3BB69-23CF-44E3-9099-C40C66FF867C}">
                  <a14:compatExt spid="_x0000_s31321"/>
                </a:ext>
                <a:ext uri="{FF2B5EF4-FFF2-40B4-BE49-F238E27FC236}">
                  <a16:creationId xmlns:a16="http://schemas.microsoft.com/office/drawing/2014/main" id="{00000000-0008-0000-0100-00005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22" name="Check Box 1626" hidden="1">
              <a:extLst>
                <a:ext uri="{63B3BB69-23CF-44E3-9099-C40C66FF867C}">
                  <a14:compatExt spid="_x0000_s31322"/>
                </a:ext>
                <a:ext uri="{FF2B5EF4-FFF2-40B4-BE49-F238E27FC236}">
                  <a16:creationId xmlns:a16="http://schemas.microsoft.com/office/drawing/2014/main" id="{00000000-0008-0000-0100-00005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28575</xdr:rowOff>
        </xdr:from>
        <xdr:to>
          <xdr:col>28</xdr:col>
          <xdr:colOff>57150</xdr:colOff>
          <xdr:row>29</xdr:row>
          <xdr:rowOff>247650</xdr:rowOff>
        </xdr:to>
        <xdr:sp macro="" textlink="">
          <xdr:nvSpPr>
            <xdr:cNvPr id="31323" name="Check Box 1627" hidden="1">
              <a:extLst>
                <a:ext uri="{63B3BB69-23CF-44E3-9099-C40C66FF867C}">
                  <a14:compatExt spid="_x0000_s31323"/>
                </a:ext>
                <a:ext uri="{FF2B5EF4-FFF2-40B4-BE49-F238E27FC236}">
                  <a16:creationId xmlns:a16="http://schemas.microsoft.com/office/drawing/2014/main" id="{00000000-0008-0000-0100-00005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26" name="Check Box 1630" hidden="1">
              <a:extLst>
                <a:ext uri="{63B3BB69-23CF-44E3-9099-C40C66FF867C}">
                  <a14:compatExt spid="_x0000_s31326"/>
                </a:ext>
                <a:ext uri="{FF2B5EF4-FFF2-40B4-BE49-F238E27FC236}">
                  <a16:creationId xmlns:a16="http://schemas.microsoft.com/office/drawing/2014/main" id="{00000000-0008-0000-0100-00005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27" name="Check Box 1631" hidden="1">
              <a:extLst>
                <a:ext uri="{63B3BB69-23CF-44E3-9099-C40C66FF867C}">
                  <a14:compatExt spid="_x0000_s31327"/>
                </a:ext>
                <a:ext uri="{FF2B5EF4-FFF2-40B4-BE49-F238E27FC236}">
                  <a16:creationId xmlns:a16="http://schemas.microsoft.com/office/drawing/2014/main" id="{00000000-0008-0000-0100-00005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31330" name="Check Box 1634" hidden="1">
              <a:extLst>
                <a:ext uri="{63B3BB69-23CF-44E3-9099-C40C66FF867C}">
                  <a14:compatExt spid="_x0000_s31330"/>
                </a:ext>
                <a:ext uri="{FF2B5EF4-FFF2-40B4-BE49-F238E27FC236}">
                  <a16:creationId xmlns:a16="http://schemas.microsoft.com/office/drawing/2014/main" id="{00000000-0008-0000-0100-00006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19050</xdr:rowOff>
        </xdr:from>
        <xdr:to>
          <xdr:col>28</xdr:col>
          <xdr:colOff>57150</xdr:colOff>
          <xdr:row>20</xdr:row>
          <xdr:rowOff>247650</xdr:rowOff>
        </xdr:to>
        <xdr:sp macro="" textlink="">
          <xdr:nvSpPr>
            <xdr:cNvPr id="31331" name="Check Box 1635" hidden="1">
              <a:extLst>
                <a:ext uri="{63B3BB69-23CF-44E3-9099-C40C66FF867C}">
                  <a14:compatExt spid="_x0000_s31331"/>
                </a:ext>
                <a:ext uri="{FF2B5EF4-FFF2-40B4-BE49-F238E27FC236}">
                  <a16:creationId xmlns:a16="http://schemas.microsoft.com/office/drawing/2014/main" id="{00000000-0008-0000-0100-00006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31333" name="Check Box 1637" hidden="1">
              <a:extLst>
                <a:ext uri="{63B3BB69-23CF-44E3-9099-C40C66FF867C}">
                  <a14:compatExt spid="_x0000_s31333"/>
                </a:ext>
                <a:ext uri="{FF2B5EF4-FFF2-40B4-BE49-F238E27FC236}">
                  <a16:creationId xmlns:a16="http://schemas.microsoft.com/office/drawing/2014/main" id="{00000000-0008-0000-0100-00006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31334" name="Check Box 1638" hidden="1">
              <a:extLst>
                <a:ext uri="{63B3BB69-23CF-44E3-9099-C40C66FF867C}">
                  <a14:compatExt spid="_x0000_s31334"/>
                </a:ext>
                <a:ext uri="{FF2B5EF4-FFF2-40B4-BE49-F238E27FC236}">
                  <a16:creationId xmlns:a16="http://schemas.microsoft.com/office/drawing/2014/main" id="{00000000-0008-0000-0100-00006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19050</xdr:rowOff>
        </xdr:from>
        <xdr:to>
          <xdr:col>28</xdr:col>
          <xdr:colOff>57150</xdr:colOff>
          <xdr:row>24</xdr:row>
          <xdr:rowOff>247650</xdr:rowOff>
        </xdr:to>
        <xdr:sp macro="" textlink="">
          <xdr:nvSpPr>
            <xdr:cNvPr id="31335" name="Check Box 1639" hidden="1">
              <a:extLst>
                <a:ext uri="{63B3BB69-23CF-44E3-9099-C40C66FF867C}">
                  <a14:compatExt spid="_x0000_s31335"/>
                </a:ext>
                <a:ext uri="{FF2B5EF4-FFF2-40B4-BE49-F238E27FC236}">
                  <a16:creationId xmlns:a16="http://schemas.microsoft.com/office/drawing/2014/main" id="{00000000-0008-0000-0100-00006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19050</xdr:rowOff>
        </xdr:from>
        <xdr:to>
          <xdr:col>28</xdr:col>
          <xdr:colOff>57150</xdr:colOff>
          <xdr:row>25</xdr:row>
          <xdr:rowOff>247650</xdr:rowOff>
        </xdr:to>
        <xdr:sp macro="" textlink="">
          <xdr:nvSpPr>
            <xdr:cNvPr id="31336" name="Check Box 1640" hidden="1">
              <a:extLst>
                <a:ext uri="{63B3BB69-23CF-44E3-9099-C40C66FF867C}">
                  <a14:compatExt spid="_x0000_s31336"/>
                </a:ext>
                <a:ext uri="{FF2B5EF4-FFF2-40B4-BE49-F238E27FC236}">
                  <a16:creationId xmlns:a16="http://schemas.microsoft.com/office/drawing/2014/main" id="{00000000-0008-0000-0100-00006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37" name="Check Box 1641" hidden="1">
              <a:extLst>
                <a:ext uri="{63B3BB69-23CF-44E3-9099-C40C66FF867C}">
                  <a14:compatExt spid="_x0000_s31337"/>
                </a:ext>
                <a:ext uri="{FF2B5EF4-FFF2-40B4-BE49-F238E27FC236}">
                  <a16:creationId xmlns:a16="http://schemas.microsoft.com/office/drawing/2014/main" id="{00000000-0008-0000-0100-00006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31338" name="Check Box 1642" hidden="1">
              <a:extLst>
                <a:ext uri="{63B3BB69-23CF-44E3-9099-C40C66FF867C}">
                  <a14:compatExt spid="_x0000_s31338"/>
                </a:ext>
                <a:ext uri="{FF2B5EF4-FFF2-40B4-BE49-F238E27FC236}">
                  <a16:creationId xmlns:a16="http://schemas.microsoft.com/office/drawing/2014/main" id="{00000000-0008-0000-0100-00006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31339" name="Check Box 1643" hidden="1">
              <a:extLst>
                <a:ext uri="{63B3BB69-23CF-44E3-9099-C40C66FF867C}">
                  <a14:compatExt spid="_x0000_s31339"/>
                </a:ext>
                <a:ext uri="{FF2B5EF4-FFF2-40B4-BE49-F238E27FC236}">
                  <a16:creationId xmlns:a16="http://schemas.microsoft.com/office/drawing/2014/main" id="{00000000-0008-0000-0100-00006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19050</xdr:rowOff>
        </xdr:from>
        <xdr:to>
          <xdr:col>28</xdr:col>
          <xdr:colOff>57150</xdr:colOff>
          <xdr:row>25</xdr:row>
          <xdr:rowOff>247650</xdr:rowOff>
        </xdr:to>
        <xdr:sp macro="" textlink="">
          <xdr:nvSpPr>
            <xdr:cNvPr id="31340" name="Check Box 1644" hidden="1">
              <a:extLst>
                <a:ext uri="{63B3BB69-23CF-44E3-9099-C40C66FF867C}">
                  <a14:compatExt spid="_x0000_s31340"/>
                </a:ext>
                <a:ext uri="{FF2B5EF4-FFF2-40B4-BE49-F238E27FC236}">
                  <a16:creationId xmlns:a16="http://schemas.microsoft.com/office/drawing/2014/main" id="{00000000-0008-0000-0100-00006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41" name="Check Box 1645" hidden="1">
              <a:extLst>
                <a:ext uri="{63B3BB69-23CF-44E3-9099-C40C66FF867C}">
                  <a14:compatExt spid="_x0000_s31341"/>
                </a:ext>
                <a:ext uri="{FF2B5EF4-FFF2-40B4-BE49-F238E27FC236}">
                  <a16:creationId xmlns:a16="http://schemas.microsoft.com/office/drawing/2014/main" id="{00000000-0008-0000-0100-00006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42" name="Check Box 1646" hidden="1">
              <a:extLst>
                <a:ext uri="{63B3BB69-23CF-44E3-9099-C40C66FF867C}">
                  <a14:compatExt spid="_x0000_s31342"/>
                </a:ext>
                <a:ext uri="{FF2B5EF4-FFF2-40B4-BE49-F238E27FC236}">
                  <a16:creationId xmlns:a16="http://schemas.microsoft.com/office/drawing/2014/main" id="{00000000-0008-0000-0100-00006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19050</xdr:rowOff>
        </xdr:from>
        <xdr:to>
          <xdr:col>28</xdr:col>
          <xdr:colOff>57150</xdr:colOff>
          <xdr:row>19</xdr:row>
          <xdr:rowOff>247650</xdr:rowOff>
        </xdr:to>
        <xdr:sp macro="" textlink="">
          <xdr:nvSpPr>
            <xdr:cNvPr id="31346" name="Check Box 1650" hidden="1">
              <a:extLst>
                <a:ext uri="{63B3BB69-23CF-44E3-9099-C40C66FF867C}">
                  <a14:compatExt spid="_x0000_s31346"/>
                </a:ext>
                <a:ext uri="{FF2B5EF4-FFF2-40B4-BE49-F238E27FC236}">
                  <a16:creationId xmlns:a16="http://schemas.microsoft.com/office/drawing/2014/main" id="{00000000-0008-0000-0100-00007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19050</xdr:rowOff>
        </xdr:from>
        <xdr:to>
          <xdr:col>28</xdr:col>
          <xdr:colOff>57150</xdr:colOff>
          <xdr:row>20</xdr:row>
          <xdr:rowOff>247650</xdr:rowOff>
        </xdr:to>
        <xdr:sp macro="" textlink="">
          <xdr:nvSpPr>
            <xdr:cNvPr id="31347" name="Check Box 1651" hidden="1">
              <a:extLst>
                <a:ext uri="{63B3BB69-23CF-44E3-9099-C40C66FF867C}">
                  <a14:compatExt spid="_x0000_s31347"/>
                </a:ext>
                <a:ext uri="{FF2B5EF4-FFF2-40B4-BE49-F238E27FC236}">
                  <a16:creationId xmlns:a16="http://schemas.microsoft.com/office/drawing/2014/main" id="{00000000-0008-0000-0100-00007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31348" name="Check Box 1652" hidden="1">
              <a:extLst>
                <a:ext uri="{63B3BB69-23CF-44E3-9099-C40C66FF867C}">
                  <a14:compatExt spid="_x0000_s31348"/>
                </a:ext>
                <a:ext uri="{FF2B5EF4-FFF2-40B4-BE49-F238E27FC236}">
                  <a16:creationId xmlns:a16="http://schemas.microsoft.com/office/drawing/2014/main" id="{00000000-0008-0000-0100-00007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31349" name="Check Box 1653" hidden="1">
              <a:extLst>
                <a:ext uri="{63B3BB69-23CF-44E3-9099-C40C66FF867C}">
                  <a14:compatExt spid="_x0000_s31349"/>
                </a:ext>
                <a:ext uri="{FF2B5EF4-FFF2-40B4-BE49-F238E27FC236}">
                  <a16:creationId xmlns:a16="http://schemas.microsoft.com/office/drawing/2014/main" id="{00000000-0008-0000-0100-00007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19050</xdr:rowOff>
        </xdr:from>
        <xdr:to>
          <xdr:col>28</xdr:col>
          <xdr:colOff>57150</xdr:colOff>
          <xdr:row>24</xdr:row>
          <xdr:rowOff>247650</xdr:rowOff>
        </xdr:to>
        <xdr:sp macro="" textlink="">
          <xdr:nvSpPr>
            <xdr:cNvPr id="31350" name="Check Box 1654" hidden="1">
              <a:extLst>
                <a:ext uri="{63B3BB69-23CF-44E3-9099-C40C66FF867C}">
                  <a14:compatExt spid="_x0000_s31350"/>
                </a:ext>
                <a:ext uri="{FF2B5EF4-FFF2-40B4-BE49-F238E27FC236}">
                  <a16:creationId xmlns:a16="http://schemas.microsoft.com/office/drawing/2014/main" id="{00000000-0008-0000-0100-00007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19050</xdr:rowOff>
        </xdr:from>
        <xdr:to>
          <xdr:col>28</xdr:col>
          <xdr:colOff>57150</xdr:colOff>
          <xdr:row>25</xdr:row>
          <xdr:rowOff>247650</xdr:rowOff>
        </xdr:to>
        <xdr:sp macro="" textlink="">
          <xdr:nvSpPr>
            <xdr:cNvPr id="31351" name="Check Box 1655" hidden="1">
              <a:extLst>
                <a:ext uri="{63B3BB69-23CF-44E3-9099-C40C66FF867C}">
                  <a14:compatExt spid="_x0000_s31351"/>
                </a:ext>
                <a:ext uri="{FF2B5EF4-FFF2-40B4-BE49-F238E27FC236}">
                  <a16:creationId xmlns:a16="http://schemas.microsoft.com/office/drawing/2014/main" id="{00000000-0008-0000-0100-00007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52" name="Check Box 1656" hidden="1">
              <a:extLst>
                <a:ext uri="{63B3BB69-23CF-44E3-9099-C40C66FF867C}">
                  <a14:compatExt spid="_x0000_s31352"/>
                </a:ext>
                <a:ext uri="{FF2B5EF4-FFF2-40B4-BE49-F238E27FC236}">
                  <a16:creationId xmlns:a16="http://schemas.microsoft.com/office/drawing/2014/main" id="{00000000-0008-0000-0100-00007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19050</xdr:rowOff>
        </xdr:from>
        <xdr:to>
          <xdr:col>28</xdr:col>
          <xdr:colOff>57150</xdr:colOff>
          <xdr:row>22</xdr:row>
          <xdr:rowOff>247650</xdr:rowOff>
        </xdr:to>
        <xdr:sp macro="" textlink="">
          <xdr:nvSpPr>
            <xdr:cNvPr id="31353" name="Check Box 1657" hidden="1">
              <a:extLst>
                <a:ext uri="{63B3BB69-23CF-44E3-9099-C40C66FF867C}">
                  <a14:compatExt spid="_x0000_s31353"/>
                </a:ext>
                <a:ext uri="{FF2B5EF4-FFF2-40B4-BE49-F238E27FC236}">
                  <a16:creationId xmlns:a16="http://schemas.microsoft.com/office/drawing/2014/main" id="{00000000-0008-0000-0100-00007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19050</xdr:rowOff>
        </xdr:from>
        <xdr:to>
          <xdr:col>28</xdr:col>
          <xdr:colOff>57150</xdr:colOff>
          <xdr:row>23</xdr:row>
          <xdr:rowOff>247650</xdr:rowOff>
        </xdr:to>
        <xdr:sp macro="" textlink="">
          <xdr:nvSpPr>
            <xdr:cNvPr id="31354" name="Check Box 1658" hidden="1">
              <a:extLst>
                <a:ext uri="{63B3BB69-23CF-44E3-9099-C40C66FF867C}">
                  <a14:compatExt spid="_x0000_s31354"/>
                </a:ext>
                <a:ext uri="{FF2B5EF4-FFF2-40B4-BE49-F238E27FC236}">
                  <a16:creationId xmlns:a16="http://schemas.microsoft.com/office/drawing/2014/main" id="{00000000-0008-0000-0100-00007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25</xdr:row>
          <xdr:rowOff>19050</xdr:rowOff>
        </xdr:from>
        <xdr:to>
          <xdr:col>28</xdr:col>
          <xdr:colOff>57150</xdr:colOff>
          <xdr:row>25</xdr:row>
          <xdr:rowOff>247650</xdr:rowOff>
        </xdr:to>
        <xdr:sp macro="" textlink="">
          <xdr:nvSpPr>
            <xdr:cNvPr id="31355" name="Check Box 1659" hidden="1">
              <a:extLst>
                <a:ext uri="{63B3BB69-23CF-44E3-9099-C40C66FF867C}">
                  <a14:compatExt spid="_x0000_s31355"/>
                </a:ext>
                <a:ext uri="{FF2B5EF4-FFF2-40B4-BE49-F238E27FC236}">
                  <a16:creationId xmlns:a16="http://schemas.microsoft.com/office/drawing/2014/main" id="{00000000-0008-0000-0100-00007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56" name="Check Box 1660" hidden="1">
              <a:extLst>
                <a:ext uri="{63B3BB69-23CF-44E3-9099-C40C66FF867C}">
                  <a14:compatExt spid="_x0000_s31356"/>
                </a:ext>
                <a:ext uri="{FF2B5EF4-FFF2-40B4-BE49-F238E27FC236}">
                  <a16:creationId xmlns:a16="http://schemas.microsoft.com/office/drawing/2014/main" id="{00000000-0008-0000-0100-00007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57" name="Check Box 1661" hidden="1">
              <a:extLst>
                <a:ext uri="{63B3BB69-23CF-44E3-9099-C40C66FF867C}">
                  <a14:compatExt spid="_x0000_s31357"/>
                </a:ext>
                <a:ext uri="{FF2B5EF4-FFF2-40B4-BE49-F238E27FC236}">
                  <a16:creationId xmlns:a16="http://schemas.microsoft.com/office/drawing/2014/main" id="{00000000-0008-0000-0100-00007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28575</xdr:rowOff>
        </xdr:from>
        <xdr:to>
          <xdr:col>28</xdr:col>
          <xdr:colOff>57150</xdr:colOff>
          <xdr:row>29</xdr:row>
          <xdr:rowOff>247650</xdr:rowOff>
        </xdr:to>
        <xdr:sp macro="" textlink="">
          <xdr:nvSpPr>
            <xdr:cNvPr id="31358" name="Check Box 1662" hidden="1">
              <a:extLst>
                <a:ext uri="{63B3BB69-23CF-44E3-9099-C40C66FF867C}">
                  <a14:compatExt spid="_x0000_s31358"/>
                </a:ext>
                <a:ext uri="{FF2B5EF4-FFF2-40B4-BE49-F238E27FC236}">
                  <a16:creationId xmlns:a16="http://schemas.microsoft.com/office/drawing/2014/main" id="{00000000-0008-0000-0100-00007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59" name="Check Box 1663" hidden="1">
              <a:extLst>
                <a:ext uri="{63B3BB69-23CF-44E3-9099-C40C66FF867C}">
                  <a14:compatExt spid="_x0000_s31359"/>
                </a:ext>
                <a:ext uri="{FF2B5EF4-FFF2-40B4-BE49-F238E27FC236}">
                  <a16:creationId xmlns:a16="http://schemas.microsoft.com/office/drawing/2014/main" id="{00000000-0008-0000-0100-00007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60" name="Check Box 1664" hidden="1">
              <a:extLst>
                <a:ext uri="{63B3BB69-23CF-44E3-9099-C40C66FF867C}">
                  <a14:compatExt spid="_x0000_s31360"/>
                </a:ext>
                <a:ext uri="{FF2B5EF4-FFF2-40B4-BE49-F238E27FC236}">
                  <a16:creationId xmlns:a16="http://schemas.microsoft.com/office/drawing/2014/main" id="{00000000-0008-0000-0100-00008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61" name="Check Box 1665" hidden="1">
              <a:extLst>
                <a:ext uri="{63B3BB69-23CF-44E3-9099-C40C66FF867C}">
                  <a14:compatExt spid="_x0000_s31361"/>
                </a:ext>
                <a:ext uri="{FF2B5EF4-FFF2-40B4-BE49-F238E27FC236}">
                  <a16:creationId xmlns:a16="http://schemas.microsoft.com/office/drawing/2014/main" id="{00000000-0008-0000-0100-00008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62" name="Check Box 1666" hidden="1">
              <a:extLst>
                <a:ext uri="{63B3BB69-23CF-44E3-9099-C40C66FF867C}">
                  <a14:compatExt spid="_x0000_s31362"/>
                </a:ext>
                <a:ext uri="{FF2B5EF4-FFF2-40B4-BE49-F238E27FC236}">
                  <a16:creationId xmlns:a16="http://schemas.microsoft.com/office/drawing/2014/main" id="{00000000-0008-0000-0100-00008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28575</xdr:rowOff>
        </xdr:from>
        <xdr:to>
          <xdr:col>28</xdr:col>
          <xdr:colOff>57150</xdr:colOff>
          <xdr:row>27</xdr:row>
          <xdr:rowOff>247650</xdr:rowOff>
        </xdr:to>
        <xdr:sp macro="" textlink="">
          <xdr:nvSpPr>
            <xdr:cNvPr id="31363" name="Check Box 1667" hidden="1">
              <a:extLst>
                <a:ext uri="{63B3BB69-23CF-44E3-9099-C40C66FF867C}">
                  <a14:compatExt spid="_x0000_s31363"/>
                </a:ext>
                <a:ext uri="{FF2B5EF4-FFF2-40B4-BE49-F238E27FC236}">
                  <a16:creationId xmlns:a16="http://schemas.microsoft.com/office/drawing/2014/main" id="{00000000-0008-0000-0100-00008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26</xdr:row>
          <xdr:rowOff>28575</xdr:rowOff>
        </xdr:from>
        <xdr:to>
          <xdr:col>28</xdr:col>
          <xdr:colOff>57150</xdr:colOff>
          <xdr:row>26</xdr:row>
          <xdr:rowOff>247650</xdr:rowOff>
        </xdr:to>
        <xdr:sp macro="" textlink="">
          <xdr:nvSpPr>
            <xdr:cNvPr id="31364" name="Check Box 1668" hidden="1">
              <a:extLst>
                <a:ext uri="{63B3BB69-23CF-44E3-9099-C40C66FF867C}">
                  <a14:compatExt spid="_x0000_s31364"/>
                </a:ext>
                <a:ext uri="{FF2B5EF4-FFF2-40B4-BE49-F238E27FC236}">
                  <a16:creationId xmlns:a16="http://schemas.microsoft.com/office/drawing/2014/main" id="{00000000-0008-0000-0100-00008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65" name="Check Box 1669" hidden="1">
              <a:extLst>
                <a:ext uri="{63B3BB69-23CF-44E3-9099-C40C66FF867C}">
                  <a14:compatExt spid="_x0000_s31365"/>
                </a:ext>
                <a:ext uri="{FF2B5EF4-FFF2-40B4-BE49-F238E27FC236}">
                  <a16:creationId xmlns:a16="http://schemas.microsoft.com/office/drawing/2014/main" id="{00000000-0008-0000-0100-00008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66" name="Check Box 1670" hidden="1">
              <a:extLst>
                <a:ext uri="{63B3BB69-23CF-44E3-9099-C40C66FF867C}">
                  <a14:compatExt spid="_x0000_s31366"/>
                </a:ext>
                <a:ext uri="{FF2B5EF4-FFF2-40B4-BE49-F238E27FC236}">
                  <a16:creationId xmlns:a16="http://schemas.microsoft.com/office/drawing/2014/main" id="{00000000-0008-0000-0100-00008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67" name="Check Box 1671" hidden="1">
              <a:extLst>
                <a:ext uri="{63B3BB69-23CF-44E3-9099-C40C66FF867C}">
                  <a14:compatExt spid="_x0000_s31367"/>
                </a:ext>
                <a:ext uri="{FF2B5EF4-FFF2-40B4-BE49-F238E27FC236}">
                  <a16:creationId xmlns:a16="http://schemas.microsoft.com/office/drawing/2014/main" id="{00000000-0008-0000-0100-00008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68" name="Check Box 1672" hidden="1">
              <a:extLst>
                <a:ext uri="{63B3BB69-23CF-44E3-9099-C40C66FF867C}">
                  <a14:compatExt spid="_x0000_s31368"/>
                </a:ext>
                <a:ext uri="{FF2B5EF4-FFF2-40B4-BE49-F238E27FC236}">
                  <a16:creationId xmlns:a16="http://schemas.microsoft.com/office/drawing/2014/main" id="{00000000-0008-0000-0100-00008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69" name="Check Box 1673" hidden="1">
              <a:extLst>
                <a:ext uri="{63B3BB69-23CF-44E3-9099-C40C66FF867C}">
                  <a14:compatExt spid="_x0000_s31369"/>
                </a:ext>
                <a:ext uri="{FF2B5EF4-FFF2-40B4-BE49-F238E27FC236}">
                  <a16:creationId xmlns:a16="http://schemas.microsoft.com/office/drawing/2014/main" id="{00000000-0008-0000-0100-00008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70" name="Check Box 1674" hidden="1">
              <a:extLst>
                <a:ext uri="{63B3BB69-23CF-44E3-9099-C40C66FF867C}">
                  <a14:compatExt spid="_x0000_s31370"/>
                </a:ext>
                <a:ext uri="{FF2B5EF4-FFF2-40B4-BE49-F238E27FC236}">
                  <a16:creationId xmlns:a16="http://schemas.microsoft.com/office/drawing/2014/main" id="{00000000-0008-0000-0100-00008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71" name="Check Box 1675" hidden="1">
              <a:extLst>
                <a:ext uri="{63B3BB69-23CF-44E3-9099-C40C66FF867C}">
                  <a14:compatExt spid="_x0000_s31371"/>
                </a:ext>
                <a:ext uri="{FF2B5EF4-FFF2-40B4-BE49-F238E27FC236}">
                  <a16:creationId xmlns:a16="http://schemas.microsoft.com/office/drawing/2014/main" id="{00000000-0008-0000-0100-00008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28575</xdr:rowOff>
        </xdr:from>
        <xdr:to>
          <xdr:col>2</xdr:col>
          <xdr:colOff>57150</xdr:colOff>
          <xdr:row>27</xdr:row>
          <xdr:rowOff>247650</xdr:rowOff>
        </xdr:to>
        <xdr:sp macro="" textlink="">
          <xdr:nvSpPr>
            <xdr:cNvPr id="31372" name="Check Box 1676" hidden="1">
              <a:extLst>
                <a:ext uri="{63B3BB69-23CF-44E3-9099-C40C66FF867C}">
                  <a14:compatExt spid="_x0000_s31372"/>
                </a:ext>
                <a:ext uri="{FF2B5EF4-FFF2-40B4-BE49-F238E27FC236}">
                  <a16:creationId xmlns:a16="http://schemas.microsoft.com/office/drawing/2014/main" id="{00000000-0008-0000-0100-00008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3" name="Check Box 1677" hidden="1">
              <a:extLst>
                <a:ext uri="{63B3BB69-23CF-44E3-9099-C40C66FF867C}">
                  <a14:compatExt spid="_x0000_s31373"/>
                </a:ext>
                <a:ext uri="{FF2B5EF4-FFF2-40B4-BE49-F238E27FC236}">
                  <a16:creationId xmlns:a16="http://schemas.microsoft.com/office/drawing/2014/main" id="{00000000-0008-0000-0100-00008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4" name="Check Box 1678" hidden="1">
              <a:extLst>
                <a:ext uri="{63B3BB69-23CF-44E3-9099-C40C66FF867C}">
                  <a14:compatExt spid="_x0000_s31374"/>
                </a:ext>
                <a:ext uri="{FF2B5EF4-FFF2-40B4-BE49-F238E27FC236}">
                  <a16:creationId xmlns:a16="http://schemas.microsoft.com/office/drawing/2014/main" id="{00000000-0008-0000-0100-00008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5" name="Check Box 1679" hidden="1">
              <a:extLst>
                <a:ext uri="{63B3BB69-23CF-44E3-9099-C40C66FF867C}">
                  <a14:compatExt spid="_x0000_s31375"/>
                </a:ext>
                <a:ext uri="{FF2B5EF4-FFF2-40B4-BE49-F238E27FC236}">
                  <a16:creationId xmlns:a16="http://schemas.microsoft.com/office/drawing/2014/main" id="{00000000-0008-0000-0100-00008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6" name="Check Box 1680" hidden="1">
              <a:extLst>
                <a:ext uri="{63B3BB69-23CF-44E3-9099-C40C66FF867C}">
                  <a14:compatExt spid="_x0000_s31376"/>
                </a:ext>
                <a:ext uri="{FF2B5EF4-FFF2-40B4-BE49-F238E27FC236}">
                  <a16:creationId xmlns:a16="http://schemas.microsoft.com/office/drawing/2014/main" id="{00000000-0008-0000-0100-00009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7" name="Check Box 1681" hidden="1">
              <a:extLst>
                <a:ext uri="{63B3BB69-23CF-44E3-9099-C40C66FF867C}">
                  <a14:compatExt spid="_x0000_s31377"/>
                </a:ext>
                <a:ext uri="{FF2B5EF4-FFF2-40B4-BE49-F238E27FC236}">
                  <a16:creationId xmlns:a16="http://schemas.microsoft.com/office/drawing/2014/main" id="{00000000-0008-0000-0100-00009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57150</xdr:colOff>
          <xdr:row>26</xdr:row>
          <xdr:rowOff>247650</xdr:rowOff>
        </xdr:to>
        <xdr:sp macro="" textlink="">
          <xdr:nvSpPr>
            <xdr:cNvPr id="31378" name="Check Box 1682" hidden="1">
              <a:extLst>
                <a:ext uri="{63B3BB69-23CF-44E3-9099-C40C66FF867C}">
                  <a14:compatExt spid="_x0000_s31378"/>
                </a:ext>
                <a:ext uri="{FF2B5EF4-FFF2-40B4-BE49-F238E27FC236}">
                  <a16:creationId xmlns:a16="http://schemas.microsoft.com/office/drawing/2014/main" id="{00000000-0008-0000-0100-00009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2</xdr:col>
          <xdr:colOff>57150</xdr:colOff>
          <xdr:row>25</xdr:row>
          <xdr:rowOff>247650</xdr:rowOff>
        </xdr:to>
        <xdr:sp macro="" textlink="">
          <xdr:nvSpPr>
            <xdr:cNvPr id="31379" name="Check Box 1683" hidden="1">
              <a:extLst>
                <a:ext uri="{63B3BB69-23CF-44E3-9099-C40C66FF867C}">
                  <a14:compatExt spid="_x0000_s31379"/>
                </a:ext>
                <a:ext uri="{FF2B5EF4-FFF2-40B4-BE49-F238E27FC236}">
                  <a16:creationId xmlns:a16="http://schemas.microsoft.com/office/drawing/2014/main" id="{00000000-0008-0000-0100-00009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31380" name="Check Box 1684" hidden="1">
              <a:extLst>
                <a:ext uri="{63B3BB69-23CF-44E3-9099-C40C66FF867C}">
                  <a14:compatExt spid="_x0000_s31380"/>
                </a:ext>
                <a:ext uri="{FF2B5EF4-FFF2-40B4-BE49-F238E27FC236}">
                  <a16:creationId xmlns:a16="http://schemas.microsoft.com/office/drawing/2014/main" id="{00000000-0008-0000-0100-00009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31381" name="Check Box 1685" hidden="1">
              <a:extLst>
                <a:ext uri="{63B3BB69-23CF-44E3-9099-C40C66FF867C}">
                  <a14:compatExt spid="_x0000_s31381"/>
                </a:ext>
                <a:ext uri="{FF2B5EF4-FFF2-40B4-BE49-F238E27FC236}">
                  <a16:creationId xmlns:a16="http://schemas.microsoft.com/office/drawing/2014/main" id="{00000000-0008-0000-0100-00009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31382" name="Check Box 1686" hidden="1">
              <a:extLst>
                <a:ext uri="{63B3BB69-23CF-44E3-9099-C40C66FF867C}">
                  <a14:compatExt spid="_x0000_s31382"/>
                </a:ext>
                <a:ext uri="{FF2B5EF4-FFF2-40B4-BE49-F238E27FC236}">
                  <a16:creationId xmlns:a16="http://schemas.microsoft.com/office/drawing/2014/main" id="{00000000-0008-0000-0100-00009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2</xdr:col>
          <xdr:colOff>57150</xdr:colOff>
          <xdr:row>25</xdr:row>
          <xdr:rowOff>247650</xdr:rowOff>
        </xdr:to>
        <xdr:sp macro="" textlink="">
          <xdr:nvSpPr>
            <xdr:cNvPr id="31383" name="Check Box 1687" hidden="1">
              <a:extLst>
                <a:ext uri="{63B3BB69-23CF-44E3-9099-C40C66FF867C}">
                  <a14:compatExt spid="_x0000_s31383"/>
                </a:ext>
                <a:ext uri="{FF2B5EF4-FFF2-40B4-BE49-F238E27FC236}">
                  <a16:creationId xmlns:a16="http://schemas.microsoft.com/office/drawing/2014/main" id="{00000000-0008-0000-0100-00009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28</xdr:row>
          <xdr:rowOff>28575</xdr:rowOff>
        </xdr:from>
        <xdr:to>
          <xdr:col>28</xdr:col>
          <xdr:colOff>57150</xdr:colOff>
          <xdr:row>28</xdr:row>
          <xdr:rowOff>247650</xdr:rowOff>
        </xdr:to>
        <xdr:sp macro="" textlink="">
          <xdr:nvSpPr>
            <xdr:cNvPr id="31385" name="Check Box 1689" hidden="1">
              <a:extLst>
                <a:ext uri="{63B3BB69-23CF-44E3-9099-C40C66FF867C}">
                  <a14:compatExt spid="_x0000_s31385"/>
                </a:ext>
                <a:ext uri="{FF2B5EF4-FFF2-40B4-BE49-F238E27FC236}">
                  <a16:creationId xmlns:a16="http://schemas.microsoft.com/office/drawing/2014/main" id="{00000000-0008-0000-0100-00009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21</xdr:row>
          <xdr:rowOff>57150</xdr:rowOff>
        </xdr:from>
        <xdr:to>
          <xdr:col>2</xdr:col>
          <xdr:colOff>66675</xdr:colOff>
          <xdr:row>21</xdr:row>
          <xdr:rowOff>285750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A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57150</xdr:rowOff>
        </xdr:from>
        <xdr:to>
          <xdr:col>2</xdr:col>
          <xdr:colOff>66675</xdr:colOff>
          <xdr:row>22</xdr:row>
          <xdr:rowOff>285750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A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57150</xdr:rowOff>
        </xdr:from>
        <xdr:to>
          <xdr:col>9</xdr:col>
          <xdr:colOff>19050</xdr:colOff>
          <xdr:row>21</xdr:row>
          <xdr:rowOff>285750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A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57150</xdr:rowOff>
        </xdr:from>
        <xdr:to>
          <xdr:col>9</xdr:col>
          <xdr:colOff>19050</xdr:colOff>
          <xdr:row>22</xdr:row>
          <xdr:rowOff>285750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A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57150</xdr:rowOff>
        </xdr:from>
        <xdr:to>
          <xdr:col>1</xdr:col>
          <xdr:colOff>19050</xdr:colOff>
          <xdr:row>26</xdr:row>
          <xdr:rowOff>285750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A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57150</xdr:rowOff>
        </xdr:from>
        <xdr:to>
          <xdr:col>1</xdr:col>
          <xdr:colOff>19050</xdr:colOff>
          <xdr:row>27</xdr:row>
          <xdr:rowOff>285750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A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57150</xdr:rowOff>
        </xdr:from>
        <xdr:to>
          <xdr:col>1</xdr:col>
          <xdr:colOff>19050</xdr:colOff>
          <xdr:row>28</xdr:row>
          <xdr:rowOff>285750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A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57150</xdr:rowOff>
        </xdr:from>
        <xdr:to>
          <xdr:col>1</xdr:col>
          <xdr:colOff>19050</xdr:colOff>
          <xdr:row>29</xdr:row>
          <xdr:rowOff>285750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A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57150</xdr:rowOff>
        </xdr:from>
        <xdr:to>
          <xdr:col>1</xdr:col>
          <xdr:colOff>19050</xdr:colOff>
          <xdr:row>29</xdr:row>
          <xdr:rowOff>285750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A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57150</xdr:rowOff>
        </xdr:from>
        <xdr:to>
          <xdr:col>9</xdr:col>
          <xdr:colOff>19050</xdr:colOff>
          <xdr:row>22</xdr:row>
          <xdr:rowOff>285750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A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57150</xdr:rowOff>
        </xdr:from>
        <xdr:to>
          <xdr:col>2</xdr:col>
          <xdr:colOff>66675</xdr:colOff>
          <xdr:row>18</xdr:row>
          <xdr:rowOff>285750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A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57150</xdr:rowOff>
        </xdr:from>
        <xdr:to>
          <xdr:col>2</xdr:col>
          <xdr:colOff>76200</xdr:colOff>
          <xdr:row>17</xdr:row>
          <xdr:rowOff>285750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A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21</xdr:row>
          <xdr:rowOff>57150</xdr:rowOff>
        </xdr:from>
        <xdr:to>
          <xdr:col>28</xdr:col>
          <xdr:colOff>95250</xdr:colOff>
          <xdr:row>21</xdr:row>
          <xdr:rowOff>285750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A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22</xdr:row>
          <xdr:rowOff>57150</xdr:rowOff>
        </xdr:from>
        <xdr:to>
          <xdr:col>28</xdr:col>
          <xdr:colOff>95250</xdr:colOff>
          <xdr:row>22</xdr:row>
          <xdr:rowOff>285750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A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57150</xdr:rowOff>
        </xdr:from>
        <xdr:to>
          <xdr:col>32</xdr:col>
          <xdr:colOff>57150</xdr:colOff>
          <xdr:row>21</xdr:row>
          <xdr:rowOff>285750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A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22</xdr:row>
          <xdr:rowOff>57150</xdr:rowOff>
        </xdr:from>
        <xdr:to>
          <xdr:col>32</xdr:col>
          <xdr:colOff>57150</xdr:colOff>
          <xdr:row>22</xdr:row>
          <xdr:rowOff>285750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A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26</xdr:row>
          <xdr:rowOff>57150</xdr:rowOff>
        </xdr:from>
        <xdr:to>
          <xdr:col>27</xdr:col>
          <xdr:colOff>19050</xdr:colOff>
          <xdr:row>26</xdr:row>
          <xdr:rowOff>285750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A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57150</xdr:rowOff>
        </xdr:from>
        <xdr:to>
          <xdr:col>27</xdr:col>
          <xdr:colOff>19050</xdr:colOff>
          <xdr:row>27</xdr:row>
          <xdr:rowOff>285750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A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57150</xdr:rowOff>
        </xdr:from>
        <xdr:to>
          <xdr:col>27</xdr:col>
          <xdr:colOff>19050</xdr:colOff>
          <xdr:row>28</xdr:row>
          <xdr:rowOff>285750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A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57150</xdr:rowOff>
        </xdr:from>
        <xdr:to>
          <xdr:col>27</xdr:col>
          <xdr:colOff>19050</xdr:colOff>
          <xdr:row>29</xdr:row>
          <xdr:rowOff>285750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A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57150</xdr:rowOff>
        </xdr:from>
        <xdr:to>
          <xdr:col>27</xdr:col>
          <xdr:colOff>19050</xdr:colOff>
          <xdr:row>29</xdr:row>
          <xdr:rowOff>285750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A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22</xdr:row>
          <xdr:rowOff>57150</xdr:rowOff>
        </xdr:from>
        <xdr:to>
          <xdr:col>32</xdr:col>
          <xdr:colOff>57150</xdr:colOff>
          <xdr:row>22</xdr:row>
          <xdr:rowOff>285750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A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xdr:row>
          <xdr:rowOff>57150</xdr:rowOff>
        </xdr:from>
        <xdr:to>
          <xdr:col>28</xdr:col>
          <xdr:colOff>95250</xdr:colOff>
          <xdr:row>18</xdr:row>
          <xdr:rowOff>285750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A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17</xdr:row>
          <xdr:rowOff>57150</xdr:rowOff>
        </xdr:from>
        <xdr:to>
          <xdr:col>28</xdr:col>
          <xdr:colOff>104775</xdr:colOff>
          <xdr:row>17</xdr:row>
          <xdr:rowOff>285750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A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57150</xdr:rowOff>
        </xdr:from>
        <xdr:to>
          <xdr:col>1</xdr:col>
          <xdr:colOff>19050</xdr:colOff>
          <xdr:row>28</xdr:row>
          <xdr:rowOff>285750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A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413658</xdr:colOff>
      <xdr:row>32</xdr:row>
      <xdr:rowOff>34034</xdr:rowOff>
    </xdr:from>
    <xdr:to>
      <xdr:col>31</xdr:col>
      <xdr:colOff>614580</xdr:colOff>
      <xdr:row>37</xdr:row>
      <xdr:rowOff>59599</xdr:rowOff>
    </xdr:to>
    <xdr:sp macro="" textlink="">
      <xdr:nvSpPr>
        <xdr:cNvPr id="2" name="テキスト ボックス 1">
          <a:extLst>
            <a:ext uri="{FF2B5EF4-FFF2-40B4-BE49-F238E27FC236}">
              <a16:creationId xmlns:a16="http://schemas.microsoft.com/office/drawing/2014/main" id="{4A878776-BD3B-4548-A775-2583793AFA44}"/>
            </a:ext>
          </a:extLst>
        </xdr:cNvPr>
        <xdr:cNvSpPr txBox="1"/>
      </xdr:nvSpPr>
      <xdr:spPr>
        <a:xfrm>
          <a:off x="17580429" y="7077091"/>
          <a:ext cx="2944122" cy="1059708"/>
        </a:xfrm>
        <a:prstGeom prst="rect">
          <a:avLst/>
        </a:prstGeom>
        <a:solidFill>
          <a:schemeClr val="bg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700"/>
            </a:lnSpc>
          </a:pPr>
          <a:r>
            <a:rPr kumimoji="1" lang="ja-JP" altLang="en-US" sz="1400" b="1">
              <a:solidFill>
                <a:schemeClr val="tx1"/>
              </a:solidFill>
            </a:rPr>
            <a:t>宿泊室は、清掃が入るため</a:t>
          </a:r>
          <a:endParaRPr kumimoji="1" lang="en-US" altLang="ja-JP" sz="1400" b="1">
            <a:solidFill>
              <a:schemeClr val="tx1"/>
            </a:solidFill>
          </a:endParaRPr>
        </a:p>
        <a:p>
          <a:pPr algn="l">
            <a:lnSpc>
              <a:spcPts val="1700"/>
            </a:lnSpc>
          </a:pPr>
          <a:r>
            <a:rPr kumimoji="1" lang="ja-JP" altLang="en-US" sz="1400" b="1">
              <a:solidFill>
                <a:schemeClr val="tx1"/>
              </a:solidFill>
            </a:rPr>
            <a:t>９時までに完全に退室してください。</a:t>
          </a:r>
          <a:endParaRPr kumimoji="1" lang="en-US" altLang="ja-JP" sz="1400" b="1">
            <a:solidFill>
              <a:schemeClr val="tx1"/>
            </a:solidFill>
          </a:endParaRPr>
        </a:p>
        <a:p>
          <a:pPr algn="l">
            <a:lnSpc>
              <a:spcPts val="1700"/>
            </a:lnSpc>
          </a:pPr>
          <a:r>
            <a:rPr kumimoji="1" lang="ja-JP" altLang="en-US" sz="1400" b="1">
              <a:solidFill>
                <a:schemeClr val="tx1"/>
              </a:solidFill>
            </a:rPr>
            <a:t>また、各団体ごとに清掃をし</a:t>
          </a:r>
          <a:endParaRPr kumimoji="1" lang="en-US" altLang="ja-JP" sz="1400" b="1">
            <a:solidFill>
              <a:schemeClr val="tx1"/>
            </a:solidFill>
          </a:endParaRPr>
        </a:p>
        <a:p>
          <a:pPr algn="l">
            <a:lnSpc>
              <a:spcPts val="1700"/>
            </a:lnSpc>
          </a:pPr>
          <a:r>
            <a:rPr kumimoji="1" lang="ja-JP" altLang="en-US" sz="1400" b="1">
              <a:solidFill>
                <a:schemeClr val="tx1"/>
              </a:solidFill>
            </a:rPr>
            <a:t>自主チェックを行ってください。</a:t>
          </a:r>
        </a:p>
      </xdr:txBody>
    </xdr:sp>
    <xdr:clientData/>
  </xdr:twoCellAnchor>
  <xdr:twoCellAnchor>
    <xdr:from>
      <xdr:col>27</xdr:col>
      <xdr:colOff>34561</xdr:colOff>
      <xdr:row>44</xdr:row>
      <xdr:rowOff>28700</xdr:rowOff>
    </xdr:from>
    <xdr:to>
      <xdr:col>31</xdr:col>
      <xdr:colOff>206828</xdr:colOff>
      <xdr:row>46</xdr:row>
      <xdr:rowOff>103688</xdr:rowOff>
    </xdr:to>
    <xdr:sp macro="" textlink="">
      <xdr:nvSpPr>
        <xdr:cNvPr id="3" name="テキスト ボックス 2">
          <a:extLst>
            <a:ext uri="{FF2B5EF4-FFF2-40B4-BE49-F238E27FC236}">
              <a16:creationId xmlns:a16="http://schemas.microsoft.com/office/drawing/2014/main" id="{116D3A7C-6AFF-47C0-937C-7CE70D4CA5BE}"/>
            </a:ext>
          </a:extLst>
        </xdr:cNvPr>
        <xdr:cNvSpPr txBox="1"/>
      </xdr:nvSpPr>
      <xdr:spPr>
        <a:xfrm>
          <a:off x="17201332" y="9553700"/>
          <a:ext cx="2915467" cy="488645"/>
        </a:xfrm>
        <a:prstGeom prst="rect">
          <a:avLst/>
        </a:prstGeom>
        <a:solidFill>
          <a:schemeClr val="bg1"/>
        </a:solid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ja-JP" altLang="en-US" sz="1400" b="1">
              <a:solidFill>
                <a:schemeClr val="tx1"/>
              </a:solidFill>
            </a:rPr>
            <a:t>宿泊室は、１２時から入室可能です。</a:t>
          </a:r>
        </a:p>
      </xdr:txBody>
    </xdr:sp>
    <xdr:clientData/>
  </xdr:twoCellAnchor>
  <xdr:twoCellAnchor>
    <xdr:from>
      <xdr:col>27</xdr:col>
      <xdr:colOff>32656</xdr:colOff>
      <xdr:row>60</xdr:row>
      <xdr:rowOff>0</xdr:rowOff>
    </xdr:from>
    <xdr:to>
      <xdr:col>31</xdr:col>
      <xdr:colOff>391885</xdr:colOff>
      <xdr:row>62</xdr:row>
      <xdr:rowOff>152401</xdr:rowOff>
    </xdr:to>
    <xdr:sp macro="" textlink="">
      <xdr:nvSpPr>
        <xdr:cNvPr id="4" name="テキスト ボックス 3">
          <a:extLst>
            <a:ext uri="{FF2B5EF4-FFF2-40B4-BE49-F238E27FC236}">
              <a16:creationId xmlns:a16="http://schemas.microsoft.com/office/drawing/2014/main" id="{5F3085AD-4FF8-4FAF-92C0-08004DA6BCCE}"/>
            </a:ext>
          </a:extLst>
        </xdr:cNvPr>
        <xdr:cNvSpPr txBox="1"/>
      </xdr:nvSpPr>
      <xdr:spPr>
        <a:xfrm>
          <a:off x="17199427" y="12834257"/>
          <a:ext cx="3102429" cy="566058"/>
        </a:xfrm>
        <a:prstGeom prst="rect">
          <a:avLst/>
        </a:prstGeom>
        <a:solidFill>
          <a:schemeClr val="bg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700"/>
            </a:lnSpc>
          </a:pPr>
          <a:r>
            <a:rPr kumimoji="1" lang="ja-JP" altLang="en-US" sz="1400" b="1">
              <a:solidFill>
                <a:schemeClr val="tx1"/>
              </a:solidFill>
            </a:rPr>
            <a:t>シーツは団体ごとにリネン置き場に</a:t>
          </a:r>
          <a:endParaRPr kumimoji="1" lang="en-US" altLang="ja-JP" sz="1400" b="1">
            <a:solidFill>
              <a:schemeClr val="tx1"/>
            </a:solidFill>
          </a:endParaRPr>
        </a:p>
        <a:p>
          <a:pPr algn="l">
            <a:lnSpc>
              <a:spcPts val="1700"/>
            </a:lnSpc>
          </a:pPr>
          <a:r>
            <a:rPr kumimoji="1" lang="ja-JP" altLang="en-US" sz="1400" b="1">
              <a:solidFill>
                <a:schemeClr val="tx1"/>
              </a:solidFill>
            </a:rPr>
            <a:t>１６時以降にご用意しております。</a:t>
          </a:r>
        </a:p>
      </xdr:txBody>
    </xdr:sp>
    <xdr:clientData/>
  </xdr:twoCellAnchor>
  <xdr:twoCellAnchor>
    <xdr:from>
      <xdr:col>19</xdr:col>
      <xdr:colOff>38372</xdr:colOff>
      <xdr:row>29</xdr:row>
      <xdr:rowOff>128353</xdr:rowOff>
    </xdr:from>
    <xdr:to>
      <xdr:col>24</xdr:col>
      <xdr:colOff>761233</xdr:colOff>
      <xdr:row>35</xdr:row>
      <xdr:rowOff>149677</xdr:rowOff>
    </xdr:to>
    <xdr:sp macro="" textlink="">
      <xdr:nvSpPr>
        <xdr:cNvPr id="6" name="テキスト ボックス 5">
          <a:extLst>
            <a:ext uri="{FF2B5EF4-FFF2-40B4-BE49-F238E27FC236}">
              <a16:creationId xmlns:a16="http://schemas.microsoft.com/office/drawing/2014/main" id="{1DBF2E07-A5F4-46EE-979A-93A0CA860DE4}"/>
            </a:ext>
          </a:extLst>
        </xdr:cNvPr>
        <xdr:cNvSpPr txBox="1"/>
      </xdr:nvSpPr>
      <xdr:spPr>
        <a:xfrm>
          <a:off x="12992372" y="6605353"/>
          <a:ext cx="4532861" cy="1278624"/>
        </a:xfrm>
        <a:prstGeom prst="rect">
          <a:avLst/>
        </a:prstGeom>
        <a:solidFill>
          <a:schemeClr val="bg1"/>
        </a:solid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700"/>
            </a:lnSpc>
          </a:pPr>
          <a:r>
            <a:rPr kumimoji="1" lang="en-US" altLang="ja-JP" sz="1600" b="1">
              <a:solidFill>
                <a:schemeClr val="tx1"/>
              </a:solidFill>
            </a:rPr>
            <a:t>【</a:t>
          </a:r>
          <a:r>
            <a:rPr kumimoji="1" lang="ja-JP" altLang="en-US" sz="1600" b="1">
              <a:solidFill>
                <a:schemeClr val="tx1"/>
              </a:solidFill>
            </a:rPr>
            <a:t>施設利用時間の規則</a:t>
          </a:r>
          <a:r>
            <a:rPr kumimoji="1" lang="en-US" altLang="ja-JP" sz="1600" b="1">
              <a:solidFill>
                <a:schemeClr val="tx1"/>
              </a:solidFill>
            </a:rPr>
            <a:t>】</a:t>
          </a:r>
        </a:p>
        <a:p>
          <a:pPr algn="l">
            <a:lnSpc>
              <a:spcPts val="1700"/>
            </a:lnSpc>
          </a:pPr>
          <a:r>
            <a:rPr kumimoji="1" lang="ja-JP" altLang="en-US" sz="1400" b="1">
              <a:solidFill>
                <a:schemeClr val="tx1"/>
              </a:solidFill>
            </a:rPr>
            <a:t>宿泊利用　　・午前</a:t>
          </a:r>
          <a:r>
            <a:rPr kumimoji="1" lang="en-US" altLang="ja-JP" sz="1400" b="1">
              <a:solidFill>
                <a:schemeClr val="tx1"/>
              </a:solidFill>
            </a:rPr>
            <a:t>10:00</a:t>
          </a:r>
          <a:r>
            <a:rPr kumimoji="1" lang="ja-JP" altLang="en-US" sz="1400" b="1">
              <a:solidFill>
                <a:schemeClr val="tx1"/>
              </a:solidFill>
            </a:rPr>
            <a:t>～（翌）午前</a:t>
          </a:r>
          <a:r>
            <a:rPr kumimoji="1" lang="en-US" altLang="ja-JP" sz="1400" b="1">
              <a:solidFill>
                <a:schemeClr val="tx1"/>
              </a:solidFill>
            </a:rPr>
            <a:t>10:00</a:t>
          </a:r>
          <a:r>
            <a:rPr kumimoji="1" lang="ja-JP" altLang="en-US" sz="1400" b="1">
              <a:solidFill>
                <a:schemeClr val="tx1"/>
              </a:solidFill>
            </a:rPr>
            <a:t>まで</a:t>
          </a:r>
          <a:endParaRPr kumimoji="1" lang="en-US" altLang="ja-JP" sz="1400" b="1">
            <a:solidFill>
              <a:schemeClr val="tx1"/>
            </a:solidFill>
          </a:endParaRPr>
        </a:p>
        <a:p>
          <a:pPr algn="l">
            <a:lnSpc>
              <a:spcPts val="1700"/>
            </a:lnSpc>
          </a:pPr>
          <a:r>
            <a:rPr kumimoji="1" lang="ja-JP" altLang="ja-JP" sz="1400" b="1">
              <a:solidFill>
                <a:schemeClr val="dk1"/>
              </a:solidFill>
              <a:effectLst/>
              <a:latin typeface="+mn-lt"/>
              <a:ea typeface="+mn-ea"/>
              <a:cs typeface="+mn-cs"/>
            </a:rPr>
            <a:t>　・午前</a:t>
          </a:r>
          <a:r>
            <a:rPr kumimoji="1" lang="en-US" altLang="ja-JP" sz="1400" b="1">
              <a:solidFill>
                <a:schemeClr val="dk1"/>
              </a:solidFill>
              <a:effectLst/>
              <a:latin typeface="+mn-lt"/>
              <a:ea typeface="+mn-ea"/>
              <a:cs typeface="+mn-cs"/>
            </a:rPr>
            <a:t>13:00</a:t>
          </a:r>
          <a:r>
            <a:rPr kumimoji="1" lang="ja-JP" altLang="ja-JP" sz="1400" b="1">
              <a:solidFill>
                <a:schemeClr val="dk1"/>
              </a:solidFill>
              <a:effectLst/>
              <a:latin typeface="+mn-lt"/>
              <a:ea typeface="+mn-ea"/>
              <a:cs typeface="+mn-cs"/>
            </a:rPr>
            <a:t>～（翌）午前</a:t>
          </a:r>
          <a:r>
            <a:rPr kumimoji="1" lang="en-US" altLang="ja-JP" sz="1400" b="1">
              <a:solidFill>
                <a:schemeClr val="dk1"/>
              </a:solidFill>
              <a:effectLst/>
              <a:latin typeface="+mn-lt"/>
              <a:ea typeface="+mn-ea"/>
              <a:cs typeface="+mn-cs"/>
            </a:rPr>
            <a:t>13:00</a:t>
          </a:r>
          <a:endParaRPr kumimoji="1" lang="en-US" altLang="ja-JP" sz="1400" b="1">
            <a:solidFill>
              <a:schemeClr val="tx1"/>
            </a:solidFill>
          </a:endParaRPr>
        </a:p>
        <a:p>
          <a:pPr algn="l">
            <a:lnSpc>
              <a:spcPts val="1700"/>
            </a:lnSpc>
          </a:pPr>
          <a:r>
            <a:rPr kumimoji="1" lang="ja-JP" altLang="en-US" sz="1400" b="1">
              <a:solidFill>
                <a:schemeClr val="tx1"/>
              </a:solidFill>
            </a:rPr>
            <a:t>日帰り利用　　・午前</a:t>
          </a:r>
          <a:r>
            <a:rPr kumimoji="1" lang="en-US" altLang="ja-JP" sz="1400" b="1">
              <a:solidFill>
                <a:schemeClr val="tx1"/>
              </a:solidFill>
            </a:rPr>
            <a:t>9:00</a:t>
          </a:r>
          <a:r>
            <a:rPr kumimoji="1" lang="ja-JP" altLang="en-US" sz="1400" b="1">
              <a:solidFill>
                <a:schemeClr val="tx1"/>
              </a:solidFill>
            </a:rPr>
            <a:t>～午後</a:t>
          </a:r>
          <a:r>
            <a:rPr kumimoji="1" lang="en-US" altLang="ja-JP" sz="1400" b="1">
              <a:solidFill>
                <a:schemeClr val="tx1"/>
              </a:solidFill>
            </a:rPr>
            <a:t>5:00</a:t>
          </a:r>
          <a:r>
            <a:rPr kumimoji="1" lang="ja-JP" altLang="en-US" sz="1400" b="1">
              <a:solidFill>
                <a:schemeClr val="tx1"/>
              </a:solidFill>
            </a:rPr>
            <a:t>まで</a:t>
          </a:r>
          <a:endParaRPr kumimoji="1" lang="en-US" altLang="ja-JP" sz="1400" b="1">
            <a:solidFill>
              <a:schemeClr val="tx1"/>
            </a:solidFill>
          </a:endParaRPr>
        </a:p>
        <a:p>
          <a:pPr algn="l">
            <a:lnSpc>
              <a:spcPts val="1700"/>
            </a:lnSpc>
          </a:pPr>
          <a:r>
            <a:rPr kumimoji="1" lang="ja-JP" altLang="en-US" sz="1400" b="1">
              <a:solidFill>
                <a:schemeClr val="tx1"/>
              </a:solidFill>
            </a:rPr>
            <a:t>時間を超える場合は、日帰りや宿泊料金を追加。</a:t>
          </a:r>
        </a:p>
      </xdr:txBody>
    </xdr:sp>
    <xdr:clientData/>
  </xdr:twoCellAnchor>
  <xdr:twoCellAnchor>
    <xdr:from>
      <xdr:col>26</xdr:col>
      <xdr:colOff>99951</xdr:colOff>
      <xdr:row>72</xdr:row>
      <xdr:rowOff>119743</xdr:rowOff>
    </xdr:from>
    <xdr:to>
      <xdr:col>31</xdr:col>
      <xdr:colOff>671451</xdr:colOff>
      <xdr:row>79</xdr:row>
      <xdr:rowOff>174171</xdr:rowOff>
    </xdr:to>
    <xdr:sp macro="" textlink="">
      <xdr:nvSpPr>
        <xdr:cNvPr id="7" name="テキスト ボックス 6">
          <a:extLst>
            <a:ext uri="{FF2B5EF4-FFF2-40B4-BE49-F238E27FC236}">
              <a16:creationId xmlns:a16="http://schemas.microsoft.com/office/drawing/2014/main" id="{ACF5F66B-6BB8-400A-A225-421010573513}"/>
            </a:ext>
          </a:extLst>
        </xdr:cNvPr>
        <xdr:cNvSpPr txBox="1"/>
      </xdr:nvSpPr>
      <xdr:spPr>
        <a:xfrm>
          <a:off x="16580922" y="15435943"/>
          <a:ext cx="4000500" cy="1502228"/>
        </a:xfrm>
        <a:prstGeom prst="rect">
          <a:avLst/>
        </a:prstGeom>
        <a:solidFill>
          <a:schemeClr val="bg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800" b="1">
              <a:solidFill>
                <a:schemeClr val="tx1"/>
              </a:solidFill>
            </a:rPr>
            <a:t>森口ゲートの閉門時間　</a:t>
          </a:r>
          <a:r>
            <a:rPr kumimoji="1" lang="en-US" altLang="ja-JP" sz="1800" b="1">
              <a:solidFill>
                <a:schemeClr val="tx1"/>
              </a:solidFill>
            </a:rPr>
            <a:t>21</a:t>
          </a:r>
          <a:r>
            <a:rPr kumimoji="1" lang="ja-JP" altLang="en-US" sz="1800" b="1">
              <a:solidFill>
                <a:schemeClr val="tx1"/>
              </a:solidFill>
            </a:rPr>
            <a:t>：</a:t>
          </a:r>
          <a:r>
            <a:rPr kumimoji="1" lang="en-US" altLang="ja-JP" sz="1800" b="1">
              <a:solidFill>
                <a:schemeClr val="tx1"/>
              </a:solidFill>
            </a:rPr>
            <a:t>00</a:t>
          </a:r>
          <a:r>
            <a:rPr kumimoji="1" lang="ja-JP" altLang="en-US" sz="1800" b="1">
              <a:solidFill>
                <a:schemeClr val="tx1"/>
              </a:solidFill>
            </a:rPr>
            <a:t>～</a:t>
          </a:r>
          <a:r>
            <a:rPr kumimoji="1" lang="en-US" altLang="ja-JP" sz="1800" b="1">
              <a:solidFill>
                <a:schemeClr val="tx1"/>
              </a:solidFill>
            </a:rPr>
            <a:t>7</a:t>
          </a:r>
          <a:r>
            <a:rPr kumimoji="1" lang="ja-JP" altLang="en-US" sz="1800" b="1">
              <a:solidFill>
                <a:schemeClr val="tx1"/>
              </a:solidFill>
            </a:rPr>
            <a:t>：</a:t>
          </a:r>
          <a:r>
            <a:rPr kumimoji="1" lang="en-US" altLang="ja-JP" sz="1800" b="1">
              <a:solidFill>
                <a:schemeClr val="tx1"/>
              </a:solidFill>
            </a:rPr>
            <a:t>00</a:t>
          </a:r>
        </a:p>
        <a:p>
          <a:pPr algn="l">
            <a:lnSpc>
              <a:spcPts val="1700"/>
            </a:lnSpc>
          </a:pPr>
          <a:r>
            <a:rPr kumimoji="1" lang="ja-JP" altLang="en-US" sz="1600" b="1">
              <a:solidFill>
                <a:schemeClr val="tx1"/>
              </a:solidFill>
            </a:rPr>
            <a:t>利用者の安全確保のため、電気柵をし完全施錠しております。</a:t>
          </a:r>
          <a:endParaRPr kumimoji="1" lang="en-US" altLang="ja-JP" sz="1600" b="1">
            <a:solidFill>
              <a:schemeClr val="tx1"/>
            </a:solidFill>
          </a:endParaRPr>
        </a:p>
        <a:p>
          <a:pPr algn="l">
            <a:lnSpc>
              <a:spcPts val="1700"/>
            </a:lnSpc>
          </a:pPr>
          <a:r>
            <a:rPr kumimoji="1" lang="ja-JP" altLang="en-US" sz="1600" b="1">
              <a:solidFill>
                <a:schemeClr val="tx1"/>
              </a:solidFill>
            </a:rPr>
            <a:t>上記の時間は、車両や人の出入りはできません。</a:t>
          </a:r>
          <a:r>
            <a:rPr kumimoji="1" lang="en-US" altLang="ja-JP" sz="1600" b="1">
              <a:solidFill>
                <a:schemeClr val="tx1"/>
              </a:solidFill>
            </a:rPr>
            <a:t>※</a:t>
          </a:r>
          <a:r>
            <a:rPr kumimoji="1" lang="ja-JP" altLang="en-US" sz="1600" b="1">
              <a:solidFill>
                <a:schemeClr val="tx1"/>
              </a:solidFill>
            </a:rPr>
            <a:t>緊急時を除く。</a:t>
          </a:r>
        </a:p>
      </xdr:txBody>
    </xdr:sp>
    <xdr:clientData/>
  </xdr:twoCellAnchor>
  <xdr:twoCellAnchor>
    <xdr:from>
      <xdr:col>28</xdr:col>
      <xdr:colOff>683079</xdr:colOff>
      <xdr:row>84</xdr:row>
      <xdr:rowOff>54429</xdr:rowOff>
    </xdr:from>
    <xdr:to>
      <xdr:col>31</xdr:col>
      <xdr:colOff>566058</xdr:colOff>
      <xdr:row>87</xdr:row>
      <xdr:rowOff>108858</xdr:rowOff>
    </xdr:to>
    <xdr:sp macro="" textlink="">
      <xdr:nvSpPr>
        <xdr:cNvPr id="8" name="テキスト ボックス 7">
          <a:extLst>
            <a:ext uri="{FF2B5EF4-FFF2-40B4-BE49-F238E27FC236}">
              <a16:creationId xmlns:a16="http://schemas.microsoft.com/office/drawing/2014/main" id="{27F48D1F-04C9-404F-BDC5-7BF34ADE70BB}"/>
            </a:ext>
          </a:extLst>
        </xdr:cNvPr>
        <xdr:cNvSpPr txBox="1"/>
      </xdr:nvSpPr>
      <xdr:spPr>
        <a:xfrm>
          <a:off x="18535650" y="17852572"/>
          <a:ext cx="1940379" cy="674915"/>
        </a:xfrm>
        <a:prstGeom prst="rect">
          <a:avLst/>
        </a:prstGeom>
        <a:solidFill>
          <a:schemeClr val="bg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400" b="1">
              <a:solidFill>
                <a:schemeClr val="tx1"/>
              </a:solidFill>
            </a:rPr>
            <a:t>玄関施錠　</a:t>
          </a:r>
          <a:r>
            <a:rPr kumimoji="1" lang="en-US" altLang="ja-JP" sz="1400" b="1">
              <a:solidFill>
                <a:schemeClr val="tx1"/>
              </a:solidFill>
            </a:rPr>
            <a:t>22</a:t>
          </a:r>
          <a:r>
            <a:rPr kumimoji="1" lang="ja-JP" altLang="en-US" sz="1400" b="1">
              <a:solidFill>
                <a:schemeClr val="tx1"/>
              </a:solidFill>
            </a:rPr>
            <a:t>：</a:t>
          </a:r>
          <a:r>
            <a:rPr kumimoji="1" lang="en-US" altLang="ja-JP" sz="1400" b="1">
              <a:solidFill>
                <a:schemeClr val="tx1"/>
              </a:solidFill>
            </a:rPr>
            <a:t>00</a:t>
          </a:r>
          <a:endParaRPr kumimoji="1" lang="ja-JP" altLang="en-US" sz="1200" b="1">
            <a:solidFill>
              <a:schemeClr val="tx1"/>
            </a:solidFill>
          </a:endParaRPr>
        </a:p>
      </xdr:txBody>
    </xdr:sp>
    <xdr:clientData/>
  </xdr:twoCellAnchor>
  <xdr:twoCellAnchor>
    <xdr:from>
      <xdr:col>28</xdr:col>
      <xdr:colOff>557893</xdr:colOff>
      <xdr:row>20</xdr:row>
      <xdr:rowOff>81643</xdr:rowOff>
    </xdr:from>
    <xdr:to>
      <xdr:col>31</xdr:col>
      <xdr:colOff>557645</xdr:colOff>
      <xdr:row>23</xdr:row>
      <xdr:rowOff>136071</xdr:rowOff>
    </xdr:to>
    <xdr:sp macro="" textlink="">
      <xdr:nvSpPr>
        <xdr:cNvPr id="9" name="テキスト ボックス 8">
          <a:extLst>
            <a:ext uri="{FF2B5EF4-FFF2-40B4-BE49-F238E27FC236}">
              <a16:creationId xmlns:a16="http://schemas.microsoft.com/office/drawing/2014/main" id="{8A76BF21-24E3-46F7-92F2-9A4B04364C2B}"/>
            </a:ext>
          </a:extLst>
        </xdr:cNvPr>
        <xdr:cNvSpPr txBox="1"/>
      </xdr:nvSpPr>
      <xdr:spPr>
        <a:xfrm>
          <a:off x="20369893" y="4672693"/>
          <a:ext cx="2285752" cy="683078"/>
        </a:xfrm>
        <a:prstGeom prst="rect">
          <a:avLst/>
        </a:prstGeom>
        <a:solidFill>
          <a:schemeClr val="bg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endParaRPr kumimoji="1" lang="en-US" altLang="ja-JP" sz="1800" b="1">
            <a:solidFill>
              <a:schemeClr val="tx1"/>
            </a:solidFill>
          </a:endParaRPr>
        </a:p>
        <a:p>
          <a:pPr algn="ctr">
            <a:lnSpc>
              <a:spcPts val="1700"/>
            </a:lnSpc>
          </a:pPr>
          <a:r>
            <a:rPr kumimoji="1" lang="ja-JP" altLang="en-US" sz="1400" b="1">
              <a:solidFill>
                <a:schemeClr val="tx1"/>
              </a:solidFill>
            </a:rPr>
            <a:t>玄関開錠　</a:t>
          </a:r>
          <a:r>
            <a:rPr kumimoji="1" lang="en-US" altLang="ja-JP" sz="1400" b="1">
              <a:solidFill>
                <a:schemeClr val="tx1"/>
              </a:solidFill>
            </a:rPr>
            <a:t>6</a:t>
          </a:r>
          <a:r>
            <a:rPr kumimoji="1" lang="ja-JP" altLang="en-US" sz="1400" b="1">
              <a:solidFill>
                <a:schemeClr val="tx1"/>
              </a:solidFill>
            </a:rPr>
            <a:t>：</a:t>
          </a:r>
          <a:r>
            <a:rPr kumimoji="1" lang="en-US" altLang="ja-JP" sz="1400" b="1">
              <a:solidFill>
                <a:schemeClr val="tx1"/>
              </a:solidFill>
            </a:rPr>
            <a:t>00</a:t>
          </a:r>
          <a:endParaRPr kumimoji="1" lang="ja-JP" altLang="en-US" sz="1200" b="1">
            <a:solidFill>
              <a:schemeClr val="tx1"/>
            </a:solidFill>
          </a:endParaRPr>
        </a:p>
      </xdr:txBody>
    </xdr:sp>
    <xdr:clientData/>
  </xdr:twoCellAnchor>
  <xdr:twoCellAnchor>
    <xdr:from>
      <xdr:col>26</xdr:col>
      <xdr:colOff>190500</xdr:colOff>
      <xdr:row>64</xdr:row>
      <xdr:rowOff>149678</xdr:rowOff>
    </xdr:from>
    <xdr:to>
      <xdr:col>31</xdr:col>
      <xdr:colOff>693963</xdr:colOff>
      <xdr:row>68</xdr:row>
      <xdr:rowOff>95250</xdr:rowOff>
    </xdr:to>
    <xdr:sp macro="" textlink="">
      <xdr:nvSpPr>
        <xdr:cNvPr id="10" name="テキスト ボックス 9">
          <a:extLst>
            <a:ext uri="{FF2B5EF4-FFF2-40B4-BE49-F238E27FC236}">
              <a16:creationId xmlns:a16="http://schemas.microsoft.com/office/drawing/2014/main" id="{595A073D-32C8-46F9-BC83-1C360B46584C}"/>
            </a:ext>
          </a:extLst>
        </xdr:cNvPr>
        <xdr:cNvSpPr txBox="1"/>
      </xdr:nvSpPr>
      <xdr:spPr>
        <a:xfrm>
          <a:off x="18478500" y="13960928"/>
          <a:ext cx="4313463" cy="783772"/>
        </a:xfrm>
        <a:prstGeom prst="rect">
          <a:avLst/>
        </a:prstGeom>
        <a:solidFill>
          <a:schemeClr val="bg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700"/>
            </a:lnSpc>
          </a:pPr>
          <a:r>
            <a:rPr kumimoji="1" lang="ja-JP" altLang="en-US" sz="1400" b="1">
              <a:solidFill>
                <a:sysClr val="windowText" lastClr="000000"/>
              </a:solidFill>
            </a:rPr>
            <a:t>宿泊団体は、夜間打ち合わせを行います。</a:t>
          </a:r>
          <a:endParaRPr kumimoji="1" lang="en-US" altLang="ja-JP" sz="1400" b="1">
            <a:solidFill>
              <a:sysClr val="windowText" lastClr="000000"/>
            </a:solidFill>
          </a:endParaRPr>
        </a:p>
        <a:p>
          <a:pPr algn="l">
            <a:lnSpc>
              <a:spcPts val="1700"/>
            </a:lnSpc>
          </a:pPr>
          <a:r>
            <a:rPr kumimoji="1" lang="ja-JP" altLang="en-US" sz="1400" b="1">
              <a:solidFill>
                <a:sysClr val="windowText" lastClr="000000"/>
              </a:solidFill>
            </a:rPr>
            <a:t>代表者の方は、</a:t>
          </a:r>
          <a:r>
            <a:rPr kumimoji="1" lang="en-US" altLang="ja-JP" sz="1600" b="1">
              <a:solidFill>
                <a:sysClr val="windowText" lastClr="000000"/>
              </a:solidFill>
            </a:rPr>
            <a:t>17</a:t>
          </a:r>
          <a:r>
            <a:rPr kumimoji="1" lang="ja-JP" altLang="en-US" sz="1600" b="1">
              <a:solidFill>
                <a:sysClr val="windowText" lastClr="000000"/>
              </a:solidFill>
            </a:rPr>
            <a:t>：</a:t>
          </a:r>
          <a:r>
            <a:rPr kumimoji="1" lang="en-US" altLang="ja-JP" sz="1600" b="1">
              <a:solidFill>
                <a:sysClr val="windowText" lastClr="000000"/>
              </a:solidFill>
            </a:rPr>
            <a:t>00</a:t>
          </a:r>
          <a:r>
            <a:rPr kumimoji="1" lang="ja-JP" altLang="en-US" sz="1600" b="1">
              <a:solidFill>
                <a:sysClr val="windowText" lastClr="000000"/>
              </a:solidFill>
            </a:rPr>
            <a:t>～</a:t>
          </a:r>
          <a:r>
            <a:rPr kumimoji="1" lang="en-US" altLang="ja-JP" sz="1600" b="1">
              <a:solidFill>
                <a:sysClr val="windowText" lastClr="000000"/>
              </a:solidFill>
            </a:rPr>
            <a:t>18</a:t>
          </a:r>
          <a:r>
            <a:rPr kumimoji="1" lang="ja-JP" altLang="en-US" sz="1600" b="1">
              <a:solidFill>
                <a:sysClr val="windowText" lastClr="000000"/>
              </a:solidFill>
            </a:rPr>
            <a:t>：</a:t>
          </a:r>
          <a:r>
            <a:rPr kumimoji="1" lang="en-US" altLang="ja-JP" sz="1600" b="1">
              <a:solidFill>
                <a:sysClr val="windowText" lastClr="000000"/>
              </a:solidFill>
            </a:rPr>
            <a:t>00</a:t>
          </a:r>
          <a:r>
            <a:rPr kumimoji="1" lang="ja-JP" altLang="en-US" sz="1600" b="1">
              <a:solidFill>
                <a:sysClr val="windowText" lastClr="000000"/>
              </a:solidFill>
            </a:rPr>
            <a:t>事務室まで</a:t>
          </a:r>
          <a:endParaRPr kumimoji="1" lang="en-US" altLang="ja-JP" sz="1600" b="1">
            <a:solidFill>
              <a:sysClr val="windowText" lastClr="000000"/>
            </a:solidFill>
          </a:endParaRPr>
        </a:p>
        <a:p>
          <a:pPr algn="l">
            <a:lnSpc>
              <a:spcPts val="1700"/>
            </a:lnSpc>
          </a:pPr>
          <a:r>
            <a:rPr kumimoji="1" lang="ja-JP" altLang="en-US" sz="1600" b="1">
              <a:solidFill>
                <a:sysClr val="windowText" lastClr="000000"/>
              </a:solidFill>
            </a:rPr>
            <a:t>お越しください。</a:t>
          </a:r>
          <a:endParaRPr kumimoji="1" lang="ja-JP" altLang="en-US" sz="1400" b="1">
            <a:solidFill>
              <a:sysClr val="windowText" lastClr="000000"/>
            </a:solidFill>
          </a:endParaRPr>
        </a:p>
      </xdr:txBody>
    </xdr:sp>
    <xdr:clientData/>
  </xdr:twoCellAnchor>
  <xdr:twoCellAnchor>
    <xdr:from>
      <xdr:col>17</xdr:col>
      <xdr:colOff>228600</xdr:colOff>
      <xdr:row>1</xdr:row>
      <xdr:rowOff>295273</xdr:rowOff>
    </xdr:from>
    <xdr:to>
      <xdr:col>32</xdr:col>
      <xdr:colOff>366713</xdr:colOff>
      <xdr:row>7</xdr:row>
      <xdr:rowOff>0</xdr:rowOff>
    </xdr:to>
    <xdr:sp macro="" textlink="">
      <xdr:nvSpPr>
        <xdr:cNvPr id="11" name="テキスト ボックス 10">
          <a:extLst>
            <a:ext uri="{FF2B5EF4-FFF2-40B4-BE49-F238E27FC236}">
              <a16:creationId xmlns:a16="http://schemas.microsoft.com/office/drawing/2014/main" id="{83C5FAF6-AB4F-3F00-C90A-19CE267F8B8B}"/>
            </a:ext>
          </a:extLst>
        </xdr:cNvPr>
        <xdr:cNvSpPr txBox="1"/>
      </xdr:nvSpPr>
      <xdr:spPr>
        <a:xfrm>
          <a:off x="12039600" y="485773"/>
          <a:ext cx="11187113" cy="1571627"/>
        </a:xfrm>
        <a:prstGeom prst="rect">
          <a:avLst/>
        </a:prstGeom>
        <a:solidFill>
          <a:schemeClr val="bg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700"/>
            </a:lnSpc>
          </a:pPr>
          <a:endParaRPr kumimoji="1" lang="en-US" altLang="ja-JP" sz="2800" b="1">
            <a:solidFill>
              <a:schemeClr val="bg1"/>
            </a:solidFill>
          </a:endParaRPr>
        </a:p>
        <a:p>
          <a:pPr algn="l">
            <a:lnSpc>
              <a:spcPts val="1700"/>
            </a:lnSpc>
          </a:pPr>
          <a:r>
            <a:rPr kumimoji="1" lang="en-US" altLang="ja-JP" sz="2800" b="1">
              <a:solidFill>
                <a:schemeClr val="bg1"/>
              </a:solidFill>
            </a:rPr>
            <a:t>k</a:t>
          </a:r>
          <a:r>
            <a:rPr kumimoji="1" lang="ja-JP" altLang="en-US" sz="2800" b="1">
              <a:solidFill>
                <a:srgbClr val="FF0000"/>
              </a:solidFill>
            </a:rPr>
            <a:t>記載例、隣のページには、コピーして貼り付けられる枠があります。</a:t>
          </a:r>
          <a:endParaRPr kumimoji="1" lang="en-US" altLang="ja-JP" sz="2800" b="1">
            <a:solidFill>
              <a:srgbClr val="FF0000"/>
            </a:solidFill>
          </a:endParaRPr>
        </a:p>
        <a:p>
          <a:pPr algn="l">
            <a:lnSpc>
              <a:spcPts val="1700"/>
            </a:lnSpc>
          </a:pPr>
          <a:endParaRPr kumimoji="1" lang="en-US" altLang="ja-JP" sz="2800" b="1">
            <a:solidFill>
              <a:srgbClr val="FF0000"/>
            </a:solidFill>
          </a:endParaRPr>
        </a:p>
        <a:p>
          <a:pPr algn="l">
            <a:lnSpc>
              <a:spcPts val="1700"/>
            </a:lnSpc>
          </a:pPr>
          <a:r>
            <a:rPr kumimoji="1" lang="ja-JP" altLang="en-US" sz="2800" b="1">
              <a:solidFill>
                <a:srgbClr val="FF0000"/>
              </a:solidFill>
            </a:rPr>
            <a:t>時間と人数の目安をご参考ください。</a:t>
          </a:r>
          <a:endParaRPr kumimoji="1" lang="ja-JP" altLang="en-US" sz="2800" b="1">
            <a:solidFill>
              <a:schemeClr val="bg1"/>
            </a:solidFill>
          </a:endParaRPr>
        </a:p>
      </xdr:txBody>
    </xdr:sp>
    <xdr:clientData/>
  </xdr:twoCellAnchor>
  <xdr:twoCellAnchor>
    <xdr:from>
      <xdr:col>36</xdr:col>
      <xdr:colOff>173182</xdr:colOff>
      <xdr:row>15</xdr:row>
      <xdr:rowOff>866</xdr:rowOff>
    </xdr:from>
    <xdr:to>
      <xdr:col>49</xdr:col>
      <xdr:colOff>798801</xdr:colOff>
      <xdr:row>20</xdr:row>
      <xdr:rowOff>94384</xdr:rowOff>
    </xdr:to>
    <xdr:sp macro="" textlink="">
      <xdr:nvSpPr>
        <xdr:cNvPr id="5" name="テキスト ボックス 4">
          <a:extLst>
            <a:ext uri="{FF2B5EF4-FFF2-40B4-BE49-F238E27FC236}">
              <a16:creationId xmlns:a16="http://schemas.microsoft.com/office/drawing/2014/main" id="{B79CECBB-9043-1E21-E1B6-D3D61417F518}"/>
            </a:ext>
          </a:extLst>
        </xdr:cNvPr>
        <xdr:cNvSpPr txBox="1"/>
      </xdr:nvSpPr>
      <xdr:spPr>
        <a:xfrm>
          <a:off x="26366932" y="3525116"/>
          <a:ext cx="11460307" cy="1212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4800" b="1" cap="none" spc="0">
              <a:ln w="22225">
                <a:solidFill>
                  <a:schemeClr val="accent2"/>
                </a:solidFill>
                <a:prstDash val="solid"/>
              </a:ln>
              <a:solidFill>
                <a:schemeClr val="accent2">
                  <a:lumMod val="40000"/>
                  <a:lumOff val="60000"/>
                </a:schemeClr>
              </a:solidFill>
              <a:effectLst/>
            </a:rPr>
            <a:t>野外炊事</a:t>
          </a:r>
          <a:r>
            <a:rPr kumimoji="1" lang="ja-JP" altLang="en-US" sz="3200" b="1" cap="none" spc="0">
              <a:ln w="22225">
                <a:solidFill>
                  <a:schemeClr val="accent2"/>
                </a:solidFill>
                <a:prstDash val="solid"/>
              </a:ln>
              <a:solidFill>
                <a:schemeClr val="accent2">
                  <a:lumMod val="40000"/>
                  <a:lumOff val="60000"/>
                </a:schemeClr>
              </a:solidFill>
              <a:effectLst/>
            </a:rPr>
            <a:t>（コピーして使ってください）</a:t>
          </a:r>
          <a:endParaRPr kumimoji="1" lang="ja-JP" altLang="en-US" sz="60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34</xdr:col>
      <xdr:colOff>144261</xdr:colOff>
      <xdr:row>19</xdr:row>
      <xdr:rowOff>76199</xdr:rowOff>
    </xdr:from>
    <xdr:to>
      <xdr:col>48</xdr:col>
      <xdr:colOff>688917</xdr:colOff>
      <xdr:row>89</xdr:row>
      <xdr:rowOff>21771</xdr:rowOff>
    </xdr:to>
    <xdr:sp macro="" textlink="">
      <xdr:nvSpPr>
        <xdr:cNvPr id="12" name="四角形: 角を丸くする 11">
          <a:extLst>
            <a:ext uri="{FF2B5EF4-FFF2-40B4-BE49-F238E27FC236}">
              <a16:creationId xmlns:a16="http://schemas.microsoft.com/office/drawing/2014/main" id="{7A5627D9-C9F2-0AD9-DB64-822ECB347A00}"/>
            </a:ext>
          </a:extLst>
        </xdr:cNvPr>
        <xdr:cNvSpPr/>
      </xdr:nvSpPr>
      <xdr:spPr>
        <a:xfrm>
          <a:off x="24680661" y="4604656"/>
          <a:ext cx="12279456" cy="15163801"/>
        </a:xfrm>
        <a:prstGeom prst="roundRect">
          <a:avLst/>
        </a:prstGeom>
        <a:noFill/>
        <a:ln w="1016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114300</xdr:colOff>
      <xdr:row>1</xdr:row>
      <xdr:rowOff>465686</xdr:rowOff>
    </xdr:from>
    <xdr:to>
      <xdr:col>48</xdr:col>
      <xdr:colOff>557991</xdr:colOff>
      <xdr:row>15</xdr:row>
      <xdr:rowOff>21128</xdr:rowOff>
    </xdr:to>
    <xdr:sp macro="" textlink="">
      <xdr:nvSpPr>
        <xdr:cNvPr id="13" name="四角形: 角を丸くする 12">
          <a:extLst>
            <a:ext uri="{FF2B5EF4-FFF2-40B4-BE49-F238E27FC236}">
              <a16:creationId xmlns:a16="http://schemas.microsoft.com/office/drawing/2014/main" id="{371C2D6B-58A3-4602-9D1F-058D004B999C}"/>
            </a:ext>
          </a:extLst>
        </xdr:cNvPr>
        <xdr:cNvSpPr/>
      </xdr:nvSpPr>
      <xdr:spPr>
        <a:xfrm>
          <a:off x="24650700" y="656186"/>
          <a:ext cx="12178491" cy="2889192"/>
        </a:xfrm>
        <a:prstGeom prst="roundRect">
          <a:avLst/>
        </a:prstGeom>
        <a:noFill/>
        <a:ln w="1016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95251</xdr:colOff>
      <xdr:row>0</xdr:row>
      <xdr:rowOff>0</xdr:rowOff>
    </xdr:from>
    <xdr:to>
      <xdr:col>49</xdr:col>
      <xdr:colOff>720870</xdr:colOff>
      <xdr:row>2</xdr:row>
      <xdr:rowOff>142874</xdr:rowOff>
    </xdr:to>
    <xdr:sp macro="" textlink="">
      <xdr:nvSpPr>
        <xdr:cNvPr id="14" name="テキスト ボックス 13">
          <a:extLst>
            <a:ext uri="{FF2B5EF4-FFF2-40B4-BE49-F238E27FC236}">
              <a16:creationId xmlns:a16="http://schemas.microsoft.com/office/drawing/2014/main" id="{DF87EB44-DBA2-40D0-B52D-89551188E90E}"/>
            </a:ext>
          </a:extLst>
        </xdr:cNvPr>
        <xdr:cNvSpPr txBox="1"/>
      </xdr:nvSpPr>
      <xdr:spPr>
        <a:xfrm>
          <a:off x="26289001" y="0"/>
          <a:ext cx="11460307" cy="928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4000" b="0" cap="none" spc="0">
              <a:ln w="0"/>
              <a:solidFill>
                <a:schemeClr val="accent1"/>
              </a:solidFill>
              <a:effectLst>
                <a:outerShdw blurRad="38100" dist="25400" dir="5400000" algn="ctr" rotWithShape="0">
                  <a:srgbClr val="6E747A">
                    <a:alpha val="43000"/>
                  </a:srgbClr>
                </a:outerShdw>
              </a:effectLst>
            </a:rPr>
            <a:t>入館、退館時など</a:t>
          </a:r>
          <a:r>
            <a:rPr kumimoji="1" lang="ja-JP" altLang="en-US" sz="2400" b="0" cap="none" spc="0">
              <a:ln w="0"/>
              <a:solidFill>
                <a:schemeClr val="accent1"/>
              </a:solidFill>
              <a:effectLst>
                <a:outerShdw blurRad="38100" dist="25400" dir="5400000" algn="ctr" rotWithShape="0">
                  <a:srgbClr val="6E747A">
                    <a:alpha val="43000"/>
                  </a:srgbClr>
                </a:outerShdw>
              </a:effectLst>
            </a:rPr>
            <a:t>（コピーして使ってください</a:t>
          </a:r>
          <a:r>
            <a:rPr kumimoji="1" lang="ja-JP" altLang="en-US" sz="2400" b="1" cap="none" spc="0">
              <a:ln w="22225">
                <a:solidFill>
                  <a:schemeClr val="accent2"/>
                </a:solidFill>
                <a:prstDash val="solid"/>
              </a:ln>
              <a:solidFill>
                <a:schemeClr val="accent2">
                  <a:lumMod val="40000"/>
                  <a:lumOff val="60000"/>
                </a:schemeClr>
              </a:solidFill>
              <a:effectLst/>
            </a:rPr>
            <a:t>）</a:t>
          </a:r>
          <a:endParaRPr kumimoji="1" lang="ja-JP" altLang="en-US" sz="48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34</xdr:col>
      <xdr:colOff>221932</xdr:colOff>
      <xdr:row>103</xdr:row>
      <xdr:rowOff>41909</xdr:rowOff>
    </xdr:from>
    <xdr:to>
      <xdr:col>48</xdr:col>
      <xdr:colOff>558981</xdr:colOff>
      <xdr:row>137</xdr:row>
      <xdr:rowOff>185057</xdr:rowOff>
    </xdr:to>
    <xdr:sp macro="" textlink="">
      <xdr:nvSpPr>
        <xdr:cNvPr id="16" name="四角形: 角を丸くする 15">
          <a:extLst>
            <a:ext uri="{FF2B5EF4-FFF2-40B4-BE49-F238E27FC236}">
              <a16:creationId xmlns:a16="http://schemas.microsoft.com/office/drawing/2014/main" id="{8772E043-C292-4D89-AAFD-D5BAF22BA4BA}"/>
            </a:ext>
          </a:extLst>
        </xdr:cNvPr>
        <xdr:cNvSpPr/>
      </xdr:nvSpPr>
      <xdr:spPr>
        <a:xfrm>
          <a:off x="24758332" y="23130509"/>
          <a:ext cx="12071849" cy="7599862"/>
        </a:xfrm>
        <a:prstGeom prst="roundRect">
          <a:avLst/>
        </a:prstGeom>
        <a:noFill/>
        <a:ln w="101600">
          <a:solidFill>
            <a:srgbClr val="92D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214312</xdr:colOff>
      <xdr:row>93</xdr:row>
      <xdr:rowOff>142875</xdr:rowOff>
    </xdr:from>
    <xdr:to>
      <xdr:col>49</xdr:col>
      <xdr:colOff>6494</xdr:colOff>
      <xdr:row>100</xdr:row>
      <xdr:rowOff>117331</xdr:rowOff>
    </xdr:to>
    <xdr:sp macro="" textlink="">
      <xdr:nvSpPr>
        <xdr:cNvPr id="17" name="テキスト ボックス 16">
          <a:extLst>
            <a:ext uri="{FF2B5EF4-FFF2-40B4-BE49-F238E27FC236}">
              <a16:creationId xmlns:a16="http://schemas.microsoft.com/office/drawing/2014/main" id="{819A60D2-46E6-41B7-BBAF-54BB06510FBB}"/>
            </a:ext>
          </a:extLst>
        </xdr:cNvPr>
        <xdr:cNvSpPr txBox="1"/>
      </xdr:nvSpPr>
      <xdr:spPr>
        <a:xfrm>
          <a:off x="25574625" y="20812125"/>
          <a:ext cx="11460307" cy="1212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harsh" dir="t"/>
          </a:scene3d>
          <a:sp3d extrusionH="57150" prstMaterial="matte">
            <a:bevelT w="63500" h="12700" prst="angle"/>
            <a:contourClr>
              <a:schemeClr val="bg1">
                <a:lumMod val="65000"/>
              </a:schemeClr>
            </a:contourClr>
          </a:sp3d>
        </a:bodyPr>
        <a:lstStyle/>
        <a:p>
          <a:pPr algn="ctr">
            <a:lnSpc>
              <a:spcPts val="1700"/>
            </a:lnSpc>
          </a:pPr>
          <a:r>
            <a:rPr kumimoji="1" lang="ja-JP" altLang="en-US" sz="4800" b="1" cap="none" spc="0">
              <a:ln/>
              <a:solidFill>
                <a:schemeClr val="accent3"/>
              </a:solidFill>
              <a:effectLst/>
            </a:rPr>
            <a:t>ハイキング、入浴、食事など</a:t>
          </a:r>
          <a:endParaRPr kumimoji="1" lang="en-US" altLang="ja-JP" sz="4800" b="1" cap="none" spc="0">
            <a:ln/>
            <a:solidFill>
              <a:schemeClr val="accent3"/>
            </a:solidFill>
            <a:effectLst/>
          </a:endParaRPr>
        </a:p>
        <a:p>
          <a:pPr algn="ctr">
            <a:lnSpc>
              <a:spcPts val="1700"/>
            </a:lnSpc>
          </a:pPr>
          <a:endParaRPr kumimoji="1" lang="en-US" altLang="ja-JP" sz="4800" b="1" cap="none" spc="0">
            <a:ln/>
            <a:solidFill>
              <a:schemeClr val="accent3"/>
            </a:solidFill>
            <a:effectLst/>
          </a:endParaRPr>
        </a:p>
        <a:p>
          <a:pPr algn="ctr">
            <a:lnSpc>
              <a:spcPts val="1700"/>
            </a:lnSpc>
          </a:pPr>
          <a:r>
            <a:rPr kumimoji="1" lang="ja-JP" altLang="en-US" sz="3200" b="1" cap="none" spc="0">
              <a:ln/>
              <a:solidFill>
                <a:schemeClr val="accent3"/>
              </a:solidFill>
              <a:effectLst/>
            </a:rPr>
            <a:t>（コピーして使ってください）</a:t>
          </a:r>
          <a:endParaRPr kumimoji="1" lang="ja-JP" altLang="en-US" sz="6000" b="1" cap="none" spc="0">
            <a:ln/>
            <a:solidFill>
              <a:schemeClr val="accent3"/>
            </a:solidFill>
            <a:effectLst/>
          </a:endParaRPr>
        </a:p>
      </xdr:txBody>
    </xdr:sp>
    <xdr:clientData/>
  </xdr:twoCellAnchor>
  <xdr:twoCellAnchor>
    <xdr:from>
      <xdr:col>34</xdr:col>
      <xdr:colOff>247650</xdr:colOff>
      <xdr:row>144</xdr:row>
      <xdr:rowOff>71437</xdr:rowOff>
    </xdr:from>
    <xdr:to>
      <xdr:col>48</xdr:col>
      <xdr:colOff>801831</xdr:colOff>
      <xdr:row>168</xdr:row>
      <xdr:rowOff>23812</xdr:rowOff>
    </xdr:to>
    <xdr:sp macro="" textlink="">
      <xdr:nvSpPr>
        <xdr:cNvPr id="18" name="四角形: 角を丸くする 17">
          <a:extLst>
            <a:ext uri="{FF2B5EF4-FFF2-40B4-BE49-F238E27FC236}">
              <a16:creationId xmlns:a16="http://schemas.microsoft.com/office/drawing/2014/main" id="{6456ECBD-A311-49C4-8A5A-49EC8A4163C6}"/>
            </a:ext>
          </a:extLst>
        </xdr:cNvPr>
        <xdr:cNvSpPr/>
      </xdr:nvSpPr>
      <xdr:spPr>
        <a:xfrm>
          <a:off x="24774525" y="31551562"/>
          <a:ext cx="12222306" cy="5095875"/>
        </a:xfrm>
        <a:prstGeom prst="roundRect">
          <a:avLst/>
        </a:prstGeom>
        <a:noFill/>
        <a:ln w="101600">
          <a:solidFill>
            <a:schemeClr val="accent4"/>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cene3d>
            <a:camera prst="orthographicFront"/>
            <a:lightRig rig="soft" dir="t">
              <a:rot lat="0" lon="0" rev="15600000"/>
            </a:lightRig>
          </a:scene3d>
          <a:sp3d extrusionH="57150" prstMaterial="softEdge">
            <a:bevelT w="25400" h="38100"/>
          </a:sp3d>
        </a:bodyPr>
        <a:lstStyle/>
        <a:p>
          <a:pPr algn="l"/>
          <a:endParaRPr kumimoji="1" lang="ja-JP" altLang="en-US" sz="1100" b="1" cap="none" spc="0">
            <a:ln/>
            <a:solidFill>
              <a:schemeClr val="accent4"/>
            </a:solidFill>
            <a:effectLst/>
          </a:endParaRPr>
        </a:p>
      </xdr:txBody>
    </xdr:sp>
    <xdr:clientData/>
  </xdr:twoCellAnchor>
  <xdr:twoCellAnchor>
    <xdr:from>
      <xdr:col>35</xdr:col>
      <xdr:colOff>148589</xdr:colOff>
      <xdr:row>139</xdr:row>
      <xdr:rowOff>8979</xdr:rowOff>
    </xdr:from>
    <xdr:to>
      <xdr:col>48</xdr:col>
      <xdr:colOff>766589</xdr:colOff>
      <xdr:row>143</xdr:row>
      <xdr:rowOff>149542</xdr:rowOff>
    </xdr:to>
    <xdr:sp macro="" textlink="">
      <xdr:nvSpPr>
        <xdr:cNvPr id="19" name="テキスト ボックス 18">
          <a:extLst>
            <a:ext uri="{FF2B5EF4-FFF2-40B4-BE49-F238E27FC236}">
              <a16:creationId xmlns:a16="http://schemas.microsoft.com/office/drawing/2014/main" id="{028E5603-FFB9-4E19-BBE9-01EB84C0D041}"/>
            </a:ext>
          </a:extLst>
        </xdr:cNvPr>
        <xdr:cNvSpPr txBox="1"/>
      </xdr:nvSpPr>
      <xdr:spPr>
        <a:xfrm>
          <a:off x="25523189" y="30989722"/>
          <a:ext cx="11514600" cy="101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soft" dir="t">
              <a:rot lat="0" lon="0" rev="15600000"/>
            </a:lightRig>
          </a:scene3d>
          <a:sp3d extrusionH="57150" prstMaterial="softEdge">
            <a:bevelT w="25400" h="38100"/>
          </a:sp3d>
        </a:bodyPr>
        <a:lstStyle/>
        <a:p>
          <a:pPr algn="ctr">
            <a:lnSpc>
              <a:spcPts val="1700"/>
            </a:lnSpc>
          </a:pPr>
          <a:r>
            <a:rPr kumimoji="1" lang="ja-JP" altLang="en-US" sz="4800" b="1" cap="none" spc="0">
              <a:ln/>
              <a:solidFill>
                <a:schemeClr val="accent4"/>
              </a:solidFill>
              <a:effectLst/>
            </a:rPr>
            <a:t>冬のアクティビティ</a:t>
          </a:r>
          <a:r>
            <a:rPr kumimoji="1" lang="ja-JP" altLang="en-US" sz="3200" b="1" cap="none" spc="0">
              <a:ln/>
              <a:solidFill>
                <a:schemeClr val="accent4"/>
              </a:solidFill>
              <a:effectLst/>
            </a:rPr>
            <a:t>（コピーして使ってください）</a:t>
          </a:r>
          <a:endParaRPr kumimoji="1" lang="ja-JP" altLang="en-US" sz="6000" b="1" cap="none" spc="0">
            <a:ln/>
            <a:solidFill>
              <a:schemeClr val="accent4"/>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154214</xdr:colOff>
      <xdr:row>0</xdr:row>
      <xdr:rowOff>19050</xdr:rowOff>
    </xdr:from>
    <xdr:to>
      <xdr:col>52</xdr:col>
      <xdr:colOff>12700</xdr:colOff>
      <xdr:row>2</xdr:row>
      <xdr:rowOff>54428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285357" y="19050"/>
          <a:ext cx="1400629" cy="516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800" b="1"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xdr:from>
          <xdr:col>5</xdr:col>
          <xdr:colOff>104775</xdr:colOff>
          <xdr:row>3</xdr:row>
          <xdr:rowOff>57150</xdr:rowOff>
        </xdr:from>
        <xdr:to>
          <xdr:col>6</xdr:col>
          <xdr:colOff>133350</xdr:colOff>
          <xdr:row>3</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142875</xdr:rowOff>
        </xdr:from>
        <xdr:to>
          <xdr:col>26</xdr:col>
          <xdr:colOff>0</xdr:colOff>
          <xdr:row>18</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17</xdr:row>
          <xdr:rowOff>142875</xdr:rowOff>
        </xdr:from>
        <xdr:to>
          <xdr:col>26</xdr:col>
          <xdr:colOff>0</xdr:colOff>
          <xdr:row>19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9525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152400</xdr:rowOff>
        </xdr:from>
        <xdr:to>
          <xdr:col>26</xdr:col>
          <xdr:colOff>0</xdr:colOff>
          <xdr:row>21</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20</xdr:row>
          <xdr:rowOff>142875</xdr:rowOff>
        </xdr:from>
        <xdr:to>
          <xdr:col>26</xdr:col>
          <xdr:colOff>0</xdr:colOff>
          <xdr:row>22</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22</xdr:row>
          <xdr:rowOff>142875</xdr:rowOff>
        </xdr:from>
        <xdr:to>
          <xdr:col>26</xdr:col>
          <xdr:colOff>0</xdr:colOff>
          <xdr:row>24</xdr:row>
          <xdr:rowOff>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23</xdr:row>
          <xdr:rowOff>142875</xdr:rowOff>
        </xdr:from>
        <xdr:to>
          <xdr:col>26</xdr:col>
          <xdr:colOff>0</xdr:colOff>
          <xdr:row>24</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24</xdr:row>
          <xdr:rowOff>0</xdr:rowOff>
        </xdr:from>
        <xdr:to>
          <xdr:col>26</xdr:col>
          <xdr:colOff>0</xdr:colOff>
          <xdr:row>24</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24</xdr:row>
          <xdr:rowOff>0</xdr:rowOff>
        </xdr:from>
        <xdr:to>
          <xdr:col>26</xdr:col>
          <xdr:colOff>0</xdr:colOff>
          <xdr:row>24</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142875</xdr:rowOff>
        </xdr:from>
        <xdr:to>
          <xdr:col>26</xdr:col>
          <xdr:colOff>0</xdr:colOff>
          <xdr:row>18</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17</xdr:row>
          <xdr:rowOff>142875</xdr:rowOff>
        </xdr:from>
        <xdr:to>
          <xdr:col>26</xdr:col>
          <xdr:colOff>0</xdr:colOff>
          <xdr:row>19</xdr:row>
          <xdr:rowOff>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152400</xdr:rowOff>
        </xdr:from>
        <xdr:to>
          <xdr:col>26</xdr:col>
          <xdr:colOff>0</xdr:colOff>
          <xdr:row>21</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20</xdr:row>
          <xdr:rowOff>142875</xdr:rowOff>
        </xdr:from>
        <xdr:to>
          <xdr:col>26</xdr:col>
          <xdr:colOff>0</xdr:colOff>
          <xdr:row>22</xdr:row>
          <xdr:rowOff>19050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22</xdr:row>
          <xdr:rowOff>142875</xdr:rowOff>
        </xdr:from>
        <xdr:to>
          <xdr:col>26</xdr:col>
          <xdr:colOff>0</xdr:colOff>
          <xdr:row>24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23</xdr:row>
          <xdr:rowOff>142875</xdr:rowOff>
        </xdr:from>
        <xdr:to>
          <xdr:col>26</xdr:col>
          <xdr:colOff>0</xdr:colOff>
          <xdr:row>24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24</xdr:row>
          <xdr:rowOff>0</xdr:rowOff>
        </xdr:from>
        <xdr:to>
          <xdr:col>26</xdr:col>
          <xdr:colOff>0</xdr:colOff>
          <xdr:row>24</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24</xdr:row>
          <xdr:rowOff>0</xdr:rowOff>
        </xdr:from>
        <xdr:to>
          <xdr:col>26</xdr:col>
          <xdr:colOff>0</xdr:colOff>
          <xdr:row>24</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161925</xdr:rowOff>
        </xdr:from>
        <xdr:to>
          <xdr:col>26</xdr:col>
          <xdr:colOff>0</xdr:colOff>
          <xdr:row>19</xdr:row>
          <xdr:rowOff>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57150</xdr:rowOff>
        </xdr:from>
        <xdr:to>
          <xdr:col>26</xdr:col>
          <xdr:colOff>0</xdr:colOff>
          <xdr:row>19</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3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3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3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142875</xdr:rowOff>
        </xdr:from>
        <xdr:to>
          <xdr:col>26</xdr:col>
          <xdr:colOff>0</xdr:colOff>
          <xdr:row>17</xdr:row>
          <xdr:rowOff>19050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3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49</xdr:row>
          <xdr:rowOff>152400</xdr:rowOff>
        </xdr:from>
        <xdr:to>
          <xdr:col>26</xdr:col>
          <xdr:colOff>0</xdr:colOff>
          <xdr:row>51</xdr:row>
          <xdr:rowOff>19050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3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50</xdr:row>
          <xdr:rowOff>152400</xdr:rowOff>
        </xdr:from>
        <xdr:to>
          <xdr:col>26</xdr:col>
          <xdr:colOff>0</xdr:colOff>
          <xdr:row>52</xdr:row>
          <xdr:rowOff>19050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3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5</xdr:row>
          <xdr:rowOff>266700</xdr:rowOff>
        </xdr:from>
        <xdr:to>
          <xdr:col>26</xdr:col>
          <xdr:colOff>0</xdr:colOff>
          <xdr:row>7</xdr:row>
          <xdr:rowOff>95250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3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6</xdr:row>
          <xdr:rowOff>142875</xdr:rowOff>
        </xdr:from>
        <xdr:to>
          <xdr:col>26</xdr:col>
          <xdr:colOff>0</xdr:colOff>
          <xdr:row>8</xdr:row>
          <xdr:rowOff>19050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3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3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3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3</xdr:row>
          <xdr:rowOff>57150</xdr:rowOff>
        </xdr:from>
        <xdr:to>
          <xdr:col>26</xdr:col>
          <xdr:colOff>0</xdr:colOff>
          <xdr:row>3</xdr:row>
          <xdr:rowOff>104775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3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142875</xdr:rowOff>
        </xdr:from>
        <xdr:to>
          <xdr:col>26</xdr:col>
          <xdr:colOff>0</xdr:colOff>
          <xdr:row>19</xdr:row>
          <xdr:rowOff>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3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3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142875</xdr:rowOff>
        </xdr:from>
        <xdr:to>
          <xdr:col>26</xdr:col>
          <xdr:colOff>0</xdr:colOff>
          <xdr:row>23</xdr:row>
          <xdr:rowOff>19050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3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161925</xdr:rowOff>
        </xdr:from>
        <xdr:to>
          <xdr:col>26</xdr:col>
          <xdr:colOff>0</xdr:colOff>
          <xdr:row>19</xdr:row>
          <xdr:rowOff>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3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3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3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3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3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3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19</xdr:row>
          <xdr:rowOff>19050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3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0</xdr:rowOff>
        </xdr:from>
        <xdr:to>
          <xdr:col>26</xdr:col>
          <xdr:colOff>0</xdr:colOff>
          <xdr:row>20</xdr:row>
          <xdr:rowOff>19050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3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142875</xdr:rowOff>
        </xdr:from>
        <xdr:to>
          <xdr:col>26</xdr:col>
          <xdr:colOff>0</xdr:colOff>
          <xdr:row>21</xdr:row>
          <xdr:rowOff>9525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3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xdr:row>
          <xdr:rowOff>114300</xdr:rowOff>
        </xdr:from>
        <xdr:to>
          <xdr:col>28</xdr:col>
          <xdr:colOff>19050</xdr:colOff>
          <xdr:row>4</xdr:row>
          <xdr:rowOff>66675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3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162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3</xdr:row>
          <xdr:rowOff>9525</xdr:rowOff>
        </xdr:from>
        <xdr:to>
          <xdr:col>1</xdr:col>
          <xdr:colOff>104775</xdr:colOff>
          <xdr:row>3</xdr:row>
          <xdr:rowOff>228600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3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xdr:row>
          <xdr:rowOff>0</xdr:rowOff>
        </xdr:from>
        <xdr:to>
          <xdr:col>9</xdr:col>
          <xdr:colOff>104775</xdr:colOff>
          <xdr:row>3</xdr:row>
          <xdr:rowOff>219075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3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3</xdr:row>
          <xdr:rowOff>9525</xdr:rowOff>
        </xdr:from>
        <xdr:to>
          <xdr:col>27</xdr:col>
          <xdr:colOff>104775</xdr:colOff>
          <xdr:row>3</xdr:row>
          <xdr:rowOff>228600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3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76200</xdr:colOff>
          <xdr:row>3</xdr:row>
          <xdr:rowOff>0</xdr:rowOff>
        </xdr:from>
        <xdr:to>
          <xdr:col>35</xdr:col>
          <xdr:colOff>104775</xdr:colOff>
          <xdr:row>3</xdr:row>
          <xdr:rowOff>219075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3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85725</xdr:colOff>
          <xdr:row>14</xdr:row>
          <xdr:rowOff>0</xdr:rowOff>
        </xdr:from>
        <xdr:to>
          <xdr:col>41</xdr:col>
          <xdr:colOff>114300</xdr:colOff>
          <xdr:row>15</xdr:row>
          <xdr:rowOff>28575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3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85725</xdr:colOff>
          <xdr:row>14</xdr:row>
          <xdr:rowOff>152400</xdr:rowOff>
        </xdr:from>
        <xdr:to>
          <xdr:col>41</xdr:col>
          <xdr:colOff>114300</xdr:colOff>
          <xdr:row>16</xdr:row>
          <xdr:rowOff>38100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3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228600</xdr:rowOff>
        </xdr:from>
        <xdr:to>
          <xdr:col>15</xdr:col>
          <xdr:colOff>57150</xdr:colOff>
          <xdr:row>15</xdr:row>
          <xdr:rowOff>19050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3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142875</xdr:rowOff>
        </xdr:from>
        <xdr:to>
          <xdr:col>15</xdr:col>
          <xdr:colOff>57150</xdr:colOff>
          <xdr:row>16</xdr:row>
          <xdr:rowOff>28575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3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52" name="Check Box 468" hidden="1">
              <a:extLst>
                <a:ext uri="{63B3BB69-23CF-44E3-9099-C40C66FF867C}">
                  <a14:compatExt spid="_x0000_s16852"/>
                </a:ext>
                <a:ext uri="{FF2B5EF4-FFF2-40B4-BE49-F238E27FC236}">
                  <a16:creationId xmlns:a16="http://schemas.microsoft.com/office/drawing/2014/main" id="{00000000-0008-0000-0300-0000D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53" name="Check Box 469" hidden="1">
              <a:extLst>
                <a:ext uri="{63B3BB69-23CF-44E3-9099-C40C66FF867C}">
                  <a14:compatExt spid="_x0000_s16853"/>
                </a:ext>
                <a:ext uri="{FF2B5EF4-FFF2-40B4-BE49-F238E27FC236}">
                  <a16:creationId xmlns:a16="http://schemas.microsoft.com/office/drawing/2014/main" id="{00000000-0008-0000-0300-0000D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3</xdr:row>
          <xdr:rowOff>57150</xdr:rowOff>
        </xdr:from>
        <xdr:to>
          <xdr:col>32</xdr:col>
          <xdr:colOff>133350</xdr:colOff>
          <xdr:row>3</xdr:row>
          <xdr:rowOff>104775</xdr:rowOff>
        </xdr:to>
        <xdr:sp macro="" textlink="">
          <xdr:nvSpPr>
            <xdr:cNvPr id="16859" name="Check Box 475" hidden="1">
              <a:extLst>
                <a:ext uri="{63B3BB69-23CF-44E3-9099-C40C66FF867C}">
                  <a14:compatExt spid="_x0000_s16859"/>
                </a:ext>
                <a:ext uri="{FF2B5EF4-FFF2-40B4-BE49-F238E27FC236}">
                  <a16:creationId xmlns:a16="http://schemas.microsoft.com/office/drawing/2014/main" id="{00000000-0008-0000-0300-0000D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0" name="Check Box 476" hidden="1">
              <a:extLst>
                <a:ext uri="{63B3BB69-23CF-44E3-9099-C40C66FF867C}">
                  <a14:compatExt spid="_x0000_s16860"/>
                </a:ext>
                <a:ext uri="{FF2B5EF4-FFF2-40B4-BE49-F238E27FC236}">
                  <a16:creationId xmlns:a16="http://schemas.microsoft.com/office/drawing/2014/main" id="{00000000-0008-0000-0300-0000D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1" name="Check Box 477" hidden="1">
              <a:extLst>
                <a:ext uri="{63B3BB69-23CF-44E3-9099-C40C66FF867C}">
                  <a14:compatExt spid="_x0000_s16861"/>
                </a:ext>
                <a:ext uri="{FF2B5EF4-FFF2-40B4-BE49-F238E27FC236}">
                  <a16:creationId xmlns:a16="http://schemas.microsoft.com/office/drawing/2014/main" id="{00000000-0008-0000-0300-0000D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0</xdr:rowOff>
        </xdr:from>
        <xdr:to>
          <xdr:col>8</xdr:col>
          <xdr:colOff>66675</xdr:colOff>
          <xdr:row>20</xdr:row>
          <xdr:rowOff>19050</xdr:rowOff>
        </xdr:to>
        <xdr:sp macro="" textlink="">
          <xdr:nvSpPr>
            <xdr:cNvPr id="16863" name="Check Box 479" hidden="1">
              <a:extLst>
                <a:ext uri="{63B3BB69-23CF-44E3-9099-C40C66FF867C}">
                  <a14:compatExt spid="_x0000_s16863"/>
                </a:ext>
                <a:ext uri="{FF2B5EF4-FFF2-40B4-BE49-F238E27FC236}">
                  <a16:creationId xmlns:a16="http://schemas.microsoft.com/office/drawing/2014/main" id="{00000000-0008-0000-0300-0000D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0</xdr:rowOff>
        </xdr:from>
        <xdr:to>
          <xdr:col>5</xdr:col>
          <xdr:colOff>76200</xdr:colOff>
          <xdr:row>20</xdr:row>
          <xdr:rowOff>19050</xdr:rowOff>
        </xdr:to>
        <xdr:sp macro="" textlink="">
          <xdr:nvSpPr>
            <xdr:cNvPr id="16864" name="Check Box 480" hidden="1">
              <a:extLst>
                <a:ext uri="{63B3BB69-23CF-44E3-9099-C40C66FF867C}">
                  <a14:compatExt spid="_x0000_s16864"/>
                </a:ext>
                <a:ext uri="{FF2B5EF4-FFF2-40B4-BE49-F238E27FC236}">
                  <a16:creationId xmlns:a16="http://schemas.microsoft.com/office/drawing/2014/main" id="{00000000-0008-0000-0300-0000E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5" name="Check Box 481" hidden="1">
              <a:extLst>
                <a:ext uri="{63B3BB69-23CF-44E3-9099-C40C66FF867C}">
                  <a14:compatExt spid="_x0000_s16865"/>
                </a:ext>
                <a:ext uri="{FF2B5EF4-FFF2-40B4-BE49-F238E27FC236}">
                  <a16:creationId xmlns:a16="http://schemas.microsoft.com/office/drawing/2014/main" id="{00000000-0008-0000-0300-0000E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6" name="Check Box 482" hidden="1">
              <a:extLst>
                <a:ext uri="{63B3BB69-23CF-44E3-9099-C40C66FF867C}">
                  <a14:compatExt spid="_x0000_s16866"/>
                </a:ext>
                <a:ext uri="{FF2B5EF4-FFF2-40B4-BE49-F238E27FC236}">
                  <a16:creationId xmlns:a16="http://schemas.microsoft.com/office/drawing/2014/main" id="{00000000-0008-0000-0300-0000E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67" name="Check Box 483" hidden="1">
              <a:extLst>
                <a:ext uri="{63B3BB69-23CF-44E3-9099-C40C66FF867C}">
                  <a14:compatExt spid="_x0000_s16867"/>
                </a:ext>
                <a:ext uri="{FF2B5EF4-FFF2-40B4-BE49-F238E27FC236}">
                  <a16:creationId xmlns:a16="http://schemas.microsoft.com/office/drawing/2014/main" id="{00000000-0008-0000-0300-0000E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68" name="Check Box 484" hidden="1">
              <a:extLst>
                <a:ext uri="{63B3BB69-23CF-44E3-9099-C40C66FF867C}">
                  <a14:compatExt spid="_x0000_s16868"/>
                </a:ext>
                <a:ext uri="{FF2B5EF4-FFF2-40B4-BE49-F238E27FC236}">
                  <a16:creationId xmlns:a16="http://schemas.microsoft.com/office/drawing/2014/main" id="{00000000-0008-0000-0300-0000E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81" name="Check Box 497" hidden="1">
              <a:extLst>
                <a:ext uri="{63B3BB69-23CF-44E3-9099-C40C66FF867C}">
                  <a14:compatExt spid="_x0000_s16881"/>
                </a:ext>
                <a:ext uri="{FF2B5EF4-FFF2-40B4-BE49-F238E27FC236}">
                  <a16:creationId xmlns:a16="http://schemas.microsoft.com/office/drawing/2014/main" id="{00000000-0008-0000-0300-0000F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82" name="Check Box 498" hidden="1">
              <a:extLst>
                <a:ext uri="{63B3BB69-23CF-44E3-9099-C40C66FF867C}">
                  <a14:compatExt spid="_x0000_s16882"/>
                </a:ext>
                <a:ext uri="{FF2B5EF4-FFF2-40B4-BE49-F238E27FC236}">
                  <a16:creationId xmlns:a16="http://schemas.microsoft.com/office/drawing/2014/main" id="{00000000-0008-0000-0300-0000F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19</xdr:row>
          <xdr:rowOff>0</xdr:rowOff>
        </xdr:from>
        <xdr:to>
          <xdr:col>34</xdr:col>
          <xdr:colOff>66675</xdr:colOff>
          <xdr:row>20</xdr:row>
          <xdr:rowOff>19050</xdr:rowOff>
        </xdr:to>
        <xdr:sp macro="" textlink="">
          <xdr:nvSpPr>
            <xdr:cNvPr id="16883" name="Check Box 499" hidden="1">
              <a:extLst>
                <a:ext uri="{63B3BB69-23CF-44E3-9099-C40C66FF867C}">
                  <a14:compatExt spid="_x0000_s16883"/>
                </a:ext>
                <a:ext uri="{FF2B5EF4-FFF2-40B4-BE49-F238E27FC236}">
                  <a16:creationId xmlns:a16="http://schemas.microsoft.com/office/drawing/2014/main" id="{00000000-0008-0000-0300-0000F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19</xdr:row>
          <xdr:rowOff>0</xdr:rowOff>
        </xdr:from>
        <xdr:to>
          <xdr:col>31</xdr:col>
          <xdr:colOff>76200</xdr:colOff>
          <xdr:row>20</xdr:row>
          <xdr:rowOff>19050</xdr:rowOff>
        </xdr:to>
        <xdr:sp macro="" textlink="">
          <xdr:nvSpPr>
            <xdr:cNvPr id="16884" name="Check Box 500" hidden="1">
              <a:extLst>
                <a:ext uri="{63B3BB69-23CF-44E3-9099-C40C66FF867C}">
                  <a14:compatExt spid="_x0000_s16884"/>
                </a:ext>
                <a:ext uri="{FF2B5EF4-FFF2-40B4-BE49-F238E27FC236}">
                  <a16:creationId xmlns:a16="http://schemas.microsoft.com/office/drawing/2014/main" id="{00000000-0008-0000-0300-0000F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48</xdr:col>
      <xdr:colOff>247650</xdr:colOff>
      <xdr:row>0</xdr:row>
      <xdr:rowOff>28575</xdr:rowOff>
    </xdr:from>
    <xdr:to>
      <xdr:col>51</xdr:col>
      <xdr:colOff>238125</xdr:colOff>
      <xdr:row>0</xdr:row>
      <xdr:rowOff>288348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763750" y="28575"/>
          <a:ext cx="904875"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48</xdr:col>
      <xdr:colOff>247650</xdr:colOff>
      <xdr:row>0</xdr:row>
      <xdr:rowOff>28575</xdr:rowOff>
    </xdr:from>
    <xdr:to>
      <xdr:col>51</xdr:col>
      <xdr:colOff>238125</xdr:colOff>
      <xdr:row>0</xdr:row>
      <xdr:rowOff>288348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839950" y="28575"/>
          <a:ext cx="904875"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30</xdr:col>
      <xdr:colOff>299959</xdr:colOff>
      <xdr:row>1</xdr:row>
      <xdr:rowOff>135005</xdr:rowOff>
    </xdr:from>
    <xdr:to>
      <xdr:col>40</xdr:col>
      <xdr:colOff>106339</xdr:colOff>
      <xdr:row>6</xdr:row>
      <xdr:rowOff>303982</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10342030" y="434362"/>
          <a:ext cx="3140130" cy="1665763"/>
          <a:chOff x="8774906" y="7289006"/>
          <a:chExt cx="2967037" cy="1647823"/>
        </a:xfrm>
        <a:solidFill>
          <a:schemeClr val="bg1"/>
        </a:solidFill>
      </xdr:grpSpPr>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8774906" y="7289006"/>
            <a:ext cx="2967037" cy="1647823"/>
          </a:xfrm>
          <a:prstGeom prst="wedgeRectCallout">
            <a:avLst>
              <a:gd name="adj1" fmla="val -48454"/>
              <a:gd name="adj2" fmla="val 135202"/>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896349" y="7405688"/>
            <a:ext cx="2795587" cy="1409699"/>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色のついた欄に、データを打ち込むと、自動的に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人数報告用紙</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に総数が積算されます。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nSpc>
                <a:spcPts val="1700"/>
              </a:lnSpc>
            </a:pP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nSpc>
                <a:spcPts val="1700"/>
              </a:lnSpc>
            </a:pP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欠席、修正がある場合は、必ず本利用者名簿を修正してください。</a:t>
            </a:r>
            <a:endParaRPr kumimoji="1" lang="en-US" altLang="ja-JP" sz="1400" b="1" u="sng">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37</xdr:col>
      <xdr:colOff>290541</xdr:colOff>
      <xdr:row>8</xdr:row>
      <xdr:rowOff>21895</xdr:rowOff>
    </xdr:from>
    <xdr:to>
      <xdr:col>46</xdr:col>
      <xdr:colOff>153276</xdr:colOff>
      <xdr:row>10</xdr:row>
      <xdr:rowOff>300936</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2605005" y="2307895"/>
          <a:ext cx="2965164" cy="782505"/>
          <a:chOff x="8774906" y="7289006"/>
          <a:chExt cx="2967037" cy="1647823"/>
        </a:xfrm>
        <a:solidFill>
          <a:schemeClr val="bg1"/>
        </a:solidFill>
      </xdr:grpSpPr>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8774906" y="7289006"/>
            <a:ext cx="2967037" cy="1647823"/>
          </a:xfrm>
          <a:prstGeom prst="wedgeRectCallout">
            <a:avLst>
              <a:gd name="adj1" fmla="val -53957"/>
              <a:gd name="adj2" fmla="val 265580"/>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885465" y="7520940"/>
            <a:ext cx="2795587" cy="11741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「減免区分」は必ず、リストから選択してください。</a:t>
            </a:r>
            <a:endParaRPr kumimoji="1" lang="en-US" altLang="ja-JP" sz="1400" b="1" u="sng">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13</xdr:row>
          <xdr:rowOff>19050</xdr:rowOff>
        </xdr:from>
        <xdr:to>
          <xdr:col>19</xdr:col>
          <xdr:colOff>371475</xdr:colOff>
          <xdr:row>14</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66</xdr:col>
      <xdr:colOff>358775</xdr:colOff>
      <xdr:row>0</xdr:row>
      <xdr:rowOff>92075</xdr:rowOff>
    </xdr:from>
    <xdr:to>
      <xdr:col>69</xdr:col>
      <xdr:colOff>254000</xdr:colOff>
      <xdr:row>3</xdr:row>
      <xdr:rowOff>79375</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33537525" y="92075"/>
          <a:ext cx="2800350" cy="844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600" b="1"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74</xdr:col>
      <xdr:colOff>114301</xdr:colOff>
      <xdr:row>14</xdr:row>
      <xdr:rowOff>263647</xdr:rowOff>
    </xdr:from>
    <xdr:to>
      <xdr:col>84</xdr:col>
      <xdr:colOff>154081</xdr:colOff>
      <xdr:row>19</xdr:row>
      <xdr:rowOff>56030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38071426" y="4835647"/>
          <a:ext cx="4349843" cy="1459258"/>
          <a:chOff x="34443620" y="8233831"/>
          <a:chExt cx="3264174" cy="1473265"/>
        </a:xfrm>
      </xdr:grpSpPr>
      <xdr:sp macro="" textlink="">
        <xdr:nvSpPr>
          <xdr:cNvPr id="57" name="四角形吹き出し 56">
            <a:extLst>
              <a:ext uri="{FF2B5EF4-FFF2-40B4-BE49-F238E27FC236}">
                <a16:creationId xmlns:a16="http://schemas.microsoft.com/office/drawing/2014/main" id="{00000000-0008-0000-0500-000039000000}"/>
              </a:ext>
            </a:extLst>
          </xdr:cNvPr>
          <xdr:cNvSpPr/>
        </xdr:nvSpPr>
        <xdr:spPr>
          <a:xfrm>
            <a:off x="34443620" y="8233831"/>
            <a:ext cx="3264174" cy="1473265"/>
          </a:xfrm>
          <a:prstGeom prst="wedgeRectCallout">
            <a:avLst>
              <a:gd name="adj1" fmla="val -6791"/>
              <a:gd name="adj2" fmla="val 122629"/>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800"/>
          </a:p>
        </xdr:txBody>
      </xdr:sp>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4597000" y="8321290"/>
            <a:ext cx="3040757" cy="133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b="1">
                <a:solidFill>
                  <a:schemeClr val="bg1"/>
                </a:solidFill>
              </a:rPr>
              <a:t>クラフトは、事前準備の必要があるため、天候によって実施しない場合でも、種類・数量をご記入ください。そのうえで、実施した場合のみ料金を請求いたします。</a:t>
            </a:r>
          </a:p>
        </xdr:txBody>
      </xdr:sp>
    </xdr:grpSp>
    <xdr:clientData/>
  </xdr:twoCellAnchor>
  <xdr:twoCellAnchor>
    <xdr:from>
      <xdr:col>89</xdr:col>
      <xdr:colOff>207029</xdr:colOff>
      <xdr:row>14</xdr:row>
      <xdr:rowOff>206236</xdr:rowOff>
    </xdr:from>
    <xdr:to>
      <xdr:col>99</xdr:col>
      <xdr:colOff>321310</xdr:colOff>
      <xdr:row>18</xdr:row>
      <xdr:rowOff>267335</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4617342" y="4778236"/>
          <a:ext cx="4400531" cy="1394599"/>
          <a:chOff x="44202067" y="5116598"/>
          <a:chExt cx="3396073" cy="925520"/>
        </a:xfrm>
      </xdr:grpSpPr>
      <xdr:sp macro="" textlink="">
        <xdr:nvSpPr>
          <xdr:cNvPr id="59" name="四角形吹き出し 58">
            <a:extLst>
              <a:ext uri="{FF2B5EF4-FFF2-40B4-BE49-F238E27FC236}">
                <a16:creationId xmlns:a16="http://schemas.microsoft.com/office/drawing/2014/main" id="{00000000-0008-0000-0500-00003B000000}"/>
              </a:ext>
            </a:extLst>
          </xdr:cNvPr>
          <xdr:cNvSpPr/>
        </xdr:nvSpPr>
        <xdr:spPr>
          <a:xfrm>
            <a:off x="44202067" y="5116598"/>
            <a:ext cx="3396073" cy="925520"/>
          </a:xfrm>
          <a:prstGeom prst="wedgeRectCallout">
            <a:avLst>
              <a:gd name="adj1" fmla="val -118420"/>
              <a:gd name="adj2" fmla="val -12733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200"/>
          </a:p>
        </xdr:txBody>
      </xdr:sp>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44472845" y="5225314"/>
            <a:ext cx="3054101" cy="724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000" b="1">
                <a:solidFill>
                  <a:schemeClr val="bg1"/>
                </a:solidFill>
              </a:rPr>
              <a:t>【</a:t>
            </a:r>
            <a:r>
              <a:rPr kumimoji="1" lang="ja-JP" altLang="en-US" sz="2000" b="1">
                <a:solidFill>
                  <a:schemeClr val="bg1"/>
                </a:solidFill>
              </a:rPr>
              <a:t>食事申込書</a:t>
            </a:r>
            <a:r>
              <a:rPr kumimoji="1" lang="en-US" altLang="ja-JP" sz="2000" b="1">
                <a:solidFill>
                  <a:schemeClr val="bg1"/>
                </a:solidFill>
              </a:rPr>
              <a:t>】</a:t>
            </a:r>
            <a:r>
              <a:rPr kumimoji="1" lang="ja-JP" altLang="en-US" sz="2000" b="1">
                <a:solidFill>
                  <a:schemeClr val="bg1"/>
                </a:solidFill>
              </a:rPr>
              <a:t>に入力した食数合計が自動的に反映されます。</a:t>
            </a:r>
            <a:endParaRPr kumimoji="1" lang="en-US" altLang="ja-JP" sz="2000" b="1">
              <a:solidFill>
                <a:schemeClr val="bg1"/>
              </a:solidFill>
            </a:endParaRPr>
          </a:p>
          <a:p>
            <a:pPr>
              <a:lnSpc>
                <a:spcPct val="100000"/>
              </a:lnSpc>
            </a:pPr>
            <a:r>
              <a:rPr kumimoji="1" lang="ja-JP" altLang="en-US" sz="2000" b="1">
                <a:solidFill>
                  <a:schemeClr val="bg1"/>
                </a:solidFill>
              </a:rPr>
              <a:t>領収書の内訳を、ご入力ください。</a:t>
            </a:r>
          </a:p>
        </xdr:txBody>
      </xdr:sp>
    </xdr:grpSp>
    <xdr:clientData/>
  </xdr:twoCellAnchor>
  <mc:AlternateContent xmlns:mc="http://schemas.openxmlformats.org/markup-compatibility/2006">
    <mc:Choice xmlns:a14="http://schemas.microsoft.com/office/drawing/2010/main" Requires="a14">
      <xdr:twoCellAnchor editAs="oneCell">
        <xdr:from>
          <xdr:col>72</xdr:col>
          <xdr:colOff>47625</xdr:colOff>
          <xdr:row>9</xdr:row>
          <xdr:rowOff>47625</xdr:rowOff>
        </xdr:from>
        <xdr:to>
          <xdr:col>72</xdr:col>
          <xdr:colOff>304800</xdr:colOff>
          <xdr:row>10</xdr:row>
          <xdr:rowOff>0</xdr:rowOff>
        </xdr:to>
        <xdr:sp macro="" textlink="">
          <xdr:nvSpPr>
            <xdr:cNvPr id="39489" name="Check Box 2625" hidden="1">
              <a:extLst>
                <a:ext uri="{63B3BB69-23CF-44E3-9099-C40C66FF867C}">
                  <a14:compatExt spid="_x0000_s39489"/>
                </a:ext>
                <a:ext uri="{FF2B5EF4-FFF2-40B4-BE49-F238E27FC236}">
                  <a16:creationId xmlns:a16="http://schemas.microsoft.com/office/drawing/2014/main" id="{00000000-0008-0000-0500-000041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10</xdr:row>
          <xdr:rowOff>47625</xdr:rowOff>
        </xdr:from>
        <xdr:to>
          <xdr:col>72</xdr:col>
          <xdr:colOff>304800</xdr:colOff>
          <xdr:row>11</xdr:row>
          <xdr:rowOff>0</xdr:rowOff>
        </xdr:to>
        <xdr:sp macro="" textlink="">
          <xdr:nvSpPr>
            <xdr:cNvPr id="39490" name="Check Box 2626" hidden="1">
              <a:extLst>
                <a:ext uri="{63B3BB69-23CF-44E3-9099-C40C66FF867C}">
                  <a14:compatExt spid="_x0000_s39490"/>
                </a:ext>
                <a:ext uri="{FF2B5EF4-FFF2-40B4-BE49-F238E27FC236}">
                  <a16:creationId xmlns:a16="http://schemas.microsoft.com/office/drawing/2014/main" id="{00000000-0008-0000-0500-000042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11</xdr:row>
          <xdr:rowOff>47625</xdr:rowOff>
        </xdr:from>
        <xdr:to>
          <xdr:col>72</xdr:col>
          <xdr:colOff>304800</xdr:colOff>
          <xdr:row>12</xdr:row>
          <xdr:rowOff>0</xdr:rowOff>
        </xdr:to>
        <xdr:sp macro="" textlink="">
          <xdr:nvSpPr>
            <xdr:cNvPr id="39491" name="Check Box 2627" hidden="1">
              <a:extLst>
                <a:ext uri="{63B3BB69-23CF-44E3-9099-C40C66FF867C}">
                  <a14:compatExt spid="_x0000_s39491"/>
                </a:ext>
                <a:ext uri="{FF2B5EF4-FFF2-40B4-BE49-F238E27FC236}">
                  <a16:creationId xmlns:a16="http://schemas.microsoft.com/office/drawing/2014/main" id="{00000000-0008-0000-0500-000043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12</xdr:row>
          <xdr:rowOff>47625</xdr:rowOff>
        </xdr:from>
        <xdr:to>
          <xdr:col>72</xdr:col>
          <xdr:colOff>304800</xdr:colOff>
          <xdr:row>13</xdr:row>
          <xdr:rowOff>0</xdr:rowOff>
        </xdr:to>
        <xdr:sp macro="" textlink="">
          <xdr:nvSpPr>
            <xdr:cNvPr id="39492" name="Check Box 2628" hidden="1">
              <a:extLst>
                <a:ext uri="{63B3BB69-23CF-44E3-9099-C40C66FF867C}">
                  <a14:compatExt spid="_x0000_s39492"/>
                </a:ext>
                <a:ext uri="{FF2B5EF4-FFF2-40B4-BE49-F238E27FC236}">
                  <a16:creationId xmlns:a16="http://schemas.microsoft.com/office/drawing/2014/main" id="{00000000-0008-0000-0500-000044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13</xdr:row>
          <xdr:rowOff>47625</xdr:rowOff>
        </xdr:from>
        <xdr:to>
          <xdr:col>72</xdr:col>
          <xdr:colOff>304800</xdr:colOff>
          <xdr:row>14</xdr:row>
          <xdr:rowOff>0</xdr:rowOff>
        </xdr:to>
        <xdr:sp macro="" textlink="">
          <xdr:nvSpPr>
            <xdr:cNvPr id="39493" name="Check Box 2629" hidden="1">
              <a:extLst>
                <a:ext uri="{63B3BB69-23CF-44E3-9099-C40C66FF867C}">
                  <a14:compatExt spid="_x0000_s39493"/>
                </a:ext>
                <a:ext uri="{FF2B5EF4-FFF2-40B4-BE49-F238E27FC236}">
                  <a16:creationId xmlns:a16="http://schemas.microsoft.com/office/drawing/2014/main" id="{00000000-0008-0000-0500-000045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14</xdr:row>
          <xdr:rowOff>47625</xdr:rowOff>
        </xdr:from>
        <xdr:to>
          <xdr:col>72</xdr:col>
          <xdr:colOff>304800</xdr:colOff>
          <xdr:row>15</xdr:row>
          <xdr:rowOff>0</xdr:rowOff>
        </xdr:to>
        <xdr:sp macro="" textlink="">
          <xdr:nvSpPr>
            <xdr:cNvPr id="39494" name="Check Box 2630" hidden="1">
              <a:extLst>
                <a:ext uri="{63B3BB69-23CF-44E3-9099-C40C66FF867C}">
                  <a14:compatExt spid="_x0000_s39494"/>
                </a:ext>
                <a:ext uri="{FF2B5EF4-FFF2-40B4-BE49-F238E27FC236}">
                  <a16:creationId xmlns:a16="http://schemas.microsoft.com/office/drawing/2014/main" id="{00000000-0008-0000-0500-000046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15</xdr:row>
          <xdr:rowOff>47625</xdr:rowOff>
        </xdr:from>
        <xdr:to>
          <xdr:col>72</xdr:col>
          <xdr:colOff>304800</xdr:colOff>
          <xdr:row>16</xdr:row>
          <xdr:rowOff>0</xdr:rowOff>
        </xdr:to>
        <xdr:sp macro="" textlink="">
          <xdr:nvSpPr>
            <xdr:cNvPr id="39495" name="Check Box 2631" hidden="1">
              <a:extLst>
                <a:ext uri="{63B3BB69-23CF-44E3-9099-C40C66FF867C}">
                  <a14:compatExt spid="_x0000_s39495"/>
                </a:ext>
                <a:ext uri="{FF2B5EF4-FFF2-40B4-BE49-F238E27FC236}">
                  <a16:creationId xmlns:a16="http://schemas.microsoft.com/office/drawing/2014/main" id="{00000000-0008-0000-0500-000047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xdr:row>
          <xdr:rowOff>66675</xdr:rowOff>
        </xdr:from>
        <xdr:to>
          <xdr:col>73</xdr:col>
          <xdr:colOff>323850</xdr:colOff>
          <xdr:row>9</xdr:row>
          <xdr:rowOff>304800</xdr:rowOff>
        </xdr:to>
        <xdr:sp macro="" textlink="">
          <xdr:nvSpPr>
            <xdr:cNvPr id="39496" name="Check Box 2632" hidden="1">
              <a:extLst>
                <a:ext uri="{63B3BB69-23CF-44E3-9099-C40C66FF867C}">
                  <a14:compatExt spid="_x0000_s39496"/>
                </a:ext>
                <a:ext uri="{FF2B5EF4-FFF2-40B4-BE49-F238E27FC236}">
                  <a16:creationId xmlns:a16="http://schemas.microsoft.com/office/drawing/2014/main" id="{00000000-0008-0000-0500-000048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xdr:row>
          <xdr:rowOff>66675</xdr:rowOff>
        </xdr:from>
        <xdr:to>
          <xdr:col>73</xdr:col>
          <xdr:colOff>323850</xdr:colOff>
          <xdr:row>10</xdr:row>
          <xdr:rowOff>304800</xdr:rowOff>
        </xdr:to>
        <xdr:sp macro="" textlink="">
          <xdr:nvSpPr>
            <xdr:cNvPr id="39497" name="Check Box 2633" hidden="1">
              <a:extLst>
                <a:ext uri="{63B3BB69-23CF-44E3-9099-C40C66FF867C}">
                  <a14:compatExt spid="_x0000_s39497"/>
                </a:ext>
                <a:ext uri="{FF2B5EF4-FFF2-40B4-BE49-F238E27FC236}">
                  <a16:creationId xmlns:a16="http://schemas.microsoft.com/office/drawing/2014/main" id="{00000000-0008-0000-0500-000049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xdr:row>
          <xdr:rowOff>66675</xdr:rowOff>
        </xdr:from>
        <xdr:to>
          <xdr:col>73</xdr:col>
          <xdr:colOff>323850</xdr:colOff>
          <xdr:row>11</xdr:row>
          <xdr:rowOff>304800</xdr:rowOff>
        </xdr:to>
        <xdr:sp macro="" textlink="">
          <xdr:nvSpPr>
            <xdr:cNvPr id="39498" name="Check Box 2634" hidden="1">
              <a:extLst>
                <a:ext uri="{63B3BB69-23CF-44E3-9099-C40C66FF867C}">
                  <a14:compatExt spid="_x0000_s39498"/>
                </a:ext>
                <a:ext uri="{FF2B5EF4-FFF2-40B4-BE49-F238E27FC236}">
                  <a16:creationId xmlns:a16="http://schemas.microsoft.com/office/drawing/2014/main" id="{00000000-0008-0000-0500-00004A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xdr:row>
          <xdr:rowOff>66675</xdr:rowOff>
        </xdr:from>
        <xdr:to>
          <xdr:col>73</xdr:col>
          <xdr:colOff>323850</xdr:colOff>
          <xdr:row>12</xdr:row>
          <xdr:rowOff>304800</xdr:rowOff>
        </xdr:to>
        <xdr:sp macro="" textlink="">
          <xdr:nvSpPr>
            <xdr:cNvPr id="39499" name="Check Box 2635" hidden="1">
              <a:extLst>
                <a:ext uri="{63B3BB69-23CF-44E3-9099-C40C66FF867C}">
                  <a14:compatExt spid="_x0000_s39499"/>
                </a:ext>
                <a:ext uri="{FF2B5EF4-FFF2-40B4-BE49-F238E27FC236}">
                  <a16:creationId xmlns:a16="http://schemas.microsoft.com/office/drawing/2014/main" id="{00000000-0008-0000-0500-00004B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xdr:row>
          <xdr:rowOff>66675</xdr:rowOff>
        </xdr:from>
        <xdr:to>
          <xdr:col>73</xdr:col>
          <xdr:colOff>323850</xdr:colOff>
          <xdr:row>13</xdr:row>
          <xdr:rowOff>304800</xdr:rowOff>
        </xdr:to>
        <xdr:sp macro="" textlink="">
          <xdr:nvSpPr>
            <xdr:cNvPr id="39500" name="Check Box 2636" hidden="1">
              <a:extLst>
                <a:ext uri="{63B3BB69-23CF-44E3-9099-C40C66FF867C}">
                  <a14:compatExt spid="_x0000_s39500"/>
                </a:ext>
                <a:ext uri="{FF2B5EF4-FFF2-40B4-BE49-F238E27FC236}">
                  <a16:creationId xmlns:a16="http://schemas.microsoft.com/office/drawing/2014/main" id="{00000000-0008-0000-0500-00004C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xdr:row>
          <xdr:rowOff>66675</xdr:rowOff>
        </xdr:from>
        <xdr:to>
          <xdr:col>73</xdr:col>
          <xdr:colOff>323850</xdr:colOff>
          <xdr:row>14</xdr:row>
          <xdr:rowOff>304800</xdr:rowOff>
        </xdr:to>
        <xdr:sp macro="" textlink="">
          <xdr:nvSpPr>
            <xdr:cNvPr id="39501" name="Check Box 2637" hidden="1">
              <a:extLst>
                <a:ext uri="{63B3BB69-23CF-44E3-9099-C40C66FF867C}">
                  <a14:compatExt spid="_x0000_s39501"/>
                </a:ext>
                <a:ext uri="{FF2B5EF4-FFF2-40B4-BE49-F238E27FC236}">
                  <a16:creationId xmlns:a16="http://schemas.microsoft.com/office/drawing/2014/main" id="{00000000-0008-0000-0500-00004D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xdr:row>
          <xdr:rowOff>66675</xdr:rowOff>
        </xdr:from>
        <xdr:to>
          <xdr:col>73</xdr:col>
          <xdr:colOff>323850</xdr:colOff>
          <xdr:row>15</xdr:row>
          <xdr:rowOff>304800</xdr:rowOff>
        </xdr:to>
        <xdr:sp macro="" textlink="">
          <xdr:nvSpPr>
            <xdr:cNvPr id="39502" name="Check Box 2638" hidden="1">
              <a:extLst>
                <a:ext uri="{63B3BB69-23CF-44E3-9099-C40C66FF867C}">
                  <a14:compatExt spid="_x0000_s39502"/>
                </a:ext>
                <a:ext uri="{FF2B5EF4-FFF2-40B4-BE49-F238E27FC236}">
                  <a16:creationId xmlns:a16="http://schemas.microsoft.com/office/drawing/2014/main" id="{00000000-0008-0000-0500-00004E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375558</xdr:colOff>
      <xdr:row>15</xdr:row>
      <xdr:rowOff>217714</xdr:rowOff>
    </xdr:from>
    <xdr:to>
      <xdr:col>66</xdr:col>
      <xdr:colOff>143195</xdr:colOff>
      <xdr:row>19</xdr:row>
      <xdr:rowOff>4322</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28069496" y="5123089"/>
          <a:ext cx="4363449" cy="1120108"/>
          <a:chOff x="34443620" y="8233831"/>
          <a:chExt cx="3264174" cy="1473265"/>
        </a:xfrm>
      </xdr:grpSpPr>
      <xdr:sp macro="" textlink="">
        <xdr:nvSpPr>
          <xdr:cNvPr id="46" name="四角形吹き出し 56">
            <a:extLst>
              <a:ext uri="{FF2B5EF4-FFF2-40B4-BE49-F238E27FC236}">
                <a16:creationId xmlns:a16="http://schemas.microsoft.com/office/drawing/2014/main" id="{00000000-0008-0000-0500-00002E000000}"/>
              </a:ext>
            </a:extLst>
          </xdr:cNvPr>
          <xdr:cNvSpPr/>
        </xdr:nvSpPr>
        <xdr:spPr>
          <a:xfrm>
            <a:off x="34443620" y="8233831"/>
            <a:ext cx="3264174" cy="1473265"/>
          </a:xfrm>
          <a:prstGeom prst="wedgeRectCallout">
            <a:avLst>
              <a:gd name="adj1" fmla="val -7100"/>
              <a:gd name="adj2" fmla="val 14397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800"/>
          </a:p>
        </xdr:txBody>
      </xdr:sp>
      <xdr:sp macro="" textlink="">
        <xdr:nvSpPr>
          <xdr:cNvPr id="50" name="テキスト ボックス 49">
            <a:extLst>
              <a:ext uri="{FF2B5EF4-FFF2-40B4-BE49-F238E27FC236}">
                <a16:creationId xmlns:a16="http://schemas.microsoft.com/office/drawing/2014/main" id="{00000000-0008-0000-0500-000032000000}"/>
              </a:ext>
            </a:extLst>
          </xdr:cNvPr>
          <xdr:cNvSpPr txBox="1"/>
        </xdr:nvSpPr>
        <xdr:spPr>
          <a:xfrm>
            <a:off x="34597000" y="8321290"/>
            <a:ext cx="3040757" cy="133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1800" b="1">
                <a:solidFill>
                  <a:schemeClr val="bg1"/>
                </a:solidFill>
              </a:rPr>
              <a:t>【05</a:t>
            </a:r>
            <a:r>
              <a:rPr kumimoji="1" lang="ja-JP" altLang="en-US" sz="1800" b="1">
                <a:solidFill>
                  <a:schemeClr val="bg1"/>
                </a:solidFill>
              </a:rPr>
              <a:t>利用者名簿</a:t>
            </a:r>
            <a:r>
              <a:rPr kumimoji="1" lang="en-US" altLang="ja-JP" sz="1800" b="1">
                <a:solidFill>
                  <a:schemeClr val="bg1"/>
                </a:solidFill>
              </a:rPr>
              <a:t>】</a:t>
            </a:r>
            <a:r>
              <a:rPr kumimoji="1" lang="ja-JP" altLang="en-US" sz="1800" b="1">
                <a:solidFill>
                  <a:schemeClr val="bg1"/>
                </a:solidFill>
              </a:rPr>
              <a:t>から積算した総数が入りますので、総数の修正は本紙ではなく</a:t>
            </a:r>
            <a:r>
              <a:rPr kumimoji="1" lang="en-US" altLang="ja-JP" sz="1800" b="1">
                <a:solidFill>
                  <a:schemeClr val="bg1"/>
                </a:solidFill>
              </a:rPr>
              <a:t>【05</a:t>
            </a:r>
            <a:r>
              <a:rPr kumimoji="1" lang="ja-JP" altLang="en-US" sz="1800" b="1">
                <a:solidFill>
                  <a:schemeClr val="bg1"/>
                </a:solidFill>
              </a:rPr>
              <a:t>利用者名簿</a:t>
            </a:r>
            <a:r>
              <a:rPr kumimoji="1" lang="en-US" altLang="ja-JP" sz="1800" b="1">
                <a:solidFill>
                  <a:schemeClr val="bg1"/>
                </a:solidFill>
              </a:rPr>
              <a:t>】</a:t>
            </a:r>
            <a:r>
              <a:rPr kumimoji="1" lang="ja-JP" altLang="en-US" sz="1800" b="1">
                <a:solidFill>
                  <a:schemeClr val="bg1"/>
                </a:solidFill>
              </a:rPr>
              <a:t>よりお願いいたします。</a:t>
            </a:r>
          </a:p>
        </xdr:txBody>
      </xdr:sp>
    </xdr:grpSp>
    <xdr:clientData/>
  </xdr:twoCellAnchor>
  <mc:AlternateContent xmlns:mc="http://schemas.openxmlformats.org/markup-compatibility/2006">
    <mc:Choice xmlns:a14="http://schemas.microsoft.com/office/drawing/2010/main" Requires="a14">
      <xdr:twoCellAnchor editAs="oneCell">
        <xdr:from>
          <xdr:col>18</xdr:col>
          <xdr:colOff>47625</xdr:colOff>
          <xdr:row>10</xdr:row>
          <xdr:rowOff>19050</xdr:rowOff>
        </xdr:from>
        <xdr:to>
          <xdr:col>18</xdr:col>
          <xdr:colOff>361950</xdr:colOff>
          <xdr:row>11</xdr:row>
          <xdr:rowOff>0</xdr:rowOff>
        </xdr:to>
        <xdr:sp macro="" textlink="">
          <xdr:nvSpPr>
            <xdr:cNvPr id="39532" name="Check Box 2668" hidden="1">
              <a:extLst>
                <a:ext uri="{63B3BB69-23CF-44E3-9099-C40C66FF867C}">
                  <a14:compatExt spid="_x0000_s39532"/>
                </a:ext>
                <a:ext uri="{FF2B5EF4-FFF2-40B4-BE49-F238E27FC236}">
                  <a16:creationId xmlns:a16="http://schemas.microsoft.com/office/drawing/2014/main" id="{00000000-0008-0000-0500-00006C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19050</xdr:rowOff>
        </xdr:from>
        <xdr:to>
          <xdr:col>18</xdr:col>
          <xdr:colOff>361950</xdr:colOff>
          <xdr:row>12</xdr:row>
          <xdr:rowOff>0</xdr:rowOff>
        </xdr:to>
        <xdr:sp macro="" textlink="">
          <xdr:nvSpPr>
            <xdr:cNvPr id="39533" name="Check Box 2669" hidden="1">
              <a:extLst>
                <a:ext uri="{63B3BB69-23CF-44E3-9099-C40C66FF867C}">
                  <a14:compatExt spid="_x0000_s39533"/>
                </a:ext>
                <a:ext uri="{FF2B5EF4-FFF2-40B4-BE49-F238E27FC236}">
                  <a16:creationId xmlns:a16="http://schemas.microsoft.com/office/drawing/2014/main" id="{00000000-0008-0000-0500-00006D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19050</xdr:rowOff>
        </xdr:from>
        <xdr:to>
          <xdr:col>18</xdr:col>
          <xdr:colOff>371475</xdr:colOff>
          <xdr:row>13</xdr:row>
          <xdr:rowOff>0</xdr:rowOff>
        </xdr:to>
        <xdr:sp macro="" textlink="">
          <xdr:nvSpPr>
            <xdr:cNvPr id="39534" name="Check Box 2670" hidden="1">
              <a:extLst>
                <a:ext uri="{63B3BB69-23CF-44E3-9099-C40C66FF867C}">
                  <a14:compatExt spid="_x0000_s39534"/>
                </a:ext>
                <a:ext uri="{FF2B5EF4-FFF2-40B4-BE49-F238E27FC236}">
                  <a16:creationId xmlns:a16="http://schemas.microsoft.com/office/drawing/2014/main" id="{00000000-0008-0000-0500-00006E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xdr:row>
          <xdr:rowOff>19050</xdr:rowOff>
        </xdr:from>
        <xdr:to>
          <xdr:col>18</xdr:col>
          <xdr:colOff>371475</xdr:colOff>
          <xdr:row>14</xdr:row>
          <xdr:rowOff>0</xdr:rowOff>
        </xdr:to>
        <xdr:sp macro="" textlink="">
          <xdr:nvSpPr>
            <xdr:cNvPr id="39535" name="Check Box 2671" hidden="1">
              <a:extLst>
                <a:ext uri="{63B3BB69-23CF-44E3-9099-C40C66FF867C}">
                  <a14:compatExt spid="_x0000_s39535"/>
                </a:ext>
                <a:ext uri="{FF2B5EF4-FFF2-40B4-BE49-F238E27FC236}">
                  <a16:creationId xmlns:a16="http://schemas.microsoft.com/office/drawing/2014/main" id="{00000000-0008-0000-0500-00006F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10</xdr:row>
          <xdr:rowOff>19050</xdr:rowOff>
        </xdr:from>
        <xdr:to>
          <xdr:col>19</xdr:col>
          <xdr:colOff>361950</xdr:colOff>
          <xdr:row>11</xdr:row>
          <xdr:rowOff>0</xdr:rowOff>
        </xdr:to>
        <xdr:sp macro="" textlink="">
          <xdr:nvSpPr>
            <xdr:cNvPr id="39537" name="Check Box 2673" hidden="1">
              <a:extLst>
                <a:ext uri="{63B3BB69-23CF-44E3-9099-C40C66FF867C}">
                  <a14:compatExt spid="_x0000_s39537"/>
                </a:ext>
                <a:ext uri="{FF2B5EF4-FFF2-40B4-BE49-F238E27FC236}">
                  <a16:creationId xmlns:a16="http://schemas.microsoft.com/office/drawing/2014/main" id="{00000000-0008-0000-0500-000071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xdr:row>
          <xdr:rowOff>19050</xdr:rowOff>
        </xdr:from>
        <xdr:to>
          <xdr:col>19</xdr:col>
          <xdr:colOff>361950</xdr:colOff>
          <xdr:row>12</xdr:row>
          <xdr:rowOff>0</xdr:rowOff>
        </xdr:to>
        <xdr:sp macro="" textlink="">
          <xdr:nvSpPr>
            <xdr:cNvPr id="39538" name="Check Box 2674" hidden="1">
              <a:extLst>
                <a:ext uri="{63B3BB69-23CF-44E3-9099-C40C66FF867C}">
                  <a14:compatExt spid="_x0000_s39538"/>
                </a:ext>
                <a:ext uri="{FF2B5EF4-FFF2-40B4-BE49-F238E27FC236}">
                  <a16:creationId xmlns:a16="http://schemas.microsoft.com/office/drawing/2014/main" id="{00000000-0008-0000-0500-000072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12</xdr:row>
          <xdr:rowOff>19050</xdr:rowOff>
        </xdr:from>
        <xdr:to>
          <xdr:col>19</xdr:col>
          <xdr:colOff>371475</xdr:colOff>
          <xdr:row>13</xdr:row>
          <xdr:rowOff>0</xdr:rowOff>
        </xdr:to>
        <xdr:sp macro="" textlink="">
          <xdr:nvSpPr>
            <xdr:cNvPr id="39539" name="Check Box 2675" hidden="1">
              <a:extLst>
                <a:ext uri="{63B3BB69-23CF-44E3-9099-C40C66FF867C}">
                  <a14:compatExt spid="_x0000_s39539"/>
                </a:ext>
                <a:ext uri="{FF2B5EF4-FFF2-40B4-BE49-F238E27FC236}">
                  <a16:creationId xmlns:a16="http://schemas.microsoft.com/office/drawing/2014/main" id="{00000000-0008-0000-0500-000073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13</xdr:row>
          <xdr:rowOff>19050</xdr:rowOff>
        </xdr:from>
        <xdr:to>
          <xdr:col>19</xdr:col>
          <xdr:colOff>371475</xdr:colOff>
          <xdr:row>14</xdr:row>
          <xdr:rowOff>0</xdr:rowOff>
        </xdr:to>
        <xdr:sp macro="" textlink="">
          <xdr:nvSpPr>
            <xdr:cNvPr id="39540" name="Check Box 2676" hidden="1">
              <a:extLst>
                <a:ext uri="{63B3BB69-23CF-44E3-9099-C40C66FF867C}">
                  <a14:compatExt spid="_x0000_s39540"/>
                </a:ext>
                <a:ext uri="{FF2B5EF4-FFF2-40B4-BE49-F238E27FC236}">
                  <a16:creationId xmlns:a16="http://schemas.microsoft.com/office/drawing/2014/main" id="{00000000-0008-0000-0500-000074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xdr:row>
          <xdr:rowOff>19050</xdr:rowOff>
        </xdr:from>
        <xdr:to>
          <xdr:col>18</xdr:col>
          <xdr:colOff>371475</xdr:colOff>
          <xdr:row>14</xdr:row>
          <xdr:rowOff>0</xdr:rowOff>
        </xdr:to>
        <xdr:sp macro="" textlink="">
          <xdr:nvSpPr>
            <xdr:cNvPr id="39541" name="Check Box 2677" hidden="1">
              <a:extLst>
                <a:ext uri="{63B3BB69-23CF-44E3-9099-C40C66FF867C}">
                  <a14:compatExt spid="_x0000_s39541"/>
                </a:ext>
                <a:ext uri="{FF2B5EF4-FFF2-40B4-BE49-F238E27FC236}">
                  <a16:creationId xmlns:a16="http://schemas.microsoft.com/office/drawing/2014/main" id="{00000000-0008-0000-0500-000075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13</xdr:row>
          <xdr:rowOff>19050</xdr:rowOff>
        </xdr:from>
        <xdr:to>
          <xdr:col>19</xdr:col>
          <xdr:colOff>371475</xdr:colOff>
          <xdr:row>14</xdr:row>
          <xdr:rowOff>0</xdr:rowOff>
        </xdr:to>
        <xdr:sp macro="" textlink="">
          <xdr:nvSpPr>
            <xdr:cNvPr id="39542" name="Check Box 2678" hidden="1">
              <a:extLst>
                <a:ext uri="{63B3BB69-23CF-44E3-9099-C40C66FF867C}">
                  <a14:compatExt spid="_x0000_s39542"/>
                </a:ext>
                <a:ext uri="{FF2B5EF4-FFF2-40B4-BE49-F238E27FC236}">
                  <a16:creationId xmlns:a16="http://schemas.microsoft.com/office/drawing/2014/main" id="{00000000-0008-0000-0500-000076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xdr:row>
          <xdr:rowOff>104775</xdr:rowOff>
        </xdr:from>
        <xdr:to>
          <xdr:col>20</xdr:col>
          <xdr:colOff>190500</xdr:colOff>
          <xdr:row>7</xdr:row>
          <xdr:rowOff>247650</xdr:rowOff>
        </xdr:to>
        <xdr:sp macro="" textlink="">
          <xdr:nvSpPr>
            <xdr:cNvPr id="39551" name="Check Box 2687" descr="チェック" hidden="1">
              <a:extLst>
                <a:ext uri="{63B3BB69-23CF-44E3-9099-C40C66FF867C}">
                  <a14:compatExt spid="_x0000_s39551"/>
                </a:ext>
                <a:ext uri="{FF2B5EF4-FFF2-40B4-BE49-F238E27FC236}">
                  <a16:creationId xmlns:a16="http://schemas.microsoft.com/office/drawing/2014/main" id="{00000000-0008-0000-0500-00007F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xdr:row>
          <xdr:rowOff>19050</xdr:rowOff>
        </xdr:from>
        <xdr:to>
          <xdr:col>18</xdr:col>
          <xdr:colOff>361950</xdr:colOff>
          <xdr:row>10</xdr:row>
          <xdr:rowOff>0</xdr:rowOff>
        </xdr:to>
        <xdr:sp macro="" textlink="">
          <xdr:nvSpPr>
            <xdr:cNvPr id="39557" name="Check Box 2693" hidden="1">
              <a:extLst>
                <a:ext uri="{63B3BB69-23CF-44E3-9099-C40C66FF867C}">
                  <a14:compatExt spid="_x0000_s39557"/>
                </a:ext>
                <a:ext uri="{FF2B5EF4-FFF2-40B4-BE49-F238E27FC236}">
                  <a16:creationId xmlns:a16="http://schemas.microsoft.com/office/drawing/2014/main" id="{00000000-0008-0000-0500-000085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19050</xdr:rowOff>
        </xdr:from>
        <xdr:to>
          <xdr:col>19</xdr:col>
          <xdr:colOff>361950</xdr:colOff>
          <xdr:row>10</xdr:row>
          <xdr:rowOff>0</xdr:rowOff>
        </xdr:to>
        <xdr:sp macro="" textlink="">
          <xdr:nvSpPr>
            <xdr:cNvPr id="39558" name="Check Box 2694" hidden="1">
              <a:extLst>
                <a:ext uri="{63B3BB69-23CF-44E3-9099-C40C66FF867C}">
                  <a14:compatExt spid="_x0000_s39558"/>
                </a:ext>
                <a:ext uri="{FF2B5EF4-FFF2-40B4-BE49-F238E27FC236}">
                  <a16:creationId xmlns:a16="http://schemas.microsoft.com/office/drawing/2014/main" id="{00000000-0008-0000-0500-000086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92</xdr:col>
      <xdr:colOff>301644</xdr:colOff>
      <xdr:row>23</xdr:row>
      <xdr:rowOff>224017</xdr:rowOff>
    </xdr:from>
    <xdr:to>
      <xdr:col>101</xdr:col>
      <xdr:colOff>80010</xdr:colOff>
      <xdr:row>26</xdr:row>
      <xdr:rowOff>228601</xdr:rowOff>
    </xdr:to>
    <xdr:grpSp>
      <xdr:nvGrpSpPr>
        <xdr:cNvPr id="2" name="グループ化 1">
          <a:extLst>
            <a:ext uri="{FF2B5EF4-FFF2-40B4-BE49-F238E27FC236}">
              <a16:creationId xmlns:a16="http://schemas.microsoft.com/office/drawing/2014/main" id="{81454D2C-683C-A1D9-692D-E45982664EC8}"/>
            </a:ext>
          </a:extLst>
        </xdr:cNvPr>
        <xdr:cNvGrpSpPr/>
      </xdr:nvGrpSpPr>
      <xdr:grpSpPr>
        <a:xfrm>
          <a:off x="45997832" y="7796392"/>
          <a:ext cx="4397991" cy="1004709"/>
          <a:chOff x="44284956" y="5096445"/>
          <a:chExt cx="3396073" cy="925520"/>
        </a:xfrm>
      </xdr:grpSpPr>
      <xdr:sp macro="" textlink="">
        <xdr:nvSpPr>
          <xdr:cNvPr id="5" name="四角形吹き出し 58">
            <a:extLst>
              <a:ext uri="{FF2B5EF4-FFF2-40B4-BE49-F238E27FC236}">
                <a16:creationId xmlns:a16="http://schemas.microsoft.com/office/drawing/2014/main" id="{B49E8A0C-8DCF-0C7F-CF10-EB741AEF3DCB}"/>
              </a:ext>
            </a:extLst>
          </xdr:cNvPr>
          <xdr:cNvSpPr/>
        </xdr:nvSpPr>
        <xdr:spPr>
          <a:xfrm>
            <a:off x="44284956" y="5096445"/>
            <a:ext cx="3396073" cy="925520"/>
          </a:xfrm>
          <a:prstGeom prst="wedgeRectCallout">
            <a:avLst>
              <a:gd name="adj1" fmla="val -69512"/>
              <a:gd name="adj2" fmla="val 871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200"/>
          </a:p>
        </xdr:txBody>
      </xdr:sp>
      <xdr:sp macro="" textlink="">
        <xdr:nvSpPr>
          <xdr:cNvPr id="6" name="テキスト ボックス 5">
            <a:extLst>
              <a:ext uri="{FF2B5EF4-FFF2-40B4-BE49-F238E27FC236}">
                <a16:creationId xmlns:a16="http://schemas.microsoft.com/office/drawing/2014/main" id="{E7836D57-8AFD-0F43-7B83-46A67D6D2641}"/>
              </a:ext>
            </a:extLst>
          </xdr:cNvPr>
          <xdr:cNvSpPr txBox="1"/>
        </xdr:nvSpPr>
        <xdr:spPr>
          <a:xfrm>
            <a:off x="44344808" y="5153882"/>
            <a:ext cx="3275876" cy="84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00000"/>
              </a:lnSpc>
            </a:pPr>
            <a:r>
              <a:rPr kumimoji="1" lang="ja-JP" altLang="en-US" sz="2000" b="1">
                <a:solidFill>
                  <a:schemeClr val="bg1"/>
                </a:solidFill>
              </a:rPr>
              <a:t>薪割体験料ついて、教員・カメラマン分を抜いた数で申請してください。</a:t>
            </a:r>
          </a:p>
        </xdr:txBody>
      </xdr:sp>
    </xdr:grpSp>
    <xdr:clientData/>
  </xdr:twoCellAnchor>
  <mc:AlternateContent xmlns:mc="http://schemas.openxmlformats.org/markup-compatibility/2006">
    <mc:Choice xmlns:a14="http://schemas.microsoft.com/office/drawing/2010/main" Requires="a14">
      <xdr:twoCellAnchor editAs="oneCell">
        <xdr:from>
          <xdr:col>73</xdr:col>
          <xdr:colOff>47625</xdr:colOff>
          <xdr:row>13</xdr:row>
          <xdr:rowOff>19050</xdr:rowOff>
        </xdr:from>
        <xdr:to>
          <xdr:col>73</xdr:col>
          <xdr:colOff>381000</xdr:colOff>
          <xdr:row>14</xdr:row>
          <xdr:rowOff>0</xdr:rowOff>
        </xdr:to>
        <xdr:sp macro="" textlink="">
          <xdr:nvSpPr>
            <xdr:cNvPr id="39560" name="Check Box 2696" hidden="1">
              <a:extLst>
                <a:ext uri="{63B3BB69-23CF-44E3-9099-C40C66FF867C}">
                  <a14:compatExt spid="_x0000_s39560"/>
                </a:ext>
                <a:ext uri="{FF2B5EF4-FFF2-40B4-BE49-F238E27FC236}">
                  <a16:creationId xmlns:a16="http://schemas.microsoft.com/office/drawing/2014/main" id="{00000000-0008-0000-0500-000088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10</xdr:row>
          <xdr:rowOff>19050</xdr:rowOff>
        </xdr:from>
        <xdr:to>
          <xdr:col>72</xdr:col>
          <xdr:colOff>361950</xdr:colOff>
          <xdr:row>11</xdr:row>
          <xdr:rowOff>0</xdr:rowOff>
        </xdr:to>
        <xdr:sp macro="" textlink="">
          <xdr:nvSpPr>
            <xdr:cNvPr id="39561" name="Check Box 2697" hidden="1">
              <a:extLst>
                <a:ext uri="{63B3BB69-23CF-44E3-9099-C40C66FF867C}">
                  <a14:compatExt spid="_x0000_s39561"/>
                </a:ext>
                <a:ext uri="{FF2B5EF4-FFF2-40B4-BE49-F238E27FC236}">
                  <a16:creationId xmlns:a16="http://schemas.microsoft.com/office/drawing/2014/main" id="{00000000-0008-0000-0500-000089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11</xdr:row>
          <xdr:rowOff>19050</xdr:rowOff>
        </xdr:from>
        <xdr:to>
          <xdr:col>72</xdr:col>
          <xdr:colOff>361950</xdr:colOff>
          <xdr:row>12</xdr:row>
          <xdr:rowOff>0</xdr:rowOff>
        </xdr:to>
        <xdr:sp macro="" textlink="">
          <xdr:nvSpPr>
            <xdr:cNvPr id="39562" name="Check Box 2698" hidden="1">
              <a:extLst>
                <a:ext uri="{63B3BB69-23CF-44E3-9099-C40C66FF867C}">
                  <a14:compatExt spid="_x0000_s39562"/>
                </a:ext>
                <a:ext uri="{FF2B5EF4-FFF2-40B4-BE49-F238E27FC236}">
                  <a16:creationId xmlns:a16="http://schemas.microsoft.com/office/drawing/2014/main" id="{00000000-0008-0000-0500-00008A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12</xdr:row>
          <xdr:rowOff>19050</xdr:rowOff>
        </xdr:from>
        <xdr:to>
          <xdr:col>72</xdr:col>
          <xdr:colOff>381000</xdr:colOff>
          <xdr:row>13</xdr:row>
          <xdr:rowOff>0</xdr:rowOff>
        </xdr:to>
        <xdr:sp macro="" textlink="">
          <xdr:nvSpPr>
            <xdr:cNvPr id="39563" name="Check Box 2699" hidden="1">
              <a:extLst>
                <a:ext uri="{63B3BB69-23CF-44E3-9099-C40C66FF867C}">
                  <a14:compatExt spid="_x0000_s39563"/>
                </a:ext>
                <a:ext uri="{FF2B5EF4-FFF2-40B4-BE49-F238E27FC236}">
                  <a16:creationId xmlns:a16="http://schemas.microsoft.com/office/drawing/2014/main" id="{00000000-0008-0000-0500-00008B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13</xdr:row>
          <xdr:rowOff>19050</xdr:rowOff>
        </xdr:from>
        <xdr:to>
          <xdr:col>72</xdr:col>
          <xdr:colOff>381000</xdr:colOff>
          <xdr:row>14</xdr:row>
          <xdr:rowOff>0</xdr:rowOff>
        </xdr:to>
        <xdr:sp macro="" textlink="">
          <xdr:nvSpPr>
            <xdr:cNvPr id="39564" name="Check Box 2700" hidden="1">
              <a:extLst>
                <a:ext uri="{63B3BB69-23CF-44E3-9099-C40C66FF867C}">
                  <a14:compatExt spid="_x0000_s39564"/>
                </a:ext>
                <a:ext uri="{FF2B5EF4-FFF2-40B4-BE49-F238E27FC236}">
                  <a16:creationId xmlns:a16="http://schemas.microsoft.com/office/drawing/2014/main" id="{00000000-0008-0000-0500-00008C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10</xdr:row>
          <xdr:rowOff>19050</xdr:rowOff>
        </xdr:from>
        <xdr:to>
          <xdr:col>73</xdr:col>
          <xdr:colOff>361950</xdr:colOff>
          <xdr:row>11</xdr:row>
          <xdr:rowOff>0</xdr:rowOff>
        </xdr:to>
        <xdr:sp macro="" textlink="">
          <xdr:nvSpPr>
            <xdr:cNvPr id="39565" name="Check Box 2701" hidden="1">
              <a:extLst>
                <a:ext uri="{63B3BB69-23CF-44E3-9099-C40C66FF867C}">
                  <a14:compatExt spid="_x0000_s39565"/>
                </a:ext>
                <a:ext uri="{FF2B5EF4-FFF2-40B4-BE49-F238E27FC236}">
                  <a16:creationId xmlns:a16="http://schemas.microsoft.com/office/drawing/2014/main" id="{00000000-0008-0000-0500-00008D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11</xdr:row>
          <xdr:rowOff>19050</xdr:rowOff>
        </xdr:from>
        <xdr:to>
          <xdr:col>73</xdr:col>
          <xdr:colOff>361950</xdr:colOff>
          <xdr:row>12</xdr:row>
          <xdr:rowOff>0</xdr:rowOff>
        </xdr:to>
        <xdr:sp macro="" textlink="">
          <xdr:nvSpPr>
            <xdr:cNvPr id="39566" name="Check Box 2702" hidden="1">
              <a:extLst>
                <a:ext uri="{63B3BB69-23CF-44E3-9099-C40C66FF867C}">
                  <a14:compatExt spid="_x0000_s39566"/>
                </a:ext>
                <a:ext uri="{FF2B5EF4-FFF2-40B4-BE49-F238E27FC236}">
                  <a16:creationId xmlns:a16="http://schemas.microsoft.com/office/drawing/2014/main" id="{00000000-0008-0000-0500-00008E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12</xdr:row>
          <xdr:rowOff>19050</xdr:rowOff>
        </xdr:from>
        <xdr:to>
          <xdr:col>73</xdr:col>
          <xdr:colOff>381000</xdr:colOff>
          <xdr:row>13</xdr:row>
          <xdr:rowOff>0</xdr:rowOff>
        </xdr:to>
        <xdr:sp macro="" textlink="">
          <xdr:nvSpPr>
            <xdr:cNvPr id="39567" name="Check Box 2703" hidden="1">
              <a:extLst>
                <a:ext uri="{63B3BB69-23CF-44E3-9099-C40C66FF867C}">
                  <a14:compatExt spid="_x0000_s39567"/>
                </a:ext>
                <a:ext uri="{FF2B5EF4-FFF2-40B4-BE49-F238E27FC236}">
                  <a16:creationId xmlns:a16="http://schemas.microsoft.com/office/drawing/2014/main" id="{00000000-0008-0000-0500-00008F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13</xdr:row>
          <xdr:rowOff>19050</xdr:rowOff>
        </xdr:from>
        <xdr:to>
          <xdr:col>73</xdr:col>
          <xdr:colOff>381000</xdr:colOff>
          <xdr:row>14</xdr:row>
          <xdr:rowOff>0</xdr:rowOff>
        </xdr:to>
        <xdr:sp macro="" textlink="">
          <xdr:nvSpPr>
            <xdr:cNvPr id="39568" name="Check Box 2704" hidden="1">
              <a:extLst>
                <a:ext uri="{63B3BB69-23CF-44E3-9099-C40C66FF867C}">
                  <a14:compatExt spid="_x0000_s39568"/>
                </a:ext>
                <a:ext uri="{FF2B5EF4-FFF2-40B4-BE49-F238E27FC236}">
                  <a16:creationId xmlns:a16="http://schemas.microsoft.com/office/drawing/2014/main" id="{00000000-0008-0000-0500-000090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13</xdr:row>
          <xdr:rowOff>19050</xdr:rowOff>
        </xdr:from>
        <xdr:to>
          <xdr:col>72</xdr:col>
          <xdr:colOff>381000</xdr:colOff>
          <xdr:row>14</xdr:row>
          <xdr:rowOff>0</xdr:rowOff>
        </xdr:to>
        <xdr:sp macro="" textlink="">
          <xdr:nvSpPr>
            <xdr:cNvPr id="39569" name="Check Box 2705" hidden="1">
              <a:extLst>
                <a:ext uri="{63B3BB69-23CF-44E3-9099-C40C66FF867C}">
                  <a14:compatExt spid="_x0000_s39569"/>
                </a:ext>
                <a:ext uri="{FF2B5EF4-FFF2-40B4-BE49-F238E27FC236}">
                  <a16:creationId xmlns:a16="http://schemas.microsoft.com/office/drawing/2014/main" id="{00000000-0008-0000-0500-000091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13</xdr:row>
          <xdr:rowOff>19050</xdr:rowOff>
        </xdr:from>
        <xdr:to>
          <xdr:col>73</xdr:col>
          <xdr:colOff>381000</xdr:colOff>
          <xdr:row>14</xdr:row>
          <xdr:rowOff>0</xdr:rowOff>
        </xdr:to>
        <xdr:sp macro="" textlink="">
          <xdr:nvSpPr>
            <xdr:cNvPr id="39570" name="Check Box 2706" hidden="1">
              <a:extLst>
                <a:ext uri="{63B3BB69-23CF-44E3-9099-C40C66FF867C}">
                  <a14:compatExt spid="_x0000_s39570"/>
                </a:ext>
                <a:ext uri="{FF2B5EF4-FFF2-40B4-BE49-F238E27FC236}">
                  <a16:creationId xmlns:a16="http://schemas.microsoft.com/office/drawing/2014/main" id="{00000000-0008-0000-0500-000092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47625</xdr:colOff>
          <xdr:row>9</xdr:row>
          <xdr:rowOff>19050</xdr:rowOff>
        </xdr:from>
        <xdr:to>
          <xdr:col>72</xdr:col>
          <xdr:colOff>361950</xdr:colOff>
          <xdr:row>10</xdr:row>
          <xdr:rowOff>0</xdr:rowOff>
        </xdr:to>
        <xdr:sp macro="" textlink="">
          <xdr:nvSpPr>
            <xdr:cNvPr id="39571" name="Check Box 2707" hidden="1">
              <a:extLst>
                <a:ext uri="{63B3BB69-23CF-44E3-9099-C40C66FF867C}">
                  <a14:compatExt spid="_x0000_s39571"/>
                </a:ext>
                <a:ext uri="{FF2B5EF4-FFF2-40B4-BE49-F238E27FC236}">
                  <a16:creationId xmlns:a16="http://schemas.microsoft.com/office/drawing/2014/main" id="{00000000-0008-0000-0500-000093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9</xdr:row>
          <xdr:rowOff>19050</xdr:rowOff>
        </xdr:from>
        <xdr:to>
          <xdr:col>73</xdr:col>
          <xdr:colOff>361950</xdr:colOff>
          <xdr:row>10</xdr:row>
          <xdr:rowOff>0</xdr:rowOff>
        </xdr:to>
        <xdr:sp macro="" textlink="">
          <xdr:nvSpPr>
            <xdr:cNvPr id="39572" name="Check Box 2708" hidden="1">
              <a:extLst>
                <a:ext uri="{63B3BB69-23CF-44E3-9099-C40C66FF867C}">
                  <a14:compatExt spid="_x0000_s39572"/>
                </a:ext>
                <a:ext uri="{FF2B5EF4-FFF2-40B4-BE49-F238E27FC236}">
                  <a16:creationId xmlns:a16="http://schemas.microsoft.com/office/drawing/2014/main" id="{00000000-0008-0000-0500-0000949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0</xdr:colOff>
      <xdr:row>28</xdr:row>
      <xdr:rowOff>0</xdr:rowOff>
    </xdr:from>
    <xdr:to>
      <xdr:col>102</xdr:col>
      <xdr:colOff>813416</xdr:colOff>
      <xdr:row>31</xdr:row>
      <xdr:rowOff>4584</xdr:rowOff>
    </xdr:to>
    <xdr:grpSp>
      <xdr:nvGrpSpPr>
        <xdr:cNvPr id="7" name="グループ化 6">
          <a:extLst>
            <a:ext uri="{FF2B5EF4-FFF2-40B4-BE49-F238E27FC236}">
              <a16:creationId xmlns:a16="http://schemas.microsoft.com/office/drawing/2014/main" id="{FE009A2C-13D0-43A6-BCE7-3C4B6448B292}"/>
            </a:ext>
          </a:extLst>
        </xdr:cNvPr>
        <xdr:cNvGrpSpPr/>
      </xdr:nvGrpSpPr>
      <xdr:grpSpPr>
        <a:xfrm>
          <a:off x="47839313" y="9239250"/>
          <a:ext cx="4480541" cy="1004709"/>
          <a:chOff x="44284956" y="5096445"/>
          <a:chExt cx="3396073" cy="925520"/>
        </a:xfrm>
      </xdr:grpSpPr>
      <xdr:sp macro="" textlink="">
        <xdr:nvSpPr>
          <xdr:cNvPr id="8" name="四角形吹き出し 58">
            <a:extLst>
              <a:ext uri="{FF2B5EF4-FFF2-40B4-BE49-F238E27FC236}">
                <a16:creationId xmlns:a16="http://schemas.microsoft.com/office/drawing/2014/main" id="{1FED9BCE-23AD-9DC6-B143-129FFFF4CE3C}"/>
              </a:ext>
            </a:extLst>
          </xdr:cNvPr>
          <xdr:cNvSpPr/>
        </xdr:nvSpPr>
        <xdr:spPr>
          <a:xfrm>
            <a:off x="44284956" y="5096445"/>
            <a:ext cx="3396073" cy="925520"/>
          </a:xfrm>
          <a:prstGeom prst="wedgeRectCallout">
            <a:avLst>
              <a:gd name="adj1" fmla="val -91248"/>
              <a:gd name="adj2" fmla="val 132411"/>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200"/>
          </a:p>
        </xdr:txBody>
      </xdr:sp>
      <xdr:sp macro="" textlink="">
        <xdr:nvSpPr>
          <xdr:cNvPr id="9" name="テキスト ボックス 8">
            <a:extLst>
              <a:ext uri="{FF2B5EF4-FFF2-40B4-BE49-F238E27FC236}">
                <a16:creationId xmlns:a16="http://schemas.microsoft.com/office/drawing/2014/main" id="{BC050123-A9BE-1116-D270-002A46E53398}"/>
              </a:ext>
            </a:extLst>
          </xdr:cNvPr>
          <xdr:cNvSpPr txBox="1"/>
        </xdr:nvSpPr>
        <xdr:spPr>
          <a:xfrm>
            <a:off x="44344808" y="5153882"/>
            <a:ext cx="3275876" cy="84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00000"/>
              </a:lnSpc>
            </a:pPr>
            <a:r>
              <a:rPr kumimoji="1" lang="ja-JP" altLang="en-US" sz="2000" b="1">
                <a:solidFill>
                  <a:schemeClr val="bg1"/>
                </a:solidFill>
              </a:rPr>
              <a:t>カメラマンが宿泊される場合は分を抜いた数で申請してください。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200025</xdr:colOff>
      <xdr:row>1</xdr:row>
      <xdr:rowOff>19050</xdr:rowOff>
    </xdr:from>
    <xdr:to>
      <xdr:col>51</xdr:col>
      <xdr:colOff>247650</xdr:colOff>
      <xdr:row>1</xdr:row>
      <xdr:rowOff>285750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458825" y="200025"/>
          <a:ext cx="876300" cy="266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32</xdr:col>
      <xdr:colOff>190501</xdr:colOff>
      <xdr:row>4</xdr:row>
      <xdr:rowOff>19050</xdr:rowOff>
    </xdr:from>
    <xdr:to>
      <xdr:col>50</xdr:col>
      <xdr:colOff>161925</xdr:colOff>
      <xdr:row>9</xdr:row>
      <xdr:rowOff>57150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334501" y="1038225"/>
          <a:ext cx="4943474"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chemeClr val="bg1"/>
              </a:solidFill>
              <a:latin typeface="BIZ UDPゴシック" panose="020B0400000000000000" pitchFamily="50" charset="-128"/>
              <a:ea typeface="BIZ UDPゴシック" panose="020B0400000000000000" pitchFamily="50" charset="-128"/>
            </a:rPr>
            <a:t>【05</a:t>
          </a:r>
          <a:r>
            <a:rPr kumimoji="1" lang="ja-JP" altLang="en-US" sz="1200" b="1" baseline="0">
              <a:solidFill>
                <a:schemeClr val="bg1"/>
              </a:solidFill>
              <a:latin typeface="BIZ UDPゴシック" panose="020B0400000000000000" pitchFamily="50" charset="-128"/>
              <a:ea typeface="BIZ UDPゴシック" panose="020B0400000000000000" pitchFamily="50" charset="-128"/>
            </a:rPr>
            <a:t> </a:t>
          </a:r>
          <a:r>
            <a:rPr kumimoji="1" lang="ja-JP" altLang="en-US" sz="1200" b="1">
              <a:solidFill>
                <a:schemeClr val="bg1"/>
              </a:solidFill>
              <a:latin typeface="BIZ UDPゴシック" panose="020B0400000000000000" pitchFamily="50" charset="-128"/>
              <a:ea typeface="BIZ UDPゴシック" panose="020B0400000000000000" pitchFamily="50" charset="-128"/>
            </a:rPr>
            <a:t>利用者名簿</a:t>
          </a:r>
          <a:r>
            <a:rPr kumimoji="1" lang="en-US" altLang="ja-JP" sz="1200" b="1">
              <a:solidFill>
                <a:schemeClr val="bg1"/>
              </a:solidFill>
              <a:latin typeface="BIZ UDPゴシック" panose="020B0400000000000000" pitchFamily="50" charset="-128"/>
              <a:ea typeface="BIZ UDPゴシック" panose="020B0400000000000000" pitchFamily="50" charset="-128"/>
            </a:rPr>
            <a:t>】</a:t>
          </a:r>
          <a:r>
            <a:rPr kumimoji="1" lang="ja-JP" altLang="en-US" sz="1200" b="1">
              <a:solidFill>
                <a:schemeClr val="bg1"/>
              </a:solidFill>
              <a:latin typeface="BIZ UDPゴシック" panose="020B0400000000000000" pitchFamily="50" charset="-128"/>
              <a:ea typeface="BIZ UDPゴシック" panose="020B0400000000000000" pitchFamily="50" charset="-128"/>
            </a:rPr>
            <a:t>から、減免区分・人数を算出しております。</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変更がある場合は、本紙を修正せずに、</a:t>
          </a:r>
          <a:r>
            <a:rPr kumimoji="1" lang="en-US" altLang="ja-JP" sz="1200" b="1">
              <a:solidFill>
                <a:schemeClr val="bg1"/>
              </a:solidFill>
              <a:latin typeface="BIZ UDPゴシック" panose="020B0400000000000000" pitchFamily="50" charset="-128"/>
              <a:ea typeface="BIZ UDPゴシック" panose="020B0400000000000000" pitchFamily="50" charset="-128"/>
            </a:rPr>
            <a:t>【05</a:t>
          </a:r>
          <a:r>
            <a:rPr kumimoji="1" lang="ja-JP" altLang="en-US" sz="1200" b="1" baseline="0">
              <a:solidFill>
                <a:schemeClr val="bg1"/>
              </a:solidFill>
              <a:latin typeface="BIZ UDPゴシック" panose="020B0400000000000000" pitchFamily="50" charset="-128"/>
              <a:ea typeface="BIZ UDPゴシック" panose="020B0400000000000000" pitchFamily="50" charset="-128"/>
            </a:rPr>
            <a:t> 利用者名簿</a:t>
          </a:r>
          <a:r>
            <a:rPr kumimoji="1" lang="en-US" altLang="ja-JP" sz="1200" b="1">
              <a:solidFill>
                <a:schemeClr val="bg1"/>
              </a:solidFill>
              <a:latin typeface="BIZ UDPゴシック" panose="020B0400000000000000" pitchFamily="50" charset="-128"/>
              <a:ea typeface="BIZ UDPゴシック" panose="020B0400000000000000" pitchFamily="50" charset="-128"/>
            </a:rPr>
            <a:t>】</a:t>
          </a:r>
          <a:r>
            <a:rPr kumimoji="1" lang="ja-JP" altLang="en-US" sz="1200" b="1">
              <a:solidFill>
                <a:schemeClr val="bg1"/>
              </a:solidFill>
              <a:latin typeface="BIZ UDPゴシック" panose="020B0400000000000000" pitchFamily="50" charset="-128"/>
              <a:ea typeface="BIZ UDPゴシック" panose="020B0400000000000000" pitchFamily="50" charset="-128"/>
            </a:rPr>
            <a:t>のみ修正をおこなってください。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48</xdr:col>
      <xdr:colOff>247651</xdr:colOff>
      <xdr:row>1</xdr:row>
      <xdr:rowOff>28575</xdr:rowOff>
    </xdr:from>
    <xdr:to>
      <xdr:col>51</xdr:col>
      <xdr:colOff>257176</xdr:colOff>
      <xdr:row>1</xdr:row>
      <xdr:rowOff>288348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3506451" y="390525"/>
          <a:ext cx="838200"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55</xdr:col>
      <xdr:colOff>10887</xdr:colOff>
      <xdr:row>3</xdr:row>
      <xdr:rowOff>16327</xdr:rowOff>
    </xdr:from>
    <xdr:to>
      <xdr:col>66</xdr:col>
      <xdr:colOff>272144</xdr:colOff>
      <xdr:row>5</xdr:row>
      <xdr:rowOff>40821</xdr:rowOff>
    </xdr:to>
    <xdr:sp macro="" textlink="">
      <xdr:nvSpPr>
        <xdr:cNvPr id="2" name="テキスト ボックス 1">
          <a:extLst>
            <a:ext uri="{FF2B5EF4-FFF2-40B4-BE49-F238E27FC236}">
              <a16:creationId xmlns:a16="http://schemas.microsoft.com/office/drawing/2014/main" id="{97DEC00C-E13B-460E-8E16-7E69B7E8CDC9}"/>
            </a:ext>
          </a:extLst>
        </xdr:cNvPr>
        <xdr:cNvSpPr txBox="1"/>
      </xdr:nvSpPr>
      <xdr:spPr>
        <a:xfrm>
          <a:off x="14727012" y="987877"/>
          <a:ext cx="3614057" cy="653144"/>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１日目分と２日目分でシートが分かれています。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それそれで入力をお願いします。</a:t>
          </a:r>
        </a:p>
      </xdr:txBody>
    </xdr:sp>
    <xdr:clientData/>
  </xdr:twoCellAnchor>
  <xdr:twoCellAnchor>
    <xdr:from>
      <xdr:col>68</xdr:col>
      <xdr:colOff>63954</xdr:colOff>
      <xdr:row>19</xdr:row>
      <xdr:rowOff>63952</xdr:rowOff>
    </xdr:from>
    <xdr:to>
      <xdr:col>80</xdr:col>
      <xdr:colOff>95252</xdr:colOff>
      <xdr:row>22</xdr:row>
      <xdr:rowOff>163284</xdr:rowOff>
    </xdr:to>
    <xdr:sp macro="" textlink="">
      <xdr:nvSpPr>
        <xdr:cNvPr id="3" name="テキスト ボックス 2">
          <a:extLst>
            <a:ext uri="{FF2B5EF4-FFF2-40B4-BE49-F238E27FC236}">
              <a16:creationId xmlns:a16="http://schemas.microsoft.com/office/drawing/2014/main" id="{40656811-16AE-4C63-B8C6-4EBEB570724D}"/>
            </a:ext>
          </a:extLst>
        </xdr:cNvPr>
        <xdr:cNvSpPr txBox="1"/>
      </xdr:nvSpPr>
      <xdr:spPr>
        <a:xfrm>
          <a:off x="18742479" y="4845502"/>
          <a:ext cx="3688898" cy="785132"/>
        </a:xfrm>
        <a:prstGeom prst="rect">
          <a:avLst/>
        </a:prstGeom>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送迎の方は、名前が不要です。台数を入力ください。</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公園内の滞在時間は、</a:t>
          </a:r>
          <a:r>
            <a:rPr kumimoji="1" lang="en-US" altLang="ja-JP" sz="1200" b="1">
              <a:solidFill>
                <a:schemeClr val="bg1"/>
              </a:solidFill>
              <a:latin typeface="BIZ UDPゴシック" panose="020B0400000000000000" pitchFamily="50" charset="-128"/>
              <a:ea typeface="BIZ UDPゴシック" panose="020B0400000000000000" pitchFamily="50" charset="-128"/>
            </a:rPr>
            <a:t>30</a:t>
          </a:r>
          <a:r>
            <a:rPr kumimoji="1" lang="ja-JP" altLang="en-US" sz="1200" b="1">
              <a:solidFill>
                <a:schemeClr val="bg1"/>
              </a:solidFill>
              <a:latin typeface="BIZ UDPゴシック" panose="020B0400000000000000" pitchFamily="50" charset="-128"/>
              <a:ea typeface="BIZ UDPゴシック" panose="020B0400000000000000" pitchFamily="50" charset="-128"/>
            </a:rPr>
            <a:t>分までです。</a:t>
          </a:r>
        </a:p>
      </xdr:txBody>
    </xdr:sp>
    <xdr:clientData/>
  </xdr:twoCellAnchor>
  <xdr:twoCellAnchor>
    <xdr:from>
      <xdr:col>53</xdr:col>
      <xdr:colOff>284390</xdr:colOff>
      <xdr:row>9</xdr:row>
      <xdr:rowOff>216354</xdr:rowOff>
    </xdr:from>
    <xdr:to>
      <xdr:col>64</xdr:col>
      <xdr:colOff>95251</xdr:colOff>
      <xdr:row>13</xdr:row>
      <xdr:rowOff>84364</xdr:rowOff>
    </xdr:to>
    <xdr:sp macro="" textlink="">
      <xdr:nvSpPr>
        <xdr:cNvPr id="4" name="テキスト ボックス 3">
          <a:extLst>
            <a:ext uri="{FF2B5EF4-FFF2-40B4-BE49-F238E27FC236}">
              <a16:creationId xmlns:a16="http://schemas.microsoft.com/office/drawing/2014/main" id="{20004D4A-919E-43CB-A59F-FBAB148BACA6}"/>
            </a:ext>
          </a:extLst>
        </xdr:cNvPr>
        <xdr:cNvSpPr txBox="1"/>
      </xdr:nvSpPr>
      <xdr:spPr>
        <a:xfrm>
          <a:off x="14390915" y="2711904"/>
          <a:ext cx="3163661" cy="782410"/>
        </a:xfrm>
        <a:prstGeom prst="rect">
          <a:avLst/>
        </a:prstGeom>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宿泊者の方は、</a:t>
          </a:r>
          <a:r>
            <a:rPr kumimoji="1" lang="en-US" altLang="ja-JP" sz="1200" b="1">
              <a:solidFill>
                <a:schemeClr val="bg1"/>
              </a:solidFill>
              <a:latin typeface="BIZ UDPゴシック" panose="020B0400000000000000" pitchFamily="50" charset="-128"/>
              <a:ea typeface="BIZ UDPゴシック" panose="020B0400000000000000" pitchFamily="50" charset="-128"/>
            </a:rPr>
            <a:t>2</a:t>
          </a:r>
          <a:r>
            <a:rPr kumimoji="1" lang="ja-JP" altLang="en-US" sz="1200" b="1">
              <a:solidFill>
                <a:schemeClr val="bg1"/>
              </a:solidFill>
              <a:latin typeface="BIZ UDPゴシック" panose="020B0400000000000000" pitchFamily="50" charset="-128"/>
              <a:ea typeface="BIZ UDPゴシック" panose="020B0400000000000000" pitchFamily="50" charset="-128"/>
            </a:rPr>
            <a:t>日目に退園する時間を、</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en-US" altLang="ja-JP" sz="1200" b="1">
              <a:solidFill>
                <a:schemeClr val="bg1"/>
              </a:solidFill>
              <a:latin typeface="BIZ UDPゴシック" panose="020B0400000000000000" pitchFamily="50" charset="-128"/>
              <a:ea typeface="BIZ UDPゴシック" panose="020B0400000000000000" pitchFamily="50" charset="-128"/>
            </a:rPr>
            <a:t>1</a:t>
          </a:r>
          <a:r>
            <a:rPr kumimoji="1" lang="ja-JP" altLang="en-US" sz="1200" b="1">
              <a:solidFill>
                <a:schemeClr val="bg1"/>
              </a:solidFill>
              <a:latin typeface="BIZ UDPゴシック" panose="020B0400000000000000" pitchFamily="50" charset="-128"/>
              <a:ea typeface="BIZ UDPゴシック" panose="020B0400000000000000" pitchFamily="50" charset="-128"/>
            </a:rPr>
            <a:t>日目のシートにご入力ください。</a:t>
          </a:r>
        </a:p>
      </xdr:txBody>
    </xdr:sp>
    <xdr:clientData/>
  </xdr:twoCellAnchor>
  <xdr:twoCellAnchor>
    <xdr:from>
      <xdr:col>45</xdr:col>
      <xdr:colOff>292826</xdr:colOff>
      <xdr:row>24</xdr:row>
      <xdr:rowOff>79193</xdr:rowOff>
    </xdr:from>
    <xdr:to>
      <xdr:col>56</xdr:col>
      <xdr:colOff>103686</xdr:colOff>
      <xdr:row>29</xdr:row>
      <xdr:rowOff>43543</xdr:rowOff>
    </xdr:to>
    <xdr:sp macro="" textlink="">
      <xdr:nvSpPr>
        <xdr:cNvPr id="5" name="テキスト ボックス 4">
          <a:extLst>
            <a:ext uri="{FF2B5EF4-FFF2-40B4-BE49-F238E27FC236}">
              <a16:creationId xmlns:a16="http://schemas.microsoft.com/office/drawing/2014/main" id="{B294CEBB-754F-49D8-8638-88A32D941B0B}"/>
            </a:ext>
          </a:extLst>
        </xdr:cNvPr>
        <xdr:cNvSpPr txBox="1"/>
      </xdr:nvSpPr>
      <xdr:spPr>
        <a:xfrm>
          <a:off x="11962312" y="6022793"/>
          <a:ext cx="3163660" cy="10311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公園の開園時間内に入園される方は、料金所でお支払いください。</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公園の閉園時間は、山の家の事務室にて</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r>
            <a:rPr kumimoji="1" lang="ja-JP" altLang="en-US" sz="1200" b="1">
              <a:solidFill>
                <a:schemeClr val="bg1"/>
              </a:solidFill>
              <a:latin typeface="BIZ UDPゴシック" panose="020B0400000000000000" pitchFamily="50" charset="-128"/>
              <a:ea typeface="BIZ UDPゴシック" panose="020B0400000000000000" pitchFamily="50" charset="-128"/>
            </a:rPr>
            <a:t>駐車料金をお支払いください。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48</xdr:col>
      <xdr:colOff>238125</xdr:colOff>
      <xdr:row>1</xdr:row>
      <xdr:rowOff>28575</xdr:rowOff>
    </xdr:from>
    <xdr:to>
      <xdr:col>51</xdr:col>
      <xdr:colOff>247650</xdr:colOff>
      <xdr:row>1</xdr:row>
      <xdr:rowOff>288348</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496925" y="390525"/>
          <a:ext cx="838200" cy="2597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16</xdr:row>
          <xdr:rowOff>76200</xdr:rowOff>
        </xdr:from>
        <xdr:to>
          <xdr:col>7</xdr:col>
          <xdr:colOff>114300</xdr:colOff>
          <xdr:row>16</xdr:row>
          <xdr:rowOff>323850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9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38100</xdr:rowOff>
        </xdr:from>
        <xdr:to>
          <xdr:col>7</xdr:col>
          <xdr:colOff>104775</xdr:colOff>
          <xdr:row>17</xdr:row>
          <xdr:rowOff>323850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9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15/Downloads/R8&#19968;&#33324;&#22243;&#20307;&#30003;&#35531;&#26360;&#65288;4.1&#65374;&#65289;.xlsx" TargetMode="External"/><Relationship Id="rId2" Type="http://schemas.openxmlformats.org/officeDocument/2006/relationships/externalLinkPath" Target="file:///C:\Users\user\Desktop\R8&#19968;&#33324;&#22243;&#20307;&#30003;&#35531;&#26360;&#65288;4.1&#65374;&#65289;.xlsx" TargetMode="External"/><Relationship Id="rId1" Type="http://schemas.openxmlformats.org/officeDocument/2006/relationships/externalLinkPath" Target="/Users/user15/Downloads/R8&#19968;&#33324;&#22243;&#20307;&#30003;&#35531;&#26360;&#65288;4.1&#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_n\&#20849;&#26377;\&#20196;&#21644;4&#24180;&#24230;(2022&#24180;&#24230;)\03&#30456;&#35527;&#12539;&#20107;&#26989;\00.&#30456;&#35527;\07.&#30003;&#35531;&#26360;&#39006;\&#20196;&#21644;4&#24180;&#29992;\01R4&#30003;&#35531;&#26360;&#39006;&#65288;&#26413;&#24140;&#24066;&#20869;&#23567;&#20013;&#23398;&#2665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_n\&#20849;&#26377;\&#20196;&#21644;3&#24180;&#24230;(2021&#24180;&#24230;)\03%20&#30456;&#35527;\&#9733;R3&#20351;&#29992;&#12288;&#30003;&#35531;&#26360;&#39006;\HP&#12450;&#12483;&#12503;&#29992;&#12288;&#30003;&#35531;&#26360;&#39006;\&#30003;&#35531;&#26360;&#39006;&#65288;&#26085;&#24112;&#12426;&#12539;&#65297;&#27850;&#23567;&#20013;&#23398;&#26657;&#29992;&#65289;11.7&#21407;&#39080;&#227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必ずはじめにお読みください※"/>
      <sheetName val="01 使用承認申請書"/>
      <sheetName val="02 利用計画書"/>
      <sheetName val="03 食事申込書"/>
      <sheetName val="04 利用者名簿"/>
      <sheetName val="05 人数報告用紙"/>
      <sheetName val="06 使用料減免申請書"/>
      <sheetName val="07 車両動向報告書"/>
      <sheetName val="08 利用日変更（取消）報告書"/>
    </sheetNames>
    <sheetDataSet>
      <sheetData sheetId="0"/>
      <sheetData sheetId="1">
        <row r="6">
          <cell r="BE6">
            <v>46113</v>
          </cell>
          <cell r="BF6">
            <v>46114</v>
          </cell>
          <cell r="BG6">
            <v>46115</v>
          </cell>
          <cell r="BH6">
            <v>46116</v>
          </cell>
          <cell r="BI6">
            <v>46117</v>
          </cell>
          <cell r="BJ6">
            <v>46118</v>
          </cell>
          <cell r="BK6">
            <v>46119</v>
          </cell>
          <cell r="BL6">
            <v>46120</v>
          </cell>
          <cell r="BM6">
            <v>46121</v>
          </cell>
          <cell r="BN6">
            <v>46122</v>
          </cell>
          <cell r="BO6">
            <v>46123</v>
          </cell>
          <cell r="BP6">
            <v>46124</v>
          </cell>
          <cell r="BQ6">
            <v>46125</v>
          </cell>
          <cell r="BR6">
            <v>46126</v>
          </cell>
          <cell r="BS6">
            <v>46127</v>
          </cell>
          <cell r="BT6">
            <v>46128</v>
          </cell>
          <cell r="BU6">
            <v>46129</v>
          </cell>
          <cell r="BV6">
            <v>46130</v>
          </cell>
          <cell r="BW6">
            <v>46131</v>
          </cell>
          <cell r="BX6">
            <v>46132</v>
          </cell>
          <cell r="BY6">
            <v>46133</v>
          </cell>
          <cell r="BZ6">
            <v>46134</v>
          </cell>
          <cell r="CA6">
            <v>46135</v>
          </cell>
          <cell r="CB6">
            <v>46136</v>
          </cell>
          <cell r="CC6">
            <v>46137</v>
          </cell>
          <cell r="CD6">
            <v>46138</v>
          </cell>
          <cell r="CE6">
            <v>46139</v>
          </cell>
          <cell r="CF6">
            <v>46140</v>
          </cell>
          <cell r="CG6">
            <v>46141</v>
          </cell>
          <cell r="CH6">
            <v>46142</v>
          </cell>
          <cell r="CI6">
            <v>46143</v>
          </cell>
          <cell r="CJ6">
            <v>46144</v>
          </cell>
          <cell r="CK6">
            <v>46145</v>
          </cell>
          <cell r="CL6">
            <v>46146</v>
          </cell>
          <cell r="CM6">
            <v>46147</v>
          </cell>
          <cell r="CN6">
            <v>46148</v>
          </cell>
          <cell r="CO6">
            <v>46149</v>
          </cell>
          <cell r="CP6">
            <v>46150</v>
          </cell>
          <cell r="CQ6">
            <v>46151</v>
          </cell>
          <cell r="CR6">
            <v>46152</v>
          </cell>
          <cell r="CS6">
            <v>46153</v>
          </cell>
          <cell r="CT6">
            <v>46154</v>
          </cell>
          <cell r="CU6">
            <v>46155</v>
          </cell>
          <cell r="CV6">
            <v>46156</v>
          </cell>
          <cell r="CW6">
            <v>46157</v>
          </cell>
          <cell r="CX6">
            <v>46158</v>
          </cell>
          <cell r="CY6">
            <v>46159</v>
          </cell>
          <cell r="CZ6">
            <v>46160</v>
          </cell>
          <cell r="DA6">
            <v>46161</v>
          </cell>
          <cell r="DB6">
            <v>46162</v>
          </cell>
          <cell r="DC6">
            <v>46163</v>
          </cell>
          <cell r="DD6">
            <v>46164</v>
          </cell>
          <cell r="DE6">
            <v>46165</v>
          </cell>
          <cell r="DF6">
            <v>46166</v>
          </cell>
          <cell r="DG6">
            <v>46167</v>
          </cell>
          <cell r="DH6">
            <v>46168</v>
          </cell>
          <cell r="DI6">
            <v>46169</v>
          </cell>
          <cell r="DJ6">
            <v>46170</v>
          </cell>
          <cell r="DK6">
            <v>46171</v>
          </cell>
          <cell r="DL6">
            <v>46172</v>
          </cell>
          <cell r="DM6">
            <v>46173</v>
          </cell>
          <cell r="DN6">
            <v>46174</v>
          </cell>
          <cell r="DO6">
            <v>46175</v>
          </cell>
          <cell r="DP6">
            <v>46176</v>
          </cell>
          <cell r="DQ6">
            <v>46177</v>
          </cell>
          <cell r="DR6">
            <v>46178</v>
          </cell>
          <cell r="DS6">
            <v>46179</v>
          </cell>
          <cell r="DT6">
            <v>46180</v>
          </cell>
          <cell r="DU6">
            <v>46181</v>
          </cell>
          <cell r="DV6">
            <v>46182</v>
          </cell>
          <cell r="DW6">
            <v>46183</v>
          </cell>
          <cell r="DX6">
            <v>46184</v>
          </cell>
          <cell r="DY6">
            <v>46185</v>
          </cell>
          <cell r="DZ6">
            <v>46186</v>
          </cell>
          <cell r="EA6">
            <v>46187</v>
          </cell>
          <cell r="EB6">
            <v>46188</v>
          </cell>
          <cell r="EC6">
            <v>46189</v>
          </cell>
          <cell r="ED6">
            <v>46190</v>
          </cell>
          <cell r="EE6">
            <v>46191</v>
          </cell>
          <cell r="EF6">
            <v>46192</v>
          </cell>
          <cell r="EG6">
            <v>46193</v>
          </cell>
          <cell r="EH6">
            <v>46194</v>
          </cell>
          <cell r="EI6">
            <v>46195</v>
          </cell>
          <cell r="EJ6">
            <v>46196</v>
          </cell>
          <cell r="EK6">
            <v>46197</v>
          </cell>
          <cell r="EL6">
            <v>46198</v>
          </cell>
          <cell r="EM6">
            <v>46199</v>
          </cell>
          <cell r="EN6">
            <v>46200</v>
          </cell>
          <cell r="EO6">
            <v>46201</v>
          </cell>
          <cell r="EP6">
            <v>46202</v>
          </cell>
          <cell r="EQ6">
            <v>46203</v>
          </cell>
          <cell r="ER6">
            <v>46204</v>
          </cell>
          <cell r="ES6">
            <v>46205</v>
          </cell>
          <cell r="ET6">
            <v>46206</v>
          </cell>
          <cell r="EU6">
            <v>46207</v>
          </cell>
          <cell r="EV6">
            <v>46208</v>
          </cell>
          <cell r="EW6">
            <v>46209</v>
          </cell>
          <cell r="EX6">
            <v>46210</v>
          </cell>
          <cell r="EY6">
            <v>46211</v>
          </cell>
          <cell r="EZ6">
            <v>46212</v>
          </cell>
          <cell r="FA6">
            <v>46213</v>
          </cell>
          <cell r="FB6">
            <v>46214</v>
          </cell>
          <cell r="FC6">
            <v>46215</v>
          </cell>
          <cell r="FD6">
            <v>46216</v>
          </cell>
          <cell r="FE6">
            <v>46217</v>
          </cell>
          <cell r="FF6">
            <v>46218</v>
          </cell>
          <cell r="FG6">
            <v>46219</v>
          </cell>
          <cell r="FH6">
            <v>46220</v>
          </cell>
          <cell r="FI6">
            <v>46221</v>
          </cell>
          <cell r="FJ6">
            <v>46222</v>
          </cell>
          <cell r="FK6">
            <v>46223</v>
          </cell>
          <cell r="FL6">
            <v>46224</v>
          </cell>
          <cell r="FM6">
            <v>46225</v>
          </cell>
          <cell r="FN6">
            <v>46226</v>
          </cell>
          <cell r="FO6">
            <v>46227</v>
          </cell>
          <cell r="FP6">
            <v>46228</v>
          </cell>
          <cell r="FQ6">
            <v>46229</v>
          </cell>
          <cell r="FR6">
            <v>46230</v>
          </cell>
          <cell r="FS6">
            <v>46231</v>
          </cell>
          <cell r="FT6">
            <v>46232</v>
          </cell>
          <cell r="FU6">
            <v>46233</v>
          </cell>
          <cell r="FV6">
            <v>46234</v>
          </cell>
          <cell r="FW6">
            <v>46235</v>
          </cell>
          <cell r="FX6">
            <v>46236</v>
          </cell>
          <cell r="FY6">
            <v>46237</v>
          </cell>
          <cell r="FZ6">
            <v>46238</v>
          </cell>
          <cell r="GA6">
            <v>46239</v>
          </cell>
          <cell r="GB6">
            <v>46240</v>
          </cell>
          <cell r="GC6">
            <v>46241</v>
          </cell>
          <cell r="GD6">
            <v>46242</v>
          </cell>
          <cell r="GE6">
            <v>46243</v>
          </cell>
          <cell r="GF6">
            <v>46244</v>
          </cell>
          <cell r="GG6">
            <v>46245</v>
          </cell>
          <cell r="GH6">
            <v>46246</v>
          </cell>
          <cell r="GI6">
            <v>46247</v>
          </cell>
          <cell r="GJ6">
            <v>46248</v>
          </cell>
          <cell r="GK6">
            <v>46249</v>
          </cell>
          <cell r="GL6">
            <v>46250</v>
          </cell>
          <cell r="GM6">
            <v>46251</v>
          </cell>
          <cell r="GN6">
            <v>46252</v>
          </cell>
          <cell r="GO6">
            <v>46253</v>
          </cell>
          <cell r="GP6">
            <v>46254</v>
          </cell>
          <cell r="GQ6">
            <v>46255</v>
          </cell>
          <cell r="GR6">
            <v>46256</v>
          </cell>
          <cell r="GS6">
            <v>46257</v>
          </cell>
          <cell r="GT6">
            <v>46258</v>
          </cell>
          <cell r="GU6">
            <v>46259</v>
          </cell>
          <cell r="GV6">
            <v>46260</v>
          </cell>
          <cell r="GW6">
            <v>46261</v>
          </cell>
          <cell r="GX6">
            <v>46262</v>
          </cell>
          <cell r="GY6">
            <v>46263</v>
          </cell>
          <cell r="GZ6">
            <v>46264</v>
          </cell>
          <cell r="HA6">
            <v>46265</v>
          </cell>
          <cell r="HB6">
            <v>46266</v>
          </cell>
          <cell r="HC6">
            <v>46267</v>
          </cell>
          <cell r="HD6">
            <v>46268</v>
          </cell>
          <cell r="HE6">
            <v>46269</v>
          </cell>
          <cell r="HF6">
            <v>46270</v>
          </cell>
          <cell r="HG6">
            <v>46271</v>
          </cell>
          <cell r="HH6">
            <v>46272</v>
          </cell>
          <cell r="HI6">
            <v>46273</v>
          </cell>
          <cell r="HJ6">
            <v>46274</v>
          </cell>
          <cell r="HK6">
            <v>46275</v>
          </cell>
          <cell r="HL6">
            <v>46276</v>
          </cell>
          <cell r="HM6">
            <v>46277</v>
          </cell>
          <cell r="HN6">
            <v>46278</v>
          </cell>
          <cell r="HO6">
            <v>46279</v>
          </cell>
          <cell r="HP6">
            <v>46280</v>
          </cell>
          <cell r="HQ6">
            <v>46281</v>
          </cell>
          <cell r="HR6">
            <v>46282</v>
          </cell>
          <cell r="HS6">
            <v>46283</v>
          </cell>
          <cell r="HT6">
            <v>46284</v>
          </cell>
          <cell r="HU6">
            <v>46285</v>
          </cell>
          <cell r="HV6">
            <v>46286</v>
          </cell>
          <cell r="HW6">
            <v>46287</v>
          </cell>
          <cell r="HX6">
            <v>46288</v>
          </cell>
          <cell r="HY6">
            <v>46289</v>
          </cell>
          <cell r="HZ6">
            <v>46290</v>
          </cell>
          <cell r="IA6">
            <v>46291</v>
          </cell>
          <cell r="IB6">
            <v>46292</v>
          </cell>
          <cell r="IC6">
            <v>46293</v>
          </cell>
          <cell r="ID6">
            <v>46294</v>
          </cell>
          <cell r="IE6">
            <v>46295</v>
          </cell>
          <cell r="IF6">
            <v>46296</v>
          </cell>
          <cell r="IG6">
            <v>46297</v>
          </cell>
          <cell r="IH6">
            <v>46298</v>
          </cell>
          <cell r="II6">
            <v>46299</v>
          </cell>
          <cell r="IJ6">
            <v>46300</v>
          </cell>
          <cell r="IK6">
            <v>46301</v>
          </cell>
          <cell r="IL6">
            <v>46302</v>
          </cell>
          <cell r="IM6">
            <v>46303</v>
          </cell>
          <cell r="IN6">
            <v>46304</v>
          </cell>
          <cell r="IO6">
            <v>46305</v>
          </cell>
          <cell r="IP6">
            <v>46306</v>
          </cell>
          <cell r="IQ6">
            <v>46307</v>
          </cell>
          <cell r="IR6">
            <v>46308</v>
          </cell>
          <cell r="IS6">
            <v>46309</v>
          </cell>
          <cell r="IT6">
            <v>46310</v>
          </cell>
          <cell r="IU6">
            <v>46311</v>
          </cell>
          <cell r="IV6">
            <v>46312</v>
          </cell>
          <cell r="IW6">
            <v>46313</v>
          </cell>
          <cell r="IX6">
            <v>46314</v>
          </cell>
          <cell r="IY6">
            <v>46315</v>
          </cell>
          <cell r="IZ6">
            <v>46316</v>
          </cell>
          <cell r="JA6">
            <v>46317</v>
          </cell>
          <cell r="JB6">
            <v>46318</v>
          </cell>
          <cell r="JC6">
            <v>46319</v>
          </cell>
          <cell r="JD6">
            <v>46320</v>
          </cell>
          <cell r="JE6">
            <v>46321</v>
          </cell>
          <cell r="JF6">
            <v>46322</v>
          </cell>
          <cell r="JG6">
            <v>46323</v>
          </cell>
          <cell r="JH6">
            <v>46324</v>
          </cell>
          <cell r="JI6">
            <v>46325</v>
          </cell>
          <cell r="JJ6">
            <v>46326</v>
          </cell>
          <cell r="JK6">
            <v>46327</v>
          </cell>
          <cell r="JL6">
            <v>46328</v>
          </cell>
          <cell r="JM6">
            <v>46329</v>
          </cell>
          <cell r="JN6">
            <v>46330</v>
          </cell>
          <cell r="JO6">
            <v>46331</v>
          </cell>
          <cell r="JP6">
            <v>46332</v>
          </cell>
          <cell r="JQ6">
            <v>46333</v>
          </cell>
          <cell r="JR6">
            <v>46334</v>
          </cell>
          <cell r="JS6">
            <v>46335</v>
          </cell>
          <cell r="JT6">
            <v>46336</v>
          </cell>
          <cell r="JU6">
            <v>46337</v>
          </cell>
          <cell r="JV6">
            <v>46338</v>
          </cell>
          <cell r="JW6">
            <v>46339</v>
          </cell>
          <cell r="JX6">
            <v>46340</v>
          </cell>
          <cell r="JY6">
            <v>46341</v>
          </cell>
          <cell r="JZ6">
            <v>46342</v>
          </cell>
          <cell r="KA6">
            <v>46343</v>
          </cell>
          <cell r="KB6">
            <v>46344</v>
          </cell>
          <cell r="KC6">
            <v>46345</v>
          </cell>
          <cell r="KD6">
            <v>46346</v>
          </cell>
          <cell r="KE6">
            <v>46347</v>
          </cell>
          <cell r="KF6">
            <v>46348</v>
          </cell>
          <cell r="KG6">
            <v>46349</v>
          </cell>
          <cell r="KH6">
            <v>46350</v>
          </cell>
          <cell r="KI6">
            <v>46351</v>
          </cell>
          <cell r="KJ6">
            <v>46352</v>
          </cell>
          <cell r="KK6">
            <v>46353</v>
          </cell>
          <cell r="KL6">
            <v>46354</v>
          </cell>
          <cell r="KM6">
            <v>46355</v>
          </cell>
          <cell r="KN6">
            <v>46356</v>
          </cell>
          <cell r="KO6">
            <v>46357</v>
          </cell>
          <cell r="KP6">
            <v>46358</v>
          </cell>
          <cell r="KQ6">
            <v>46359</v>
          </cell>
          <cell r="KR6">
            <v>46360</v>
          </cell>
          <cell r="KS6">
            <v>46361</v>
          </cell>
          <cell r="KT6">
            <v>46362</v>
          </cell>
          <cell r="KU6">
            <v>46363</v>
          </cell>
          <cell r="KV6">
            <v>46364</v>
          </cell>
          <cell r="KW6">
            <v>46365</v>
          </cell>
          <cell r="KX6">
            <v>46366</v>
          </cell>
          <cell r="KY6">
            <v>46367</v>
          </cell>
          <cell r="KZ6">
            <v>46368</v>
          </cell>
          <cell r="LA6">
            <v>46369</v>
          </cell>
          <cell r="LB6">
            <v>46370</v>
          </cell>
          <cell r="LC6">
            <v>46371</v>
          </cell>
          <cell r="LD6">
            <v>46372</v>
          </cell>
          <cell r="LE6">
            <v>46373</v>
          </cell>
          <cell r="LF6">
            <v>46374</v>
          </cell>
          <cell r="LG6">
            <v>46375</v>
          </cell>
          <cell r="LH6">
            <v>46376</v>
          </cell>
          <cell r="LI6">
            <v>46377</v>
          </cell>
          <cell r="LJ6">
            <v>46378</v>
          </cell>
          <cell r="LK6">
            <v>46379</v>
          </cell>
          <cell r="LL6">
            <v>46380</v>
          </cell>
          <cell r="LM6">
            <v>46381</v>
          </cell>
          <cell r="LN6">
            <v>46382</v>
          </cell>
          <cell r="LO6">
            <v>46383</v>
          </cell>
          <cell r="LP6">
            <v>46384</v>
          </cell>
          <cell r="LQ6">
            <v>46385</v>
          </cell>
          <cell r="LR6">
            <v>46386</v>
          </cell>
          <cell r="LS6">
            <v>46387</v>
          </cell>
          <cell r="LT6">
            <v>46388</v>
          </cell>
          <cell r="LU6">
            <v>46389</v>
          </cell>
          <cell r="LV6">
            <v>46390</v>
          </cell>
          <cell r="LW6">
            <v>46391</v>
          </cell>
          <cell r="LX6">
            <v>46392</v>
          </cell>
          <cell r="LY6">
            <v>46393</v>
          </cell>
          <cell r="LZ6">
            <v>46394</v>
          </cell>
          <cell r="MA6">
            <v>46395</v>
          </cell>
          <cell r="MB6">
            <v>46396</v>
          </cell>
          <cell r="MC6">
            <v>46397</v>
          </cell>
          <cell r="MD6">
            <v>46398</v>
          </cell>
          <cell r="ME6">
            <v>46399</v>
          </cell>
          <cell r="MF6">
            <v>46400</v>
          </cell>
          <cell r="MG6">
            <v>46401</v>
          </cell>
          <cell r="MH6">
            <v>46402</v>
          </cell>
          <cell r="MI6">
            <v>46403</v>
          </cell>
          <cell r="MJ6">
            <v>46404</v>
          </cell>
          <cell r="MK6">
            <v>46405</v>
          </cell>
          <cell r="ML6">
            <v>46406</v>
          </cell>
          <cell r="MM6">
            <v>46407</v>
          </cell>
          <cell r="MN6">
            <v>46408</v>
          </cell>
          <cell r="MO6">
            <v>46409</v>
          </cell>
          <cell r="MP6">
            <v>46410</v>
          </cell>
          <cell r="MQ6">
            <v>46411</v>
          </cell>
          <cell r="MR6">
            <v>46412</v>
          </cell>
          <cell r="MS6">
            <v>46413</v>
          </cell>
          <cell r="MT6">
            <v>46414</v>
          </cell>
          <cell r="MU6">
            <v>46415</v>
          </cell>
          <cell r="MV6">
            <v>46416</v>
          </cell>
          <cell r="MW6">
            <v>46417</v>
          </cell>
          <cell r="MX6">
            <v>46418</v>
          </cell>
          <cell r="MY6">
            <v>46419</v>
          </cell>
          <cell r="MZ6">
            <v>46420</v>
          </cell>
          <cell r="NA6">
            <v>46421</v>
          </cell>
          <cell r="NB6">
            <v>46422</v>
          </cell>
          <cell r="NC6">
            <v>46423</v>
          </cell>
          <cell r="ND6">
            <v>46424</v>
          </cell>
          <cell r="NE6">
            <v>46425</v>
          </cell>
          <cell r="NF6">
            <v>46426</v>
          </cell>
          <cell r="NG6">
            <v>46427</v>
          </cell>
          <cell r="NH6">
            <v>46428</v>
          </cell>
          <cell r="NI6">
            <v>46429</v>
          </cell>
          <cell r="NJ6">
            <v>46430</v>
          </cell>
          <cell r="NK6">
            <v>46431</v>
          </cell>
          <cell r="NL6">
            <v>46432</v>
          </cell>
          <cell r="NM6">
            <v>46433</v>
          </cell>
          <cell r="NN6">
            <v>46434</v>
          </cell>
          <cell r="NO6">
            <v>46435</v>
          </cell>
          <cell r="NP6">
            <v>46436</v>
          </cell>
          <cell r="NQ6">
            <v>46437</v>
          </cell>
          <cell r="NR6">
            <v>46438</v>
          </cell>
          <cell r="NS6">
            <v>46439</v>
          </cell>
          <cell r="NT6">
            <v>46440</v>
          </cell>
          <cell r="NU6">
            <v>46441</v>
          </cell>
          <cell r="NV6">
            <v>46442</v>
          </cell>
          <cell r="NW6">
            <v>46443</v>
          </cell>
          <cell r="NX6">
            <v>46444</v>
          </cell>
          <cell r="NY6">
            <v>46445</v>
          </cell>
          <cell r="NZ6">
            <v>46446</v>
          </cell>
          <cell r="OA6">
            <v>46447</v>
          </cell>
          <cell r="OB6">
            <v>46448</v>
          </cell>
          <cell r="OC6">
            <v>46449</v>
          </cell>
          <cell r="OD6">
            <v>46450</v>
          </cell>
          <cell r="OE6">
            <v>46451</v>
          </cell>
          <cell r="OF6">
            <v>46452</v>
          </cell>
          <cell r="OG6">
            <v>46453</v>
          </cell>
          <cell r="OH6">
            <v>46454</v>
          </cell>
          <cell r="OI6">
            <v>46455</v>
          </cell>
          <cell r="OJ6">
            <v>46456</v>
          </cell>
          <cell r="OK6">
            <v>46457</v>
          </cell>
          <cell r="OL6">
            <v>46458</v>
          </cell>
          <cell r="OM6">
            <v>46459</v>
          </cell>
          <cell r="ON6">
            <v>46460</v>
          </cell>
          <cell r="OO6">
            <v>46461</v>
          </cell>
          <cell r="OP6">
            <v>46462</v>
          </cell>
          <cell r="OQ6">
            <v>46463</v>
          </cell>
          <cell r="OR6">
            <v>46464</v>
          </cell>
          <cell r="OS6">
            <v>46465</v>
          </cell>
          <cell r="OT6">
            <v>46466</v>
          </cell>
          <cell r="OU6">
            <v>46467</v>
          </cell>
          <cell r="OV6">
            <v>46468</v>
          </cell>
          <cell r="OW6">
            <v>46469</v>
          </cell>
          <cell r="OX6">
            <v>46470</v>
          </cell>
          <cell r="OY6">
            <v>46471</v>
          </cell>
          <cell r="OZ6">
            <v>46472</v>
          </cell>
          <cell r="PA6">
            <v>46473</v>
          </cell>
          <cell r="PB6">
            <v>46474</v>
          </cell>
          <cell r="PC6">
            <v>46475</v>
          </cell>
          <cell r="PD6">
            <v>46476</v>
          </cell>
          <cell r="PE6">
            <v>46477</v>
          </cell>
          <cell r="PF6">
            <v>46478</v>
          </cell>
          <cell r="PG6">
            <v>46479</v>
          </cell>
          <cell r="PH6">
            <v>46480</v>
          </cell>
          <cell r="PI6">
            <v>46481</v>
          </cell>
          <cell r="PJ6">
            <v>46482</v>
          </cell>
          <cell r="PK6">
            <v>46483</v>
          </cell>
          <cell r="PL6">
            <v>46484</v>
          </cell>
          <cell r="PM6">
            <v>46485</v>
          </cell>
          <cell r="PN6">
            <v>46486</v>
          </cell>
          <cell r="PO6">
            <v>46487</v>
          </cell>
          <cell r="PP6">
            <v>46488</v>
          </cell>
          <cell r="PQ6">
            <v>46489</v>
          </cell>
          <cell r="PR6">
            <v>46490</v>
          </cell>
          <cell r="PS6">
            <v>46491</v>
          </cell>
          <cell r="PT6">
            <v>46492</v>
          </cell>
          <cell r="PU6">
            <v>46493</v>
          </cell>
          <cell r="PV6">
            <v>46494</v>
          </cell>
          <cell r="PW6">
            <v>46495</v>
          </cell>
          <cell r="PX6">
            <v>46496</v>
          </cell>
          <cell r="PY6">
            <v>46497</v>
          </cell>
          <cell r="PZ6">
            <v>46498</v>
          </cell>
          <cell r="QA6">
            <v>46499</v>
          </cell>
          <cell r="QB6">
            <v>46500</v>
          </cell>
          <cell r="QC6">
            <v>46501</v>
          </cell>
          <cell r="QD6">
            <v>46502</v>
          </cell>
          <cell r="QE6">
            <v>46503</v>
          </cell>
          <cell r="QF6">
            <v>46504</v>
          </cell>
          <cell r="QG6">
            <v>46505</v>
          </cell>
          <cell r="QH6">
            <v>46506</v>
          </cell>
          <cell r="QI6">
            <v>46507</v>
          </cell>
          <cell r="QJ6">
            <v>46508</v>
          </cell>
          <cell r="QK6">
            <v>46509</v>
          </cell>
          <cell r="QL6">
            <v>46510</v>
          </cell>
          <cell r="QM6">
            <v>46511</v>
          </cell>
          <cell r="QN6">
            <v>46512</v>
          </cell>
          <cell r="QO6">
            <v>46513</v>
          </cell>
          <cell r="QP6">
            <v>46514</v>
          </cell>
          <cell r="QQ6">
            <v>46515</v>
          </cell>
          <cell r="QR6">
            <v>46516</v>
          </cell>
          <cell r="QS6">
            <v>46517</v>
          </cell>
          <cell r="QT6">
            <v>46518</v>
          </cell>
          <cell r="QU6">
            <v>46519</v>
          </cell>
          <cell r="QV6">
            <v>46520</v>
          </cell>
          <cell r="QW6">
            <v>46521</v>
          </cell>
          <cell r="QX6">
            <v>46522</v>
          </cell>
          <cell r="QY6">
            <v>46523</v>
          </cell>
          <cell r="QZ6">
            <v>46524</v>
          </cell>
          <cell r="RA6">
            <v>46525</v>
          </cell>
          <cell r="RB6">
            <v>46526</v>
          </cell>
          <cell r="RC6">
            <v>46527</v>
          </cell>
          <cell r="RD6">
            <v>46528</v>
          </cell>
          <cell r="RE6">
            <v>46529</v>
          </cell>
          <cell r="RF6">
            <v>46530</v>
          </cell>
          <cell r="RG6">
            <v>46531</v>
          </cell>
          <cell r="RH6">
            <v>46532</v>
          </cell>
          <cell r="RI6">
            <v>46533</v>
          </cell>
          <cell r="RJ6">
            <v>46534</v>
          </cell>
          <cell r="RK6">
            <v>46535</v>
          </cell>
          <cell r="RL6">
            <v>46536</v>
          </cell>
          <cell r="RM6">
            <v>46537</v>
          </cell>
          <cell r="RN6">
            <v>46538</v>
          </cell>
          <cell r="RO6">
            <v>46539</v>
          </cell>
          <cell r="RP6">
            <v>46540</v>
          </cell>
          <cell r="RQ6">
            <v>46541</v>
          </cell>
          <cell r="RR6">
            <v>46542</v>
          </cell>
          <cell r="RS6">
            <v>46543</v>
          </cell>
          <cell r="RT6">
            <v>46544</v>
          </cell>
          <cell r="RU6">
            <v>46545</v>
          </cell>
          <cell r="RV6">
            <v>46546</v>
          </cell>
          <cell r="RW6">
            <v>46547</v>
          </cell>
          <cell r="RX6">
            <v>46548</v>
          </cell>
          <cell r="RY6">
            <v>46549</v>
          </cell>
          <cell r="RZ6">
            <v>46550</v>
          </cell>
          <cell r="SA6">
            <v>46551</v>
          </cell>
          <cell r="SB6">
            <v>46552</v>
          </cell>
          <cell r="SC6">
            <v>46553</v>
          </cell>
          <cell r="SD6">
            <v>46554</v>
          </cell>
          <cell r="SE6">
            <v>46555</v>
          </cell>
          <cell r="SF6">
            <v>46556</v>
          </cell>
          <cell r="SG6">
            <v>46557</v>
          </cell>
          <cell r="SH6">
            <v>46558</v>
          </cell>
          <cell r="SI6">
            <v>46559</v>
          </cell>
          <cell r="SJ6">
            <v>46560</v>
          </cell>
          <cell r="SK6">
            <v>46561</v>
          </cell>
          <cell r="SL6">
            <v>46562</v>
          </cell>
          <cell r="SM6">
            <v>46563</v>
          </cell>
          <cell r="SN6">
            <v>46564</v>
          </cell>
          <cell r="SO6">
            <v>46565</v>
          </cell>
          <cell r="SP6">
            <v>46566</v>
          </cell>
          <cell r="SQ6">
            <v>46567</v>
          </cell>
          <cell r="SR6">
            <v>46568</v>
          </cell>
          <cell r="SS6">
            <v>46569</v>
          </cell>
          <cell r="ST6">
            <v>46570</v>
          </cell>
          <cell r="SU6">
            <v>46571</v>
          </cell>
          <cell r="SV6">
            <v>46572</v>
          </cell>
          <cell r="SW6">
            <v>46573</v>
          </cell>
          <cell r="SX6">
            <v>46574</v>
          </cell>
          <cell r="SY6">
            <v>46575</v>
          </cell>
          <cell r="SZ6">
            <v>46576</v>
          </cell>
          <cell r="TA6">
            <v>46577</v>
          </cell>
          <cell r="TB6">
            <v>46578</v>
          </cell>
          <cell r="TC6">
            <v>46579</v>
          </cell>
          <cell r="TD6">
            <v>46580</v>
          </cell>
          <cell r="TE6">
            <v>46581</v>
          </cell>
          <cell r="TF6">
            <v>46582</v>
          </cell>
          <cell r="TG6">
            <v>46583</v>
          </cell>
          <cell r="TH6">
            <v>46584</v>
          </cell>
          <cell r="TI6">
            <v>46585</v>
          </cell>
          <cell r="TJ6">
            <v>46586</v>
          </cell>
          <cell r="TK6">
            <v>46587</v>
          </cell>
          <cell r="TL6">
            <v>46588</v>
          </cell>
          <cell r="TM6">
            <v>46589</v>
          </cell>
          <cell r="TN6">
            <v>46590</v>
          </cell>
          <cell r="TO6">
            <v>46591</v>
          </cell>
          <cell r="TP6">
            <v>46592</v>
          </cell>
          <cell r="TQ6">
            <v>46593</v>
          </cell>
          <cell r="TR6">
            <v>46594</v>
          </cell>
          <cell r="TS6">
            <v>46595</v>
          </cell>
          <cell r="TT6">
            <v>46596</v>
          </cell>
          <cell r="TU6">
            <v>46597</v>
          </cell>
          <cell r="TV6">
            <v>46598</v>
          </cell>
          <cell r="TW6">
            <v>46599</v>
          </cell>
          <cell r="TX6">
            <v>46600</v>
          </cell>
          <cell r="TY6">
            <v>46601</v>
          </cell>
          <cell r="TZ6">
            <v>46602</v>
          </cell>
          <cell r="UA6">
            <v>46603</v>
          </cell>
          <cell r="UB6">
            <v>46604</v>
          </cell>
          <cell r="UC6">
            <v>46605</v>
          </cell>
          <cell r="UD6">
            <v>46606</v>
          </cell>
          <cell r="UE6">
            <v>46607</v>
          </cell>
          <cell r="UF6">
            <v>46608</v>
          </cell>
          <cell r="UG6">
            <v>46609</v>
          </cell>
          <cell r="UH6">
            <v>46610</v>
          </cell>
          <cell r="UI6">
            <v>46611</v>
          </cell>
          <cell r="UJ6">
            <v>46612</v>
          </cell>
          <cell r="UK6">
            <v>46613</v>
          </cell>
          <cell r="UL6">
            <v>46614</v>
          </cell>
          <cell r="UM6">
            <v>46615</v>
          </cell>
          <cell r="UN6">
            <v>46616</v>
          </cell>
          <cell r="UO6">
            <v>46617</v>
          </cell>
          <cell r="UP6">
            <v>46618</v>
          </cell>
          <cell r="UQ6">
            <v>46619</v>
          </cell>
          <cell r="UR6">
            <v>46620</v>
          </cell>
          <cell r="US6">
            <v>46621</v>
          </cell>
          <cell r="UT6">
            <v>46622</v>
          </cell>
          <cell r="UU6">
            <v>46623</v>
          </cell>
          <cell r="UV6">
            <v>46624</v>
          </cell>
          <cell r="UW6">
            <v>46625</v>
          </cell>
          <cell r="UX6">
            <v>46626</v>
          </cell>
          <cell r="UY6">
            <v>46627</v>
          </cell>
          <cell r="UZ6">
            <v>46628</v>
          </cell>
          <cell r="VA6">
            <v>46629</v>
          </cell>
          <cell r="VB6">
            <v>46630</v>
          </cell>
          <cell r="VC6">
            <v>46631</v>
          </cell>
          <cell r="VD6">
            <v>46632</v>
          </cell>
          <cell r="VE6">
            <v>46633</v>
          </cell>
          <cell r="VF6">
            <v>46634</v>
          </cell>
          <cell r="VG6">
            <v>46635</v>
          </cell>
          <cell r="VH6">
            <v>46636</v>
          </cell>
          <cell r="VI6">
            <v>46637</v>
          </cell>
          <cell r="VJ6">
            <v>46638</v>
          </cell>
          <cell r="VK6">
            <v>46639</v>
          </cell>
          <cell r="VL6">
            <v>46640</v>
          </cell>
          <cell r="VM6">
            <v>46641</v>
          </cell>
          <cell r="VN6">
            <v>46642</v>
          </cell>
          <cell r="VO6">
            <v>46643</v>
          </cell>
          <cell r="VP6">
            <v>46644</v>
          </cell>
          <cell r="VQ6">
            <v>46645</v>
          </cell>
          <cell r="VR6">
            <v>46646</v>
          </cell>
          <cell r="VS6">
            <v>46647</v>
          </cell>
          <cell r="VT6">
            <v>46648</v>
          </cell>
          <cell r="VU6">
            <v>46649</v>
          </cell>
          <cell r="VV6">
            <v>46650</v>
          </cell>
          <cell r="VW6">
            <v>46651</v>
          </cell>
          <cell r="VX6">
            <v>46652</v>
          </cell>
          <cell r="VY6">
            <v>46653</v>
          </cell>
          <cell r="VZ6">
            <v>46654</v>
          </cell>
          <cell r="WA6">
            <v>46655</v>
          </cell>
          <cell r="WB6">
            <v>46656</v>
          </cell>
          <cell r="WC6">
            <v>46657</v>
          </cell>
          <cell r="WD6">
            <v>46658</v>
          </cell>
          <cell r="WE6">
            <v>46659</v>
          </cell>
          <cell r="WF6">
            <v>46660</v>
          </cell>
          <cell r="WG6">
            <v>46661</v>
          </cell>
          <cell r="WH6">
            <v>46662</v>
          </cell>
          <cell r="WI6">
            <v>46663</v>
          </cell>
          <cell r="WJ6">
            <v>46664</v>
          </cell>
          <cell r="WK6">
            <v>46665</v>
          </cell>
          <cell r="WL6">
            <v>46666</v>
          </cell>
          <cell r="WM6">
            <v>46667</v>
          </cell>
          <cell r="WN6">
            <v>46668</v>
          </cell>
          <cell r="WO6">
            <v>46669</v>
          </cell>
          <cell r="WP6">
            <v>46670</v>
          </cell>
          <cell r="WQ6">
            <v>46671</v>
          </cell>
          <cell r="WR6">
            <v>46672</v>
          </cell>
          <cell r="WS6">
            <v>46673</v>
          </cell>
          <cell r="WT6">
            <v>46674</v>
          </cell>
          <cell r="WU6">
            <v>46675</v>
          </cell>
          <cell r="WV6">
            <v>46676</v>
          </cell>
          <cell r="WW6">
            <v>46677</v>
          </cell>
          <cell r="WX6">
            <v>46678</v>
          </cell>
          <cell r="WY6">
            <v>46679</v>
          </cell>
          <cell r="WZ6">
            <v>46680</v>
          </cell>
          <cell r="XA6">
            <v>46681</v>
          </cell>
          <cell r="XB6">
            <v>46682</v>
          </cell>
          <cell r="XC6">
            <v>46683</v>
          </cell>
          <cell r="XD6">
            <v>46684</v>
          </cell>
          <cell r="XE6">
            <v>46685</v>
          </cell>
          <cell r="XF6">
            <v>46686</v>
          </cell>
          <cell r="XG6">
            <v>46687</v>
          </cell>
          <cell r="XH6">
            <v>46688</v>
          </cell>
          <cell r="XI6">
            <v>46689</v>
          </cell>
          <cell r="XJ6">
            <v>46690</v>
          </cell>
          <cell r="XK6">
            <v>46691</v>
          </cell>
          <cell r="XL6">
            <v>46692</v>
          </cell>
          <cell r="XM6">
            <v>46693</v>
          </cell>
          <cell r="XN6">
            <v>46694</v>
          </cell>
          <cell r="XO6">
            <v>46695</v>
          </cell>
          <cell r="XP6">
            <v>46696</v>
          </cell>
          <cell r="XQ6">
            <v>46697</v>
          </cell>
          <cell r="XR6">
            <v>46698</v>
          </cell>
          <cell r="XS6">
            <v>46699</v>
          </cell>
          <cell r="XT6">
            <v>46700</v>
          </cell>
          <cell r="XU6">
            <v>46701</v>
          </cell>
          <cell r="XV6">
            <v>46702</v>
          </cell>
          <cell r="XW6">
            <v>46703</v>
          </cell>
          <cell r="XX6">
            <v>46704</v>
          </cell>
          <cell r="XY6">
            <v>46705</v>
          </cell>
          <cell r="XZ6">
            <v>46706</v>
          </cell>
          <cell r="YA6">
            <v>46707</v>
          </cell>
          <cell r="YB6">
            <v>46708</v>
          </cell>
          <cell r="YC6">
            <v>46709</v>
          </cell>
          <cell r="YD6">
            <v>46710</v>
          </cell>
          <cell r="YE6">
            <v>46711</v>
          </cell>
          <cell r="YF6">
            <v>46712</v>
          </cell>
          <cell r="YG6">
            <v>46713</v>
          </cell>
          <cell r="YH6">
            <v>46714</v>
          </cell>
          <cell r="YI6">
            <v>46715</v>
          </cell>
          <cell r="YJ6">
            <v>46716</v>
          </cell>
          <cell r="YK6">
            <v>46717</v>
          </cell>
          <cell r="YL6">
            <v>46718</v>
          </cell>
          <cell r="YM6">
            <v>46719</v>
          </cell>
          <cell r="YN6">
            <v>46720</v>
          </cell>
          <cell r="YO6">
            <v>46721</v>
          </cell>
          <cell r="YP6">
            <v>46722</v>
          </cell>
          <cell r="YQ6">
            <v>46723</v>
          </cell>
          <cell r="YR6">
            <v>46724</v>
          </cell>
          <cell r="YS6">
            <v>46725</v>
          </cell>
          <cell r="YT6">
            <v>46726</v>
          </cell>
          <cell r="YU6">
            <v>46727</v>
          </cell>
          <cell r="YV6">
            <v>46728</v>
          </cell>
          <cell r="YW6">
            <v>46729</v>
          </cell>
          <cell r="YX6">
            <v>46730</v>
          </cell>
          <cell r="YY6">
            <v>46731</v>
          </cell>
          <cell r="YZ6">
            <v>46732</v>
          </cell>
          <cell r="ZA6">
            <v>46733</v>
          </cell>
          <cell r="ZB6">
            <v>46734</v>
          </cell>
          <cell r="ZC6">
            <v>46735</v>
          </cell>
          <cell r="ZD6">
            <v>46736</v>
          </cell>
          <cell r="ZE6">
            <v>46737</v>
          </cell>
          <cell r="ZF6">
            <v>46738</v>
          </cell>
          <cell r="ZG6">
            <v>46739</v>
          </cell>
          <cell r="ZH6">
            <v>46740</v>
          </cell>
          <cell r="ZI6">
            <v>46741</v>
          </cell>
          <cell r="ZJ6">
            <v>46742</v>
          </cell>
          <cell r="ZK6">
            <v>46743</v>
          </cell>
          <cell r="ZL6">
            <v>46744</v>
          </cell>
          <cell r="ZM6">
            <v>46745</v>
          </cell>
          <cell r="ZN6">
            <v>46746</v>
          </cell>
          <cell r="ZO6">
            <v>46747</v>
          </cell>
          <cell r="ZP6">
            <v>46748</v>
          </cell>
          <cell r="ZQ6">
            <v>46749</v>
          </cell>
          <cell r="ZR6">
            <v>46750</v>
          </cell>
          <cell r="ZS6">
            <v>46751</v>
          </cell>
          <cell r="ZT6">
            <v>46752</v>
          </cell>
          <cell r="ZU6">
            <v>46753</v>
          </cell>
          <cell r="ZV6">
            <v>46754</v>
          </cell>
          <cell r="ZW6">
            <v>46755</v>
          </cell>
          <cell r="ZX6">
            <v>46756</v>
          </cell>
          <cell r="ZY6">
            <v>46757</v>
          </cell>
          <cell r="ZZ6">
            <v>46758</v>
          </cell>
          <cell r="AAA6">
            <v>46759</v>
          </cell>
          <cell r="AAB6">
            <v>46760</v>
          </cell>
          <cell r="AAC6">
            <v>46761</v>
          </cell>
          <cell r="AAD6">
            <v>46762</v>
          </cell>
          <cell r="AAE6">
            <v>46763</v>
          </cell>
          <cell r="AAF6">
            <v>46764</v>
          </cell>
          <cell r="AAG6">
            <v>46765</v>
          </cell>
          <cell r="AAH6">
            <v>46766</v>
          </cell>
          <cell r="AAI6">
            <v>46767</v>
          </cell>
          <cell r="AAJ6">
            <v>46768</v>
          </cell>
          <cell r="AAK6">
            <v>46769</v>
          </cell>
          <cell r="AAL6">
            <v>46770</v>
          </cell>
          <cell r="AAM6">
            <v>46771</v>
          </cell>
          <cell r="AAN6">
            <v>46772</v>
          </cell>
          <cell r="AAO6">
            <v>46773</v>
          </cell>
          <cell r="AAP6">
            <v>46774</v>
          </cell>
          <cell r="AAQ6">
            <v>46775</v>
          </cell>
          <cell r="AAR6">
            <v>46776</v>
          </cell>
          <cell r="AAS6">
            <v>46777</v>
          </cell>
          <cell r="AAT6">
            <v>46778</v>
          </cell>
          <cell r="AAU6">
            <v>46779</v>
          </cell>
          <cell r="AAV6">
            <v>46780</v>
          </cell>
          <cell r="AAW6">
            <v>46781</v>
          </cell>
          <cell r="AAX6">
            <v>46782</v>
          </cell>
          <cell r="AAY6">
            <v>46783</v>
          </cell>
          <cell r="AAZ6">
            <v>46784</v>
          </cell>
          <cell r="ABA6">
            <v>46785</v>
          </cell>
          <cell r="ABB6">
            <v>46786</v>
          </cell>
          <cell r="ABC6">
            <v>46787</v>
          </cell>
          <cell r="ABD6">
            <v>46788</v>
          </cell>
          <cell r="ABE6">
            <v>46789</v>
          </cell>
          <cell r="ABF6">
            <v>46790</v>
          </cell>
          <cell r="ABG6">
            <v>46791</v>
          </cell>
          <cell r="ABH6">
            <v>46792</v>
          </cell>
          <cell r="ABI6">
            <v>46793</v>
          </cell>
          <cell r="ABJ6">
            <v>46794</v>
          </cell>
          <cell r="ABK6">
            <v>46795</v>
          </cell>
          <cell r="ABL6">
            <v>46796</v>
          </cell>
          <cell r="ABM6">
            <v>46797</v>
          </cell>
          <cell r="ABN6">
            <v>46798</v>
          </cell>
          <cell r="ABO6">
            <v>46799</v>
          </cell>
          <cell r="ABP6">
            <v>46800</v>
          </cell>
          <cell r="ABQ6">
            <v>46801</v>
          </cell>
          <cell r="ABR6">
            <v>46802</v>
          </cell>
          <cell r="ABS6">
            <v>46803</v>
          </cell>
          <cell r="ABT6">
            <v>46804</v>
          </cell>
          <cell r="ABU6">
            <v>46805</v>
          </cell>
          <cell r="ABV6">
            <v>46806</v>
          </cell>
          <cell r="ABW6">
            <v>46807</v>
          </cell>
          <cell r="ABX6">
            <v>46808</v>
          </cell>
          <cell r="ABY6">
            <v>46809</v>
          </cell>
          <cell r="ABZ6">
            <v>46810</v>
          </cell>
          <cell r="ACA6">
            <v>46811</v>
          </cell>
          <cell r="ACB6">
            <v>46812</v>
          </cell>
          <cell r="ACC6">
            <v>46813</v>
          </cell>
          <cell r="ACD6">
            <v>46814</v>
          </cell>
          <cell r="ACE6">
            <v>46815</v>
          </cell>
          <cell r="ACF6">
            <v>46816</v>
          </cell>
          <cell r="ACG6">
            <v>46817</v>
          </cell>
          <cell r="ACH6">
            <v>46818</v>
          </cell>
          <cell r="ACI6">
            <v>46819</v>
          </cell>
          <cell r="ACJ6">
            <v>46820</v>
          </cell>
          <cell r="ACK6">
            <v>46821</v>
          </cell>
          <cell r="ACL6">
            <v>46822</v>
          </cell>
          <cell r="ACM6">
            <v>46823</v>
          </cell>
          <cell r="ACN6">
            <v>46824</v>
          </cell>
          <cell r="ACO6">
            <v>46825</v>
          </cell>
          <cell r="ACP6">
            <v>46826</v>
          </cell>
          <cell r="ACQ6">
            <v>46827</v>
          </cell>
          <cell r="ACR6">
            <v>46828</v>
          </cell>
          <cell r="ACS6">
            <v>46829</v>
          </cell>
          <cell r="ACT6">
            <v>46830</v>
          </cell>
          <cell r="ACU6">
            <v>46831</v>
          </cell>
          <cell r="ACV6">
            <v>46832</v>
          </cell>
          <cell r="ACW6">
            <v>46833</v>
          </cell>
          <cell r="ACX6">
            <v>46834</v>
          </cell>
          <cell r="ACY6">
            <v>46835</v>
          </cell>
          <cell r="ACZ6">
            <v>46836</v>
          </cell>
          <cell r="ADA6">
            <v>46837</v>
          </cell>
          <cell r="ADB6">
            <v>46838</v>
          </cell>
          <cell r="ADC6">
            <v>46839</v>
          </cell>
          <cell r="ADD6">
            <v>46840</v>
          </cell>
          <cell r="ADE6">
            <v>46841</v>
          </cell>
          <cell r="ADF6">
            <v>46842</v>
          </cell>
          <cell r="ADG6">
            <v>46843</v>
          </cell>
        </row>
      </sheetData>
      <sheetData sheetId="2"/>
      <sheetData sheetId="3">
        <row r="57">
          <cell r="BK57" t="str">
            <v>朝　食</v>
          </cell>
        </row>
        <row r="58">
          <cell r="BK58" t="str">
            <v>昼　食</v>
          </cell>
        </row>
        <row r="59">
          <cell r="BK59" t="str">
            <v>夕　食</v>
          </cell>
        </row>
      </sheetData>
      <sheetData sheetId="4">
        <row r="251">
          <cell r="A251" t="str">
            <v>幼①</v>
          </cell>
          <cell r="B251" t="str">
            <v>幼②</v>
          </cell>
          <cell r="C251" t="str">
            <v>幼③</v>
          </cell>
          <cell r="D251" t="str">
            <v>小</v>
          </cell>
          <cell r="E251" t="str">
            <v>中</v>
          </cell>
          <cell r="F251" t="str">
            <v>高</v>
          </cell>
          <cell r="G251" t="str">
            <v>引①</v>
          </cell>
          <cell r="H251" t="str">
            <v>引②</v>
          </cell>
          <cell r="I251" t="str">
            <v>一①</v>
          </cell>
          <cell r="J251" t="str">
            <v>一②</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2 利用計画書 (冬季)"/>
      <sheetName val="※必ずはじめにお読みください※"/>
      <sheetName val="01 使用承認申請書"/>
      <sheetName val="02-1 利用計画書"/>
      <sheetName val="03 食事申込書"/>
      <sheetName val="04 食物アレルギー確認書"/>
      <sheetName val="05 利用者名簿"/>
      <sheetName val="06-1　人数報告用紙（4.20～11.10用）"/>
      <sheetName val="06-2　人数報告用紙（11.11~4.19用）"/>
      <sheetName val="07 使用料減免申請書"/>
      <sheetName val="08-1 補助的指導者（使用申込書）"/>
      <sheetName val="08-2 補助的指導者（駐車カード）"/>
      <sheetName val="09　歩くスキー事前調査票"/>
      <sheetName val="8 車両同行報告書 (2)"/>
      <sheetName val="11 利用日変更（取消）報告書"/>
    </sheetNames>
    <sheetDataSet>
      <sheetData sheetId="0"/>
      <sheetData sheetId="1"/>
      <sheetData sheetId="2">
        <row r="13">
          <cell r="Q13" t="str">
            <v/>
          </cell>
        </row>
      </sheetData>
      <sheetData sheetId="3"/>
      <sheetData sheetId="4">
        <row r="56">
          <cell r="BK56" t="str">
            <v>朝　食</v>
          </cell>
        </row>
        <row r="57">
          <cell r="BK57" t="str">
            <v>昼　食</v>
          </cell>
        </row>
        <row r="58">
          <cell r="BK58" t="str">
            <v>夕　食</v>
          </cell>
        </row>
      </sheetData>
      <sheetData sheetId="5"/>
      <sheetData sheetId="6">
        <row r="260">
          <cell r="A260" t="str">
            <v>小</v>
          </cell>
          <cell r="B260" t="str">
            <v>中</v>
          </cell>
          <cell r="C260" t="str">
            <v>引</v>
          </cell>
          <cell r="D260" t="str">
            <v>一</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はじめにお読みください※"/>
      <sheetName val="01 使用承認申請書"/>
      <sheetName val="02-1 利用計画書"/>
      <sheetName val="02-2 利用計画書 (冬季)"/>
      <sheetName val="03 食事申込書"/>
      <sheetName val="04 食物アレルギー確認書"/>
      <sheetName val="05 利用者名簿"/>
      <sheetName val="06-1　人数報告用紙（春～秋用）"/>
      <sheetName val="06-2　人数報告用紙（冬用）"/>
      <sheetName val="07 使用料減免申請書"/>
      <sheetName val="08-1 補助的指導者（使用申込書）"/>
      <sheetName val="08-2 補助的指導者（駐車カード）"/>
      <sheetName val="10 車両動向報告書"/>
      <sheetName val="11 利用日変更（取消）報告書"/>
    </sheetNames>
    <sheetDataSet>
      <sheetData sheetId="0"/>
      <sheetData sheetId="1"/>
      <sheetData sheetId="2"/>
      <sheetData sheetId="3"/>
      <sheetData sheetId="4">
        <row r="57">
          <cell r="BK57" t="str">
            <v>朝　食</v>
          </cell>
        </row>
        <row r="58">
          <cell r="BK58" t="str">
            <v>昼　食</v>
          </cell>
        </row>
        <row r="59">
          <cell r="BK59" t="str">
            <v>夕　食</v>
          </cell>
        </row>
      </sheetData>
      <sheetData sheetId="5"/>
      <sheetData sheetId="6">
        <row r="260">
          <cell r="A260" t="str">
            <v>小</v>
          </cell>
          <cell r="B260" t="str">
            <v>中</v>
          </cell>
          <cell r="C260" t="str">
            <v>引</v>
          </cell>
          <cell r="D260" t="str">
            <v>一</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lgn="l">
          <a:lnSpc>
            <a:spcPts val="1700"/>
          </a:lnSpc>
          <a:defRPr kumimoji="1" sz="1800" b="1">
            <a:solidFill>
              <a:schemeClr val="bg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sapporo.jp/citytax/shukuhakuzei/kazeimenjyo.html" TargetMode="External"/><Relationship Id="rId2" Type="http://schemas.openxmlformats.org/officeDocument/2006/relationships/hyperlink" Target="https://www.city.sapporo.jp/citytax/shukuhakuzei/index.html" TargetMode="External"/><Relationship Id="rId1" Type="http://schemas.openxmlformats.org/officeDocument/2006/relationships/hyperlink" Target="mailto:yama@syaa.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214.xml"/><Relationship Id="rId4" Type="http://schemas.openxmlformats.org/officeDocument/2006/relationships/ctrlProp" Target="../ctrlProps/ctrlProp21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8.vml"/><Relationship Id="rId21" Type="http://schemas.openxmlformats.org/officeDocument/2006/relationships/ctrlProp" Target="../ctrlProps/ctrlProp232.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2" Type="http://schemas.openxmlformats.org/officeDocument/2006/relationships/drawing" Target="../drawings/drawing10.xml"/><Relationship Id="rId16" Type="http://schemas.openxmlformats.org/officeDocument/2006/relationships/ctrlProp" Target="../ctrlProps/ctrlProp227.xml"/><Relationship Id="rId20" Type="http://schemas.openxmlformats.org/officeDocument/2006/relationships/ctrlProp" Target="../ctrlProps/ctrlProp231.xml"/><Relationship Id="rId1" Type="http://schemas.openxmlformats.org/officeDocument/2006/relationships/printerSettings" Target="../printerSettings/printerSettings11.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10" Type="http://schemas.openxmlformats.org/officeDocument/2006/relationships/ctrlProp" Target="../ctrlProps/ctrlProp221.xml"/><Relationship Id="rId19" Type="http://schemas.openxmlformats.org/officeDocument/2006/relationships/ctrlProp" Target="../ctrlProps/ctrlProp230.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s>
</file>

<file path=xl/worksheets/_rels/sheet2.xml.rels><?xml version="1.0" encoding="UTF-8" standalone="yes"?>
<Relationships xmlns="http://schemas.openxmlformats.org/package/2006/relationships"><Relationship Id="rId26" Type="http://schemas.openxmlformats.org/officeDocument/2006/relationships/hyperlink" Target="http://www.tondennishi-e.sapporo-c.ed.jp/" TargetMode="External"/><Relationship Id="rId117" Type="http://schemas.openxmlformats.org/officeDocument/2006/relationships/ctrlProp" Target="../ctrlProps/ctrlProp84.xml"/><Relationship Id="rId21" Type="http://schemas.openxmlformats.org/officeDocument/2006/relationships/hyperlink" Target="http://www.tondenminami-e.sapporo-c.ed.jp/" TargetMode="External"/><Relationship Id="rId42" Type="http://schemas.openxmlformats.org/officeDocument/2006/relationships/ctrlProp" Target="../ctrlProps/ctrlProp9.xml"/><Relationship Id="rId47" Type="http://schemas.openxmlformats.org/officeDocument/2006/relationships/ctrlProp" Target="../ctrlProps/ctrlProp14.xml"/><Relationship Id="rId63" Type="http://schemas.openxmlformats.org/officeDocument/2006/relationships/ctrlProp" Target="../ctrlProps/ctrlProp30.xml"/><Relationship Id="rId68" Type="http://schemas.openxmlformats.org/officeDocument/2006/relationships/ctrlProp" Target="../ctrlProps/ctrlProp35.xml"/><Relationship Id="rId84" Type="http://schemas.openxmlformats.org/officeDocument/2006/relationships/ctrlProp" Target="../ctrlProps/ctrlProp51.xml"/><Relationship Id="rId89" Type="http://schemas.openxmlformats.org/officeDocument/2006/relationships/ctrlProp" Target="../ctrlProps/ctrlProp56.xml"/><Relationship Id="rId112" Type="http://schemas.openxmlformats.org/officeDocument/2006/relationships/ctrlProp" Target="../ctrlProps/ctrlProp79.xml"/><Relationship Id="rId16" Type="http://schemas.openxmlformats.org/officeDocument/2006/relationships/hyperlink" Target="http://www.taihei-e.sapporo-c.ed.jp/" TargetMode="External"/><Relationship Id="rId107" Type="http://schemas.openxmlformats.org/officeDocument/2006/relationships/ctrlProp" Target="../ctrlProps/ctrlProp74.xml"/><Relationship Id="rId11" Type="http://schemas.openxmlformats.org/officeDocument/2006/relationships/hyperlink" Target="http://www.koyo-e.sapporo-c.ed.jp/" TargetMode="External"/><Relationship Id="rId32" Type="http://schemas.openxmlformats.org/officeDocument/2006/relationships/drawing" Target="../drawings/drawing1.xml"/><Relationship Id="rId37" Type="http://schemas.openxmlformats.org/officeDocument/2006/relationships/ctrlProp" Target="../ctrlProps/ctrlProp4.xml"/><Relationship Id="rId53" Type="http://schemas.openxmlformats.org/officeDocument/2006/relationships/ctrlProp" Target="../ctrlProps/ctrlProp20.xml"/><Relationship Id="rId58" Type="http://schemas.openxmlformats.org/officeDocument/2006/relationships/ctrlProp" Target="../ctrlProps/ctrlProp25.xml"/><Relationship Id="rId74" Type="http://schemas.openxmlformats.org/officeDocument/2006/relationships/ctrlProp" Target="../ctrlProps/ctrlProp41.xml"/><Relationship Id="rId79" Type="http://schemas.openxmlformats.org/officeDocument/2006/relationships/ctrlProp" Target="../ctrlProps/ctrlProp46.xml"/><Relationship Id="rId102" Type="http://schemas.openxmlformats.org/officeDocument/2006/relationships/ctrlProp" Target="../ctrlProps/ctrlProp69.xml"/><Relationship Id="rId5" Type="http://schemas.openxmlformats.org/officeDocument/2006/relationships/hyperlink" Target="http://www.tonden-e.sapporo-c.ed.jp/" TargetMode="External"/><Relationship Id="rId90" Type="http://schemas.openxmlformats.org/officeDocument/2006/relationships/ctrlProp" Target="../ctrlProps/ctrlProp57.xml"/><Relationship Id="rId95" Type="http://schemas.openxmlformats.org/officeDocument/2006/relationships/ctrlProp" Target="../ctrlProps/ctrlProp62.xml"/><Relationship Id="rId22" Type="http://schemas.openxmlformats.org/officeDocument/2006/relationships/hyperlink" Target="http://www.hokuyo-e.sapporo-c.ed.jp/" TargetMode="External"/><Relationship Id="rId27" Type="http://schemas.openxmlformats.org/officeDocument/2006/relationships/hyperlink" Target="http://www.ainosatohigashi-e.sapporo-c.ed.jp/" TargetMode="External"/><Relationship Id="rId43" Type="http://schemas.openxmlformats.org/officeDocument/2006/relationships/ctrlProp" Target="../ctrlProps/ctrlProp10.xml"/><Relationship Id="rId48" Type="http://schemas.openxmlformats.org/officeDocument/2006/relationships/ctrlProp" Target="../ctrlProps/ctrlProp15.xml"/><Relationship Id="rId64" Type="http://schemas.openxmlformats.org/officeDocument/2006/relationships/ctrlProp" Target="../ctrlProps/ctrlProp31.xml"/><Relationship Id="rId69" Type="http://schemas.openxmlformats.org/officeDocument/2006/relationships/ctrlProp" Target="../ctrlProps/ctrlProp36.xml"/><Relationship Id="rId113" Type="http://schemas.openxmlformats.org/officeDocument/2006/relationships/ctrlProp" Target="../ctrlProps/ctrlProp80.xml"/><Relationship Id="rId118" Type="http://schemas.openxmlformats.org/officeDocument/2006/relationships/ctrlProp" Target="../ctrlProps/ctrlProp85.xml"/><Relationship Id="rId80" Type="http://schemas.openxmlformats.org/officeDocument/2006/relationships/ctrlProp" Target="../ctrlProps/ctrlProp47.xml"/><Relationship Id="rId85" Type="http://schemas.openxmlformats.org/officeDocument/2006/relationships/ctrlProp" Target="../ctrlProps/ctrlProp52.xml"/><Relationship Id="rId12" Type="http://schemas.openxmlformats.org/officeDocument/2006/relationships/hyperlink" Target="http://www.shinyo-e.sapporo-c.ed.jp/" TargetMode="External"/><Relationship Id="rId17" Type="http://schemas.openxmlformats.org/officeDocument/2006/relationships/hyperlink" Target="http://www.shinkotoniminami-e.sapporo-c.ed.jp/" TargetMode="External"/><Relationship Id="rId33" Type="http://schemas.openxmlformats.org/officeDocument/2006/relationships/vmlDrawing" Target="../drawings/vmlDrawing2.vml"/><Relationship Id="rId38" Type="http://schemas.openxmlformats.org/officeDocument/2006/relationships/ctrlProp" Target="../ctrlProps/ctrlProp5.xml"/><Relationship Id="rId59" Type="http://schemas.openxmlformats.org/officeDocument/2006/relationships/ctrlProp" Target="../ctrlProps/ctrlProp26.xml"/><Relationship Id="rId103" Type="http://schemas.openxmlformats.org/officeDocument/2006/relationships/ctrlProp" Target="../ctrlProps/ctrlProp70.xml"/><Relationship Id="rId108" Type="http://schemas.openxmlformats.org/officeDocument/2006/relationships/ctrlProp" Target="../ctrlProps/ctrlProp75.xml"/><Relationship Id="rId54" Type="http://schemas.openxmlformats.org/officeDocument/2006/relationships/ctrlProp" Target="../ctrlProps/ctrlProp21.xml"/><Relationship Id="rId70" Type="http://schemas.openxmlformats.org/officeDocument/2006/relationships/ctrlProp" Target="../ctrlProps/ctrlProp37.xml"/><Relationship Id="rId75" Type="http://schemas.openxmlformats.org/officeDocument/2006/relationships/ctrlProp" Target="../ctrlProps/ctrlProp42.xml"/><Relationship Id="rId91" Type="http://schemas.openxmlformats.org/officeDocument/2006/relationships/ctrlProp" Target="../ctrlProps/ctrlProp58.xml"/><Relationship Id="rId96" Type="http://schemas.openxmlformats.org/officeDocument/2006/relationships/ctrlProp" Target="../ctrlProps/ctrlProp63.xml"/><Relationship Id="rId1" Type="http://schemas.openxmlformats.org/officeDocument/2006/relationships/hyperlink" Target="http://www.kitakujo-e.sapporo-c.ed.jp/" TargetMode="External"/><Relationship Id="rId6" Type="http://schemas.openxmlformats.org/officeDocument/2006/relationships/hyperlink" Target="http://www.shinkawa-e.sapporo-c.ed.jp/" TargetMode="External"/><Relationship Id="rId23" Type="http://schemas.openxmlformats.org/officeDocument/2006/relationships/hyperlink" Target="http://www.shinkotonimidori-e.sapporo-c.ed.jp/" TargetMode="External"/><Relationship Id="rId28" Type="http://schemas.openxmlformats.org/officeDocument/2006/relationships/hyperlink" Target="http://www.yurigahara-e.sapporo-c.ed.jp/" TargetMode="External"/><Relationship Id="rId49" Type="http://schemas.openxmlformats.org/officeDocument/2006/relationships/ctrlProp" Target="../ctrlProps/ctrlProp16.xml"/><Relationship Id="rId114" Type="http://schemas.openxmlformats.org/officeDocument/2006/relationships/ctrlProp" Target="../ctrlProps/ctrlProp81.xml"/><Relationship Id="rId119" Type="http://schemas.openxmlformats.org/officeDocument/2006/relationships/comments" Target="../comments2.xml"/><Relationship Id="rId10" Type="http://schemas.openxmlformats.org/officeDocument/2006/relationships/hyperlink" Target="http://www.wako-e.sapporo-c.ed.jp/" TargetMode="External"/><Relationship Id="rId31" Type="http://schemas.openxmlformats.org/officeDocument/2006/relationships/printerSettings" Target="../printerSettings/printerSettings2.bin"/><Relationship Id="rId44" Type="http://schemas.openxmlformats.org/officeDocument/2006/relationships/ctrlProp" Target="../ctrlProps/ctrlProp11.xml"/><Relationship Id="rId52" Type="http://schemas.openxmlformats.org/officeDocument/2006/relationships/ctrlProp" Target="../ctrlProps/ctrlProp19.xml"/><Relationship Id="rId60" Type="http://schemas.openxmlformats.org/officeDocument/2006/relationships/ctrlProp" Target="../ctrlProps/ctrlProp27.xml"/><Relationship Id="rId65" Type="http://schemas.openxmlformats.org/officeDocument/2006/relationships/ctrlProp" Target="../ctrlProps/ctrlProp32.xml"/><Relationship Id="rId73" Type="http://schemas.openxmlformats.org/officeDocument/2006/relationships/ctrlProp" Target="../ctrlProps/ctrlProp40.xml"/><Relationship Id="rId78" Type="http://schemas.openxmlformats.org/officeDocument/2006/relationships/ctrlProp" Target="../ctrlProps/ctrlProp45.xml"/><Relationship Id="rId81" Type="http://schemas.openxmlformats.org/officeDocument/2006/relationships/ctrlProp" Target="../ctrlProps/ctrlProp48.xml"/><Relationship Id="rId86" Type="http://schemas.openxmlformats.org/officeDocument/2006/relationships/ctrlProp" Target="../ctrlProps/ctrlProp53.xml"/><Relationship Id="rId94" Type="http://schemas.openxmlformats.org/officeDocument/2006/relationships/ctrlProp" Target="../ctrlProps/ctrlProp61.xml"/><Relationship Id="rId99" Type="http://schemas.openxmlformats.org/officeDocument/2006/relationships/ctrlProp" Target="../ctrlProps/ctrlProp66.xml"/><Relationship Id="rId101" Type="http://schemas.openxmlformats.org/officeDocument/2006/relationships/ctrlProp" Target="../ctrlProps/ctrlProp68.xml"/><Relationship Id="rId4" Type="http://schemas.openxmlformats.org/officeDocument/2006/relationships/hyperlink" Target="http://www.shinkotoni-e.sapporo-c.ed.jp/" TargetMode="External"/><Relationship Id="rId9" Type="http://schemas.openxmlformats.org/officeDocument/2006/relationships/hyperlink" Target="http://www.kojo-e.sapporo-c.ed.jp/" TargetMode="External"/><Relationship Id="rId13" Type="http://schemas.openxmlformats.org/officeDocument/2006/relationships/hyperlink" Target="http://www.shinkotonikita-e.sapporo-c.ed.jp/" TargetMode="External"/><Relationship Id="rId18" Type="http://schemas.openxmlformats.org/officeDocument/2006/relationships/hyperlink" Target="http://www.shinoronishi-e.sapporo-c.ed.jp/" TargetMode="External"/><Relationship Id="rId39" Type="http://schemas.openxmlformats.org/officeDocument/2006/relationships/ctrlProp" Target="../ctrlProps/ctrlProp6.xml"/><Relationship Id="rId109" Type="http://schemas.openxmlformats.org/officeDocument/2006/relationships/ctrlProp" Target="../ctrlProps/ctrlProp76.xml"/><Relationship Id="rId34" Type="http://schemas.openxmlformats.org/officeDocument/2006/relationships/ctrlProp" Target="../ctrlProps/ctrlProp1.xml"/><Relationship Id="rId50" Type="http://schemas.openxmlformats.org/officeDocument/2006/relationships/ctrlProp" Target="../ctrlProps/ctrlProp17.xml"/><Relationship Id="rId55" Type="http://schemas.openxmlformats.org/officeDocument/2006/relationships/ctrlProp" Target="../ctrlProps/ctrlProp22.xml"/><Relationship Id="rId76" Type="http://schemas.openxmlformats.org/officeDocument/2006/relationships/ctrlProp" Target="../ctrlProps/ctrlProp43.xml"/><Relationship Id="rId97" Type="http://schemas.openxmlformats.org/officeDocument/2006/relationships/ctrlProp" Target="../ctrlProps/ctrlProp64.xml"/><Relationship Id="rId104" Type="http://schemas.openxmlformats.org/officeDocument/2006/relationships/ctrlProp" Target="../ctrlProps/ctrlProp71.xml"/><Relationship Id="rId7" Type="http://schemas.openxmlformats.org/officeDocument/2006/relationships/hyperlink" Target="http://www.shinoro-e.sapporo-c.ed.jp/" TargetMode="External"/><Relationship Id="rId71" Type="http://schemas.openxmlformats.org/officeDocument/2006/relationships/ctrlProp" Target="../ctrlProps/ctrlProp38.xml"/><Relationship Id="rId92" Type="http://schemas.openxmlformats.org/officeDocument/2006/relationships/ctrlProp" Target="../ctrlProps/ctrlProp59.xml"/><Relationship Id="rId2" Type="http://schemas.openxmlformats.org/officeDocument/2006/relationships/hyperlink" Target="http://www.kohoku-e.sapporo-c.ed.jp/" TargetMode="External"/><Relationship Id="rId29" Type="http://schemas.openxmlformats.org/officeDocument/2006/relationships/hyperlink" Target="http://www.tondenkita-e.sapporo-c.ed.jp/" TargetMode="External"/><Relationship Id="rId24" Type="http://schemas.openxmlformats.org/officeDocument/2006/relationships/hyperlink" Target="http://www.taiheiminami-e.sapporo-c.ed.jp/" TargetMode="External"/><Relationship Id="rId40" Type="http://schemas.openxmlformats.org/officeDocument/2006/relationships/ctrlProp" Target="../ctrlProps/ctrlProp7.xml"/><Relationship Id="rId45" Type="http://schemas.openxmlformats.org/officeDocument/2006/relationships/ctrlProp" Target="../ctrlProps/ctrlProp12.xml"/><Relationship Id="rId66" Type="http://schemas.openxmlformats.org/officeDocument/2006/relationships/ctrlProp" Target="../ctrlProps/ctrlProp33.xml"/><Relationship Id="rId87" Type="http://schemas.openxmlformats.org/officeDocument/2006/relationships/ctrlProp" Target="../ctrlProps/ctrlProp54.xml"/><Relationship Id="rId110" Type="http://schemas.openxmlformats.org/officeDocument/2006/relationships/ctrlProp" Target="../ctrlProps/ctrlProp77.xml"/><Relationship Id="rId115" Type="http://schemas.openxmlformats.org/officeDocument/2006/relationships/ctrlProp" Target="../ctrlProps/ctrlProp82.xml"/><Relationship Id="rId61" Type="http://schemas.openxmlformats.org/officeDocument/2006/relationships/ctrlProp" Target="../ctrlProps/ctrlProp28.xml"/><Relationship Id="rId82" Type="http://schemas.openxmlformats.org/officeDocument/2006/relationships/ctrlProp" Target="../ctrlProps/ctrlProp49.xml"/><Relationship Id="rId19" Type="http://schemas.openxmlformats.org/officeDocument/2006/relationships/hyperlink" Target="http://www.shinko-e.sapporo-c.ed.jp/" TargetMode="External"/><Relationship Id="rId14" Type="http://schemas.openxmlformats.org/officeDocument/2006/relationships/hyperlink" Target="http://www.shinkawachuo-e.sapporo-c.ed.jp/" TargetMode="External"/><Relationship Id="rId30" Type="http://schemas.openxmlformats.org/officeDocument/2006/relationships/hyperlink" Target="http://www.himawari-ej.sapporo-c.ed.jp/" TargetMode="External"/><Relationship Id="rId35" Type="http://schemas.openxmlformats.org/officeDocument/2006/relationships/ctrlProp" Target="../ctrlProps/ctrlProp2.xml"/><Relationship Id="rId56" Type="http://schemas.openxmlformats.org/officeDocument/2006/relationships/ctrlProp" Target="../ctrlProps/ctrlProp23.xml"/><Relationship Id="rId77" Type="http://schemas.openxmlformats.org/officeDocument/2006/relationships/ctrlProp" Target="../ctrlProps/ctrlProp44.xml"/><Relationship Id="rId100" Type="http://schemas.openxmlformats.org/officeDocument/2006/relationships/ctrlProp" Target="../ctrlProps/ctrlProp67.xml"/><Relationship Id="rId105" Type="http://schemas.openxmlformats.org/officeDocument/2006/relationships/ctrlProp" Target="../ctrlProps/ctrlProp72.xml"/><Relationship Id="rId8" Type="http://schemas.openxmlformats.org/officeDocument/2006/relationships/hyperlink" Target="http://www.barato-e.sapporo-c.ed.jp/" TargetMode="External"/><Relationship Id="rId51" Type="http://schemas.openxmlformats.org/officeDocument/2006/relationships/ctrlProp" Target="../ctrlProps/ctrlProp18.xml"/><Relationship Id="rId72" Type="http://schemas.openxmlformats.org/officeDocument/2006/relationships/ctrlProp" Target="../ctrlProps/ctrlProp39.xml"/><Relationship Id="rId93" Type="http://schemas.openxmlformats.org/officeDocument/2006/relationships/ctrlProp" Target="../ctrlProps/ctrlProp60.xml"/><Relationship Id="rId98" Type="http://schemas.openxmlformats.org/officeDocument/2006/relationships/ctrlProp" Target="../ctrlProps/ctrlProp65.xml"/><Relationship Id="rId3" Type="http://schemas.openxmlformats.org/officeDocument/2006/relationships/hyperlink" Target="http://www.hakuyo-e.sapporo-c.ed.jp/" TargetMode="External"/><Relationship Id="rId25" Type="http://schemas.openxmlformats.org/officeDocument/2006/relationships/hyperlink" Target="http://www.ainosatonishi-e.sapporo-c.ed.jp/" TargetMode="External"/><Relationship Id="rId46" Type="http://schemas.openxmlformats.org/officeDocument/2006/relationships/ctrlProp" Target="../ctrlProps/ctrlProp13.xml"/><Relationship Id="rId67" Type="http://schemas.openxmlformats.org/officeDocument/2006/relationships/ctrlProp" Target="../ctrlProps/ctrlProp34.xml"/><Relationship Id="rId116" Type="http://schemas.openxmlformats.org/officeDocument/2006/relationships/ctrlProp" Target="../ctrlProps/ctrlProp83.xml"/><Relationship Id="rId20" Type="http://schemas.openxmlformats.org/officeDocument/2006/relationships/hyperlink" Target="http://www.takuhoku-e.sapporo-c.ed.jp/" TargetMode="External"/><Relationship Id="rId41" Type="http://schemas.openxmlformats.org/officeDocument/2006/relationships/ctrlProp" Target="../ctrlProps/ctrlProp8.xml"/><Relationship Id="rId62" Type="http://schemas.openxmlformats.org/officeDocument/2006/relationships/ctrlProp" Target="../ctrlProps/ctrlProp29.xml"/><Relationship Id="rId83" Type="http://schemas.openxmlformats.org/officeDocument/2006/relationships/ctrlProp" Target="../ctrlProps/ctrlProp50.xml"/><Relationship Id="rId88" Type="http://schemas.openxmlformats.org/officeDocument/2006/relationships/ctrlProp" Target="../ctrlProps/ctrlProp55.xml"/><Relationship Id="rId111" Type="http://schemas.openxmlformats.org/officeDocument/2006/relationships/ctrlProp" Target="../ctrlProps/ctrlProp78.xml"/><Relationship Id="rId15" Type="http://schemas.openxmlformats.org/officeDocument/2006/relationships/hyperlink" Target="http://www.shinkotoninishi-e.sapporo-c.ed.jp/" TargetMode="External"/><Relationship Id="rId36" Type="http://schemas.openxmlformats.org/officeDocument/2006/relationships/ctrlProp" Target="../ctrlProps/ctrlProp3.xml"/><Relationship Id="rId57" Type="http://schemas.openxmlformats.org/officeDocument/2006/relationships/ctrlProp" Target="../ctrlProps/ctrlProp24.xml"/><Relationship Id="rId106"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08.xml"/><Relationship Id="rId21" Type="http://schemas.openxmlformats.org/officeDocument/2006/relationships/ctrlProp" Target="../ctrlProps/ctrlProp103.xml"/><Relationship Id="rId42" Type="http://schemas.openxmlformats.org/officeDocument/2006/relationships/ctrlProp" Target="../ctrlProps/ctrlProp124.xml"/><Relationship Id="rId47" Type="http://schemas.openxmlformats.org/officeDocument/2006/relationships/ctrlProp" Target="../ctrlProps/ctrlProp129.xml"/><Relationship Id="rId63" Type="http://schemas.openxmlformats.org/officeDocument/2006/relationships/ctrlProp" Target="../ctrlProps/ctrlProp145.xml"/><Relationship Id="rId68" Type="http://schemas.openxmlformats.org/officeDocument/2006/relationships/ctrlProp" Target="../ctrlProps/ctrlProp150.xml"/><Relationship Id="rId84" Type="http://schemas.openxmlformats.org/officeDocument/2006/relationships/ctrlProp" Target="../ctrlProps/ctrlProp166.xml"/><Relationship Id="rId89" Type="http://schemas.openxmlformats.org/officeDocument/2006/relationships/ctrlProp" Target="../ctrlProps/ctrlProp171.xml"/><Relationship Id="rId16" Type="http://schemas.openxmlformats.org/officeDocument/2006/relationships/ctrlProp" Target="../ctrlProps/ctrlProp98.xml"/><Relationship Id="rId11" Type="http://schemas.openxmlformats.org/officeDocument/2006/relationships/ctrlProp" Target="../ctrlProps/ctrlProp93.xml"/><Relationship Id="rId32" Type="http://schemas.openxmlformats.org/officeDocument/2006/relationships/ctrlProp" Target="../ctrlProps/ctrlProp114.xml"/><Relationship Id="rId37" Type="http://schemas.openxmlformats.org/officeDocument/2006/relationships/ctrlProp" Target="../ctrlProps/ctrlProp119.xml"/><Relationship Id="rId53" Type="http://schemas.openxmlformats.org/officeDocument/2006/relationships/ctrlProp" Target="../ctrlProps/ctrlProp135.xml"/><Relationship Id="rId58" Type="http://schemas.openxmlformats.org/officeDocument/2006/relationships/ctrlProp" Target="../ctrlProps/ctrlProp140.xml"/><Relationship Id="rId74" Type="http://schemas.openxmlformats.org/officeDocument/2006/relationships/ctrlProp" Target="../ctrlProps/ctrlProp156.xml"/><Relationship Id="rId79" Type="http://schemas.openxmlformats.org/officeDocument/2006/relationships/ctrlProp" Target="../ctrlProps/ctrlProp161.xml"/><Relationship Id="rId5" Type="http://schemas.openxmlformats.org/officeDocument/2006/relationships/ctrlProp" Target="../ctrlProps/ctrlProp87.xml"/><Relationship Id="rId90" Type="http://schemas.openxmlformats.org/officeDocument/2006/relationships/comments" Target="../comments3.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64" Type="http://schemas.openxmlformats.org/officeDocument/2006/relationships/ctrlProp" Target="../ctrlProps/ctrlProp146.xml"/><Relationship Id="rId69" Type="http://schemas.openxmlformats.org/officeDocument/2006/relationships/ctrlProp" Target="../ctrlProps/ctrlProp151.xml"/><Relationship Id="rId77" Type="http://schemas.openxmlformats.org/officeDocument/2006/relationships/ctrlProp" Target="../ctrlProps/ctrlProp159.xml"/><Relationship Id="rId8" Type="http://schemas.openxmlformats.org/officeDocument/2006/relationships/ctrlProp" Target="../ctrlProps/ctrlProp90.xml"/><Relationship Id="rId51" Type="http://schemas.openxmlformats.org/officeDocument/2006/relationships/ctrlProp" Target="../ctrlProps/ctrlProp133.xml"/><Relationship Id="rId72" Type="http://schemas.openxmlformats.org/officeDocument/2006/relationships/ctrlProp" Target="../ctrlProps/ctrlProp154.xml"/><Relationship Id="rId80" Type="http://schemas.openxmlformats.org/officeDocument/2006/relationships/ctrlProp" Target="../ctrlProps/ctrlProp162.xml"/><Relationship Id="rId85" Type="http://schemas.openxmlformats.org/officeDocument/2006/relationships/ctrlProp" Target="../ctrlProps/ctrlProp167.xml"/><Relationship Id="rId3" Type="http://schemas.openxmlformats.org/officeDocument/2006/relationships/vmlDrawing" Target="../drawings/vmlDrawing3.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67" Type="http://schemas.openxmlformats.org/officeDocument/2006/relationships/ctrlProp" Target="../ctrlProps/ctrlProp149.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62" Type="http://schemas.openxmlformats.org/officeDocument/2006/relationships/ctrlProp" Target="../ctrlProps/ctrlProp144.xml"/><Relationship Id="rId70" Type="http://schemas.openxmlformats.org/officeDocument/2006/relationships/ctrlProp" Target="../ctrlProps/ctrlProp152.xml"/><Relationship Id="rId75" Type="http://schemas.openxmlformats.org/officeDocument/2006/relationships/ctrlProp" Target="../ctrlProps/ctrlProp157.xml"/><Relationship Id="rId83" Type="http://schemas.openxmlformats.org/officeDocument/2006/relationships/ctrlProp" Target="../ctrlProps/ctrlProp165.xml"/><Relationship Id="rId88" Type="http://schemas.openxmlformats.org/officeDocument/2006/relationships/ctrlProp" Target="../ctrlProps/ctrlProp170.xml"/><Relationship Id="rId1" Type="http://schemas.openxmlformats.org/officeDocument/2006/relationships/printerSettings" Target="../printerSettings/printerSettings4.bin"/><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10" Type="http://schemas.openxmlformats.org/officeDocument/2006/relationships/ctrlProp" Target="../ctrlProps/ctrlProp92.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60" Type="http://schemas.openxmlformats.org/officeDocument/2006/relationships/ctrlProp" Target="../ctrlProps/ctrlProp142.xml"/><Relationship Id="rId65" Type="http://schemas.openxmlformats.org/officeDocument/2006/relationships/ctrlProp" Target="../ctrlProps/ctrlProp147.xml"/><Relationship Id="rId73" Type="http://schemas.openxmlformats.org/officeDocument/2006/relationships/ctrlProp" Target="../ctrlProps/ctrlProp155.xml"/><Relationship Id="rId78" Type="http://schemas.openxmlformats.org/officeDocument/2006/relationships/ctrlProp" Target="../ctrlProps/ctrlProp160.xml"/><Relationship Id="rId81" Type="http://schemas.openxmlformats.org/officeDocument/2006/relationships/ctrlProp" Target="../ctrlProps/ctrlProp163.xml"/><Relationship Id="rId86" Type="http://schemas.openxmlformats.org/officeDocument/2006/relationships/ctrlProp" Target="../ctrlProps/ctrlProp168.xml"/><Relationship Id="rId4" Type="http://schemas.openxmlformats.org/officeDocument/2006/relationships/ctrlProp" Target="../ctrlProps/ctrlProp86.xml"/><Relationship Id="rId9" Type="http://schemas.openxmlformats.org/officeDocument/2006/relationships/ctrlProp" Target="../ctrlProps/ctrlProp91.xml"/><Relationship Id="rId13" Type="http://schemas.openxmlformats.org/officeDocument/2006/relationships/ctrlProp" Target="../ctrlProps/ctrlProp95.xml"/><Relationship Id="rId18" Type="http://schemas.openxmlformats.org/officeDocument/2006/relationships/ctrlProp" Target="../ctrlProps/ctrlProp100.xml"/><Relationship Id="rId39" Type="http://schemas.openxmlformats.org/officeDocument/2006/relationships/ctrlProp" Target="../ctrlProps/ctrlProp121.xml"/><Relationship Id="rId34" Type="http://schemas.openxmlformats.org/officeDocument/2006/relationships/ctrlProp" Target="../ctrlProps/ctrlProp116.xml"/><Relationship Id="rId50" Type="http://schemas.openxmlformats.org/officeDocument/2006/relationships/ctrlProp" Target="../ctrlProps/ctrlProp132.xml"/><Relationship Id="rId55" Type="http://schemas.openxmlformats.org/officeDocument/2006/relationships/ctrlProp" Target="../ctrlProps/ctrlProp137.xml"/><Relationship Id="rId76" Type="http://schemas.openxmlformats.org/officeDocument/2006/relationships/ctrlProp" Target="../ctrlProps/ctrlProp158.xml"/><Relationship Id="rId7" Type="http://schemas.openxmlformats.org/officeDocument/2006/relationships/ctrlProp" Target="../ctrlProps/ctrlProp89.xml"/><Relationship Id="rId71" Type="http://schemas.openxmlformats.org/officeDocument/2006/relationships/ctrlProp" Target="../ctrlProps/ctrlProp153.xml"/><Relationship Id="rId2" Type="http://schemas.openxmlformats.org/officeDocument/2006/relationships/drawing" Target="../drawings/drawing3.xml"/><Relationship Id="rId29" Type="http://schemas.openxmlformats.org/officeDocument/2006/relationships/ctrlProp" Target="../ctrlProps/ctrlProp111.xml"/><Relationship Id="rId24" Type="http://schemas.openxmlformats.org/officeDocument/2006/relationships/ctrlProp" Target="../ctrlProps/ctrlProp106.xml"/><Relationship Id="rId40" Type="http://schemas.openxmlformats.org/officeDocument/2006/relationships/ctrlProp" Target="../ctrlProps/ctrlProp122.xml"/><Relationship Id="rId45" Type="http://schemas.openxmlformats.org/officeDocument/2006/relationships/ctrlProp" Target="../ctrlProps/ctrlProp127.xml"/><Relationship Id="rId66" Type="http://schemas.openxmlformats.org/officeDocument/2006/relationships/ctrlProp" Target="../ctrlProps/ctrlProp148.xml"/><Relationship Id="rId87" Type="http://schemas.openxmlformats.org/officeDocument/2006/relationships/ctrlProp" Target="../ctrlProps/ctrlProp169.xml"/><Relationship Id="rId61" Type="http://schemas.openxmlformats.org/officeDocument/2006/relationships/ctrlProp" Target="../ctrlProps/ctrlProp143.xml"/><Relationship Id="rId82" Type="http://schemas.openxmlformats.org/officeDocument/2006/relationships/ctrlProp" Target="../ctrlProps/ctrlProp164.xml"/><Relationship Id="rId19" Type="http://schemas.openxmlformats.org/officeDocument/2006/relationships/ctrlProp" Target="../ctrlProps/ctrlProp10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9" Type="http://schemas.openxmlformats.org/officeDocument/2006/relationships/ctrlProp" Target="../ctrlProps/ctrlProp207.xml"/><Relationship Id="rId21" Type="http://schemas.openxmlformats.org/officeDocument/2006/relationships/ctrlProp" Target="../ctrlProps/ctrlProp189.xml"/><Relationship Id="rId34" Type="http://schemas.openxmlformats.org/officeDocument/2006/relationships/ctrlProp" Target="../ctrlProps/ctrlProp202.xml"/><Relationship Id="rId42" Type="http://schemas.openxmlformats.org/officeDocument/2006/relationships/ctrlProp" Target="../ctrlProps/ctrlProp210.xml"/><Relationship Id="rId7" Type="http://schemas.openxmlformats.org/officeDocument/2006/relationships/ctrlProp" Target="../ctrlProps/ctrlProp175.xml"/><Relationship Id="rId2" Type="http://schemas.openxmlformats.org/officeDocument/2006/relationships/drawing" Target="../drawings/drawing5.xml"/><Relationship Id="rId16" Type="http://schemas.openxmlformats.org/officeDocument/2006/relationships/ctrlProp" Target="../ctrlProps/ctrlProp184.xml"/><Relationship Id="rId29" Type="http://schemas.openxmlformats.org/officeDocument/2006/relationships/ctrlProp" Target="../ctrlProps/ctrlProp197.xml"/><Relationship Id="rId1" Type="http://schemas.openxmlformats.org/officeDocument/2006/relationships/printerSettings" Target="../printerSettings/printerSettings6.bin"/><Relationship Id="rId6" Type="http://schemas.openxmlformats.org/officeDocument/2006/relationships/ctrlProp" Target="../ctrlProps/ctrlProp174.xml"/><Relationship Id="rId11" Type="http://schemas.openxmlformats.org/officeDocument/2006/relationships/ctrlProp" Target="../ctrlProps/ctrlProp179.xml"/><Relationship Id="rId24" Type="http://schemas.openxmlformats.org/officeDocument/2006/relationships/ctrlProp" Target="../ctrlProps/ctrlProp192.xml"/><Relationship Id="rId32" Type="http://schemas.openxmlformats.org/officeDocument/2006/relationships/ctrlProp" Target="../ctrlProps/ctrlProp200.xml"/><Relationship Id="rId37" Type="http://schemas.openxmlformats.org/officeDocument/2006/relationships/ctrlProp" Target="../ctrlProps/ctrlProp205.xml"/><Relationship Id="rId40" Type="http://schemas.openxmlformats.org/officeDocument/2006/relationships/ctrlProp" Target="../ctrlProps/ctrlProp208.xml"/><Relationship Id="rId45" Type="http://schemas.openxmlformats.org/officeDocument/2006/relationships/comments" Target="../comments5.xml"/><Relationship Id="rId5" Type="http://schemas.openxmlformats.org/officeDocument/2006/relationships/ctrlProp" Target="../ctrlProps/ctrlProp173.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36" Type="http://schemas.openxmlformats.org/officeDocument/2006/relationships/ctrlProp" Target="../ctrlProps/ctrlProp204.xml"/><Relationship Id="rId10" Type="http://schemas.openxmlformats.org/officeDocument/2006/relationships/ctrlProp" Target="../ctrlProps/ctrlProp178.xml"/><Relationship Id="rId19" Type="http://schemas.openxmlformats.org/officeDocument/2006/relationships/ctrlProp" Target="../ctrlProps/ctrlProp187.xml"/><Relationship Id="rId31" Type="http://schemas.openxmlformats.org/officeDocument/2006/relationships/ctrlProp" Target="../ctrlProps/ctrlProp199.xml"/><Relationship Id="rId44" Type="http://schemas.openxmlformats.org/officeDocument/2006/relationships/ctrlProp" Target="../ctrlProps/ctrlProp212.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 Id="rId35" Type="http://schemas.openxmlformats.org/officeDocument/2006/relationships/ctrlProp" Target="../ctrlProps/ctrlProp203.xml"/><Relationship Id="rId43" Type="http://schemas.openxmlformats.org/officeDocument/2006/relationships/ctrlProp" Target="../ctrlProps/ctrlProp211.xml"/><Relationship Id="rId8" Type="http://schemas.openxmlformats.org/officeDocument/2006/relationships/ctrlProp" Target="../ctrlProps/ctrlProp176.xml"/><Relationship Id="rId3" Type="http://schemas.openxmlformats.org/officeDocument/2006/relationships/vmlDrawing" Target="../drawings/vmlDrawing5.v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33" Type="http://schemas.openxmlformats.org/officeDocument/2006/relationships/ctrlProp" Target="../ctrlProps/ctrlProp201.xml"/><Relationship Id="rId38" Type="http://schemas.openxmlformats.org/officeDocument/2006/relationships/ctrlProp" Target="../ctrlProps/ctrlProp206.xml"/><Relationship Id="rId20" Type="http://schemas.openxmlformats.org/officeDocument/2006/relationships/ctrlProp" Target="../ctrlProps/ctrlProp188.xml"/><Relationship Id="rId41" Type="http://schemas.openxmlformats.org/officeDocument/2006/relationships/ctrlProp" Target="../ctrlProps/ctrlProp20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AC35"/>
  <sheetViews>
    <sheetView view="pageBreakPreview" topLeftCell="A2" zoomScaleNormal="100" zoomScaleSheetLayoutView="100" workbookViewId="0">
      <selection activeCell="AC26" sqref="AC26"/>
    </sheetView>
  </sheetViews>
  <sheetFormatPr defaultColWidth="9" defaultRowHeight="13.5"/>
  <cols>
    <col min="1" max="26" width="3.625" style="153" customWidth="1"/>
    <col min="27" max="27" width="0" style="153" hidden="1" customWidth="1"/>
    <col min="28" max="16384" width="9" style="153"/>
  </cols>
  <sheetData>
    <row r="1" spans="1:29" hidden="1"/>
    <row r="2" spans="1:29" ht="20.100000000000001" customHeight="1">
      <c r="A2" s="1271" t="s">
        <v>223</v>
      </c>
      <c r="B2" s="1271"/>
      <c r="C2" s="1271"/>
      <c r="D2" s="1271"/>
      <c r="E2" s="1271"/>
      <c r="F2" s="1271"/>
      <c r="G2" s="1271"/>
      <c r="H2" s="1271"/>
      <c r="I2" s="1271"/>
      <c r="J2" s="1271"/>
      <c r="K2" s="1271"/>
      <c r="L2" s="1271"/>
      <c r="M2" s="1271"/>
      <c r="N2" s="1271"/>
      <c r="O2" s="1271"/>
      <c r="P2" s="1271"/>
      <c r="Q2" s="1271"/>
      <c r="R2" s="1271"/>
      <c r="S2" s="1271"/>
      <c r="T2" s="1271"/>
      <c r="U2" s="1271"/>
      <c r="V2" s="1271"/>
      <c r="W2" s="1271"/>
      <c r="X2" s="1271"/>
      <c r="Y2" s="1271"/>
      <c r="Z2" s="1271"/>
    </row>
    <row r="3" spans="1:29" ht="20.100000000000001" customHeight="1">
      <c r="A3" s="433"/>
      <c r="B3" s="434"/>
      <c r="C3" s="434"/>
      <c r="D3" s="434"/>
      <c r="E3" s="434"/>
      <c r="F3" s="434"/>
      <c r="G3" s="434"/>
      <c r="H3" s="434"/>
      <c r="I3" s="434"/>
      <c r="J3" s="434"/>
      <c r="K3" s="434"/>
      <c r="L3" s="434"/>
      <c r="M3" s="434"/>
      <c r="N3" s="434"/>
      <c r="O3" s="434"/>
      <c r="P3" s="434"/>
      <c r="Q3" s="434"/>
      <c r="R3" s="434"/>
      <c r="S3" s="434"/>
      <c r="T3" s="434"/>
      <c r="U3" s="434"/>
      <c r="V3" s="1274" t="s">
        <v>3121</v>
      </c>
      <c r="W3" s="1274"/>
      <c r="X3" s="1274"/>
      <c r="Y3" s="1274"/>
      <c r="Z3" s="1274"/>
    </row>
    <row r="4" spans="1:29" ht="20.100000000000001" customHeight="1">
      <c r="A4" s="1273"/>
      <c r="B4" s="1273"/>
      <c r="C4" s="1273"/>
      <c r="D4" s="1273"/>
      <c r="E4" s="1273"/>
      <c r="F4" s="1273"/>
      <c r="G4" s="1273"/>
      <c r="H4" s="1273"/>
      <c r="I4" s="1272" t="s">
        <v>2</v>
      </c>
      <c r="J4" s="1272"/>
      <c r="K4" s="1272"/>
      <c r="L4" s="1272"/>
      <c r="M4" s="1272"/>
      <c r="N4" s="1272"/>
      <c r="O4" s="1272"/>
      <c r="P4" s="1272"/>
      <c r="Q4" s="1272"/>
      <c r="R4" s="1272"/>
      <c r="S4" s="1273"/>
      <c r="T4" s="1273"/>
      <c r="U4" s="1273"/>
      <c r="V4" s="1273"/>
      <c r="W4" s="1273"/>
      <c r="X4" s="1273"/>
      <c r="Y4" s="1273"/>
      <c r="Z4" s="1273"/>
    </row>
    <row r="5" spans="1:29" ht="20.100000000000001" customHeight="1">
      <c r="A5" s="1260"/>
      <c r="B5" s="1260"/>
      <c r="C5" s="1260"/>
      <c r="D5" s="1260"/>
      <c r="E5" s="1260"/>
      <c r="F5" s="1260"/>
      <c r="G5" s="1260"/>
      <c r="H5" s="1260"/>
      <c r="I5" s="1260"/>
      <c r="J5" s="1260"/>
      <c r="K5" s="1260"/>
      <c r="L5" s="1260"/>
      <c r="M5" s="1260"/>
      <c r="N5" s="1260"/>
      <c r="O5" s="1260"/>
      <c r="P5" s="1260"/>
      <c r="Q5" s="1260"/>
      <c r="R5" s="1260"/>
      <c r="S5" s="1260"/>
      <c r="T5" s="1260"/>
      <c r="U5" s="1260"/>
      <c r="V5" s="1260"/>
      <c r="W5" s="1260"/>
      <c r="X5" s="1260"/>
      <c r="Y5" s="1260"/>
      <c r="Z5" s="1260"/>
    </row>
    <row r="6" spans="1:29" ht="20.100000000000001" customHeight="1">
      <c r="A6" s="1261" t="s">
        <v>5</v>
      </c>
      <c r="B6" s="1262"/>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row>
    <row r="7" spans="1:29" ht="20.100000000000001" customHeight="1">
      <c r="A7" s="1262"/>
      <c r="B7" s="1262"/>
      <c r="C7" s="1262"/>
      <c r="D7" s="1262"/>
      <c r="E7" s="1262"/>
      <c r="F7" s="1262"/>
      <c r="G7" s="1262"/>
      <c r="H7" s="1262"/>
      <c r="I7" s="1262"/>
      <c r="J7" s="1262"/>
      <c r="K7" s="1262"/>
      <c r="L7" s="1262"/>
      <c r="M7" s="1262"/>
      <c r="N7" s="1262"/>
      <c r="O7" s="1262"/>
      <c r="P7" s="1262"/>
      <c r="Q7" s="1262"/>
      <c r="R7" s="1262"/>
      <c r="S7" s="1262"/>
      <c r="T7" s="1262"/>
      <c r="U7" s="1262"/>
      <c r="V7" s="1262"/>
      <c r="W7" s="1262"/>
      <c r="X7" s="1262"/>
      <c r="Y7" s="1262"/>
      <c r="Z7" s="1262"/>
    </row>
    <row r="8" spans="1:29" ht="20.100000000000001" customHeight="1">
      <c r="A8" s="1261" t="s">
        <v>3</v>
      </c>
      <c r="B8" s="1262"/>
      <c r="C8" s="1262"/>
      <c r="D8" s="1262"/>
      <c r="E8" s="1262"/>
      <c r="F8" s="1262"/>
      <c r="G8" s="1262"/>
      <c r="H8" s="1262"/>
      <c r="I8" s="1262"/>
      <c r="J8" s="1262"/>
      <c r="K8" s="1262"/>
      <c r="L8" s="1262"/>
      <c r="M8" s="1262"/>
      <c r="N8" s="1262"/>
      <c r="O8" s="1262"/>
      <c r="P8" s="1262"/>
      <c r="Q8" s="1262"/>
      <c r="R8" s="1262"/>
      <c r="S8" s="1262"/>
      <c r="T8" s="1262"/>
      <c r="U8" s="1262"/>
      <c r="V8" s="1262"/>
      <c r="W8" s="1262"/>
      <c r="X8" s="1262"/>
      <c r="Y8" s="1262"/>
      <c r="Z8" s="1262"/>
    </row>
    <row r="9" spans="1:29" ht="20.100000000000001" customHeight="1">
      <c r="A9" s="1262" t="s">
        <v>225</v>
      </c>
      <c r="B9" s="1262"/>
      <c r="C9" s="1262"/>
      <c r="D9" s="1262"/>
      <c r="E9" s="1262"/>
      <c r="F9" s="1275" t="s">
        <v>2905</v>
      </c>
      <c r="G9" s="1275"/>
      <c r="H9" s="1275"/>
      <c r="I9" s="435" t="s">
        <v>226</v>
      </c>
      <c r="J9" s="435"/>
      <c r="K9" s="435"/>
      <c r="L9" s="435"/>
      <c r="M9" s="435"/>
      <c r="N9" s="435"/>
      <c r="O9" s="435"/>
      <c r="P9" s="435"/>
      <c r="Q9" s="435"/>
      <c r="R9" s="435"/>
      <c r="S9" s="435"/>
      <c r="T9" s="435"/>
      <c r="U9" s="435"/>
      <c r="V9" s="435"/>
      <c r="W9" s="435"/>
      <c r="X9" s="435"/>
      <c r="Y9" s="435"/>
      <c r="Z9" s="435"/>
    </row>
    <row r="10" spans="1:29" ht="20.100000000000001" customHeight="1">
      <c r="A10" s="1276"/>
      <c r="B10" s="1276"/>
      <c r="C10" s="1276"/>
      <c r="D10" s="1276"/>
      <c r="E10" s="1276"/>
      <c r="F10" s="1276"/>
      <c r="G10" s="1276"/>
      <c r="H10" s="1276"/>
      <c r="I10" s="1276"/>
      <c r="J10" s="1276"/>
      <c r="K10" s="1276"/>
      <c r="L10" s="1276"/>
      <c r="M10" s="1276"/>
      <c r="N10" s="1276"/>
      <c r="O10" s="1276"/>
      <c r="P10" s="1276"/>
      <c r="Q10" s="1276"/>
      <c r="R10" s="1276"/>
      <c r="S10" s="1276"/>
      <c r="T10" s="1276"/>
      <c r="U10" s="1276"/>
      <c r="V10" s="1276"/>
      <c r="W10" s="1276"/>
      <c r="X10" s="1276"/>
      <c r="Y10" s="1276"/>
      <c r="Z10" s="1276"/>
    </row>
    <row r="11" spans="1:29" ht="20.100000000000001" customHeight="1">
      <c r="A11" s="1261" t="s">
        <v>4</v>
      </c>
      <c r="B11" s="1262"/>
      <c r="C11" s="1262"/>
      <c r="D11" s="1262"/>
      <c r="E11" s="1262"/>
      <c r="F11" s="1262"/>
      <c r="G11" s="1262"/>
      <c r="H11" s="1262"/>
      <c r="I11" s="1262"/>
      <c r="J11" s="1262"/>
      <c r="K11" s="1262"/>
      <c r="L11" s="1262"/>
      <c r="M11" s="1262"/>
      <c r="N11" s="1262"/>
      <c r="O11" s="1262"/>
      <c r="P11" s="1262"/>
      <c r="Q11" s="1262"/>
      <c r="R11" s="1262"/>
      <c r="S11" s="1262"/>
      <c r="T11" s="1262"/>
      <c r="U11" s="1262"/>
      <c r="V11" s="1262"/>
      <c r="W11" s="1262"/>
      <c r="X11" s="1262"/>
      <c r="Y11" s="1262"/>
      <c r="Z11" s="1262"/>
    </row>
    <row r="12" spans="1:29" ht="20.100000000000001" customHeight="1">
      <c r="A12" s="449"/>
      <c r="B12" s="1295" t="s">
        <v>224</v>
      </c>
      <c r="C12" s="1296"/>
      <c r="D12" s="1296"/>
      <c r="E12" s="1296"/>
      <c r="F12" s="1296"/>
      <c r="G12" s="1296"/>
      <c r="H12" s="1297"/>
      <c r="I12" s="1295" t="s">
        <v>1</v>
      </c>
      <c r="J12" s="1296"/>
      <c r="K12" s="1296"/>
      <c r="L12" s="1296"/>
      <c r="M12" s="1296"/>
      <c r="N12" s="1296"/>
      <c r="O12" s="1297"/>
      <c r="P12" s="692"/>
      <c r="Q12" s="449"/>
      <c r="R12" s="449"/>
      <c r="S12" s="449"/>
      <c r="T12" s="449"/>
      <c r="U12" s="449"/>
      <c r="V12" s="449"/>
      <c r="W12" s="449"/>
      <c r="X12" s="449"/>
      <c r="Y12" s="449"/>
      <c r="Z12" s="449"/>
    </row>
    <row r="13" spans="1:29" ht="20.100000000000001" customHeight="1">
      <c r="A13" s="448"/>
      <c r="B13" s="1298" t="s">
        <v>2736</v>
      </c>
      <c r="C13" s="1299"/>
      <c r="D13" s="1299"/>
      <c r="E13" s="1299"/>
      <c r="F13" s="1299"/>
      <c r="G13" s="1299"/>
      <c r="H13" s="1300"/>
      <c r="I13" s="1277" t="s">
        <v>2737</v>
      </c>
      <c r="J13" s="1278"/>
      <c r="K13" s="1278"/>
      <c r="L13" s="1278"/>
      <c r="M13" s="1278"/>
      <c r="N13" s="1278"/>
      <c r="O13" s="1279"/>
      <c r="P13" s="692"/>
      <c r="Q13" s="449"/>
      <c r="R13" s="449"/>
      <c r="S13" s="449"/>
      <c r="T13" s="449"/>
      <c r="U13" s="449"/>
      <c r="V13" s="449"/>
      <c r="W13" s="449"/>
      <c r="X13" s="449"/>
      <c r="Y13" s="449"/>
      <c r="Z13" s="449"/>
    </row>
    <row r="14" spans="1:29" ht="20.100000000000001" customHeight="1">
      <c r="A14" s="435"/>
      <c r="B14" s="1298" t="s">
        <v>2917</v>
      </c>
      <c r="C14" s="1299"/>
      <c r="D14" s="1299"/>
      <c r="E14" s="1299"/>
      <c r="F14" s="1299"/>
      <c r="G14" s="1299"/>
      <c r="H14" s="1300"/>
      <c r="I14" s="1280"/>
      <c r="J14" s="1281"/>
      <c r="K14" s="1281"/>
      <c r="L14" s="1281"/>
      <c r="M14" s="1281"/>
      <c r="N14" s="1281"/>
      <c r="O14" s="1282"/>
      <c r="P14" s="692"/>
      <c r="Q14" s="449"/>
      <c r="R14" s="449"/>
      <c r="S14" s="449"/>
      <c r="T14" s="449"/>
      <c r="U14" s="449"/>
      <c r="V14" s="449"/>
      <c r="W14" s="449"/>
      <c r="X14" s="449"/>
      <c r="Y14" s="449"/>
      <c r="Z14" s="449"/>
      <c r="AC14" s="205"/>
    </row>
    <row r="15" spans="1:29" ht="20.100000000000001" customHeight="1">
      <c r="A15" s="435"/>
      <c r="B15" s="1298" t="s">
        <v>2738</v>
      </c>
      <c r="C15" s="1299"/>
      <c r="D15" s="1299"/>
      <c r="E15" s="1299"/>
      <c r="F15" s="1299"/>
      <c r="G15" s="1299"/>
      <c r="H15" s="1300"/>
      <c r="I15" s="1283"/>
      <c r="J15" s="1284"/>
      <c r="K15" s="1284"/>
      <c r="L15" s="1284"/>
      <c r="M15" s="1284"/>
      <c r="N15" s="1284"/>
      <c r="O15" s="1285"/>
      <c r="P15" s="692"/>
      <c r="Q15" s="449"/>
      <c r="R15" s="449"/>
      <c r="S15" s="449"/>
      <c r="T15" s="449"/>
      <c r="U15" s="449"/>
      <c r="V15" s="449"/>
      <c r="W15" s="449"/>
      <c r="X15" s="449"/>
      <c r="Y15" s="449"/>
      <c r="Z15" s="449"/>
    </row>
    <row r="16" spans="1:29" ht="20.100000000000001" customHeight="1">
      <c r="A16" s="435"/>
      <c r="B16" s="1014" t="s">
        <v>2899</v>
      </c>
      <c r="C16" s="1015"/>
      <c r="D16" s="1015"/>
      <c r="E16" s="1015"/>
      <c r="F16" s="1015"/>
      <c r="G16" s="1015"/>
      <c r="H16" s="1016"/>
      <c r="I16" s="1286" t="s">
        <v>2923</v>
      </c>
      <c r="J16" s="1287"/>
      <c r="K16" s="1287"/>
      <c r="L16" s="1287"/>
      <c r="M16" s="1287"/>
      <c r="N16" s="1287"/>
      <c r="O16" s="1288"/>
      <c r="P16" s="692"/>
      <c r="Q16" s="449"/>
      <c r="R16" s="449"/>
      <c r="S16" s="449"/>
      <c r="T16" s="449"/>
      <c r="U16" s="449"/>
      <c r="V16" s="449"/>
      <c r="W16" s="449"/>
      <c r="X16" s="449"/>
      <c r="Y16" s="449"/>
      <c r="Z16" s="449"/>
    </row>
    <row r="17" spans="1:26" ht="20.100000000000001" customHeight="1">
      <c r="A17" s="448"/>
      <c r="B17" s="1014" t="s">
        <v>2900</v>
      </c>
      <c r="C17" s="1015"/>
      <c r="D17" s="1015"/>
      <c r="E17" s="1015"/>
      <c r="F17" s="1015"/>
      <c r="G17" s="1015"/>
      <c r="H17" s="1016"/>
      <c r="I17" s="1289"/>
      <c r="J17" s="1290"/>
      <c r="K17" s="1290"/>
      <c r="L17" s="1290"/>
      <c r="M17" s="1290"/>
      <c r="N17" s="1290"/>
      <c r="O17" s="1291"/>
      <c r="P17" s="692"/>
      <c r="Q17" s="449"/>
      <c r="R17" s="449"/>
      <c r="S17" s="449"/>
      <c r="T17" s="449"/>
      <c r="U17" s="449"/>
      <c r="V17" s="449"/>
      <c r="W17" s="449"/>
      <c r="X17" s="449"/>
      <c r="Y17" s="449"/>
      <c r="Z17" s="449"/>
    </row>
    <row r="18" spans="1:26" ht="20.100000000000001" customHeight="1">
      <c r="A18" s="435"/>
      <c r="B18" s="1014" t="s">
        <v>2901</v>
      </c>
      <c r="C18" s="1015"/>
      <c r="D18" s="1015"/>
      <c r="E18" s="1015"/>
      <c r="F18" s="1015"/>
      <c r="G18" s="1015"/>
      <c r="H18" s="1016"/>
      <c r="I18" s="1289"/>
      <c r="J18" s="1290"/>
      <c r="K18" s="1290"/>
      <c r="L18" s="1290"/>
      <c r="M18" s="1290"/>
      <c r="N18" s="1290"/>
      <c r="O18" s="1291"/>
      <c r="P18" s="692"/>
      <c r="Q18" s="449"/>
      <c r="R18" s="449"/>
      <c r="S18" s="449"/>
      <c r="T18" s="449"/>
      <c r="U18" s="449"/>
      <c r="V18" s="449"/>
      <c r="W18" s="449"/>
      <c r="X18" s="449"/>
      <c r="Y18" s="449"/>
      <c r="Z18" s="449"/>
    </row>
    <row r="19" spans="1:26" ht="20.100000000000001" customHeight="1">
      <c r="A19" s="448"/>
      <c r="B19" s="1014" t="s">
        <v>2902</v>
      </c>
      <c r="C19" s="1015"/>
      <c r="D19" s="1015"/>
      <c r="E19" s="1015"/>
      <c r="F19" s="1015"/>
      <c r="G19" s="1015"/>
      <c r="H19" s="1016"/>
      <c r="I19" s="1289"/>
      <c r="J19" s="1290"/>
      <c r="K19" s="1290"/>
      <c r="L19" s="1290"/>
      <c r="M19" s="1290"/>
      <c r="N19" s="1290"/>
      <c r="O19" s="1291"/>
      <c r="P19" s="692"/>
      <c r="Q19" s="449"/>
      <c r="R19" s="449"/>
      <c r="S19" s="449"/>
      <c r="T19" s="449"/>
      <c r="U19" s="449"/>
      <c r="V19" s="449"/>
      <c r="W19" s="449"/>
      <c r="X19" s="449"/>
      <c r="Y19" s="449"/>
      <c r="Z19" s="449"/>
    </row>
    <row r="20" spans="1:26" ht="20.100000000000001" customHeight="1">
      <c r="A20" s="435"/>
      <c r="B20" s="1014" t="s">
        <v>2903</v>
      </c>
      <c r="C20" s="1015"/>
      <c r="D20" s="1015"/>
      <c r="E20" s="1015"/>
      <c r="F20" s="1015"/>
      <c r="G20" s="1015"/>
      <c r="H20" s="1016"/>
      <c r="I20" s="1292"/>
      <c r="J20" s="1293"/>
      <c r="K20" s="1293"/>
      <c r="L20" s="1293"/>
      <c r="M20" s="1293"/>
      <c r="N20" s="1293"/>
      <c r="O20" s="1294"/>
      <c r="P20" s="692"/>
      <c r="Q20" s="449"/>
      <c r="R20" s="449"/>
      <c r="S20" s="449"/>
      <c r="T20" s="449"/>
      <c r="U20" s="449"/>
      <c r="V20" s="449"/>
      <c r="W20" s="449"/>
      <c r="X20" s="449"/>
      <c r="Y20" s="449"/>
      <c r="Z20" s="449"/>
    </row>
    <row r="21" spans="1:26" ht="19.5" customHeight="1">
      <c r="A21" s="435"/>
      <c r="B21" s="1017" t="s">
        <v>2904</v>
      </c>
      <c r="C21" s="1018"/>
      <c r="D21" s="1018"/>
      <c r="E21" s="1018"/>
      <c r="F21" s="1018"/>
      <c r="G21" s="1018"/>
      <c r="H21" s="1019"/>
      <c r="I21" s="1312" t="s">
        <v>2918</v>
      </c>
      <c r="J21" s="1313"/>
      <c r="K21" s="1313"/>
      <c r="L21" s="1313"/>
      <c r="M21" s="1313"/>
      <c r="N21" s="1313"/>
      <c r="O21" s="1314"/>
      <c r="P21" s="686"/>
      <c r="Q21" s="691"/>
      <c r="R21" s="691"/>
      <c r="S21" s="691"/>
      <c r="T21" s="691"/>
      <c r="U21" s="691"/>
      <c r="V21" s="691"/>
      <c r="W21" s="691"/>
      <c r="X21" s="691"/>
      <c r="Y21" s="691"/>
      <c r="Z21" s="691"/>
    </row>
    <row r="22" spans="1:26" ht="44.25" customHeight="1" thickBot="1">
      <c r="A22" s="448"/>
      <c r="B22" s="1318" t="s">
        <v>2906</v>
      </c>
      <c r="C22" s="1318"/>
      <c r="D22" s="1318"/>
      <c r="E22" s="1318"/>
      <c r="F22" s="1318"/>
      <c r="G22" s="1318"/>
      <c r="H22" s="1318"/>
      <c r="I22" s="1315" t="s">
        <v>2907</v>
      </c>
      <c r="J22" s="1316"/>
      <c r="K22" s="1316"/>
      <c r="L22" s="1316"/>
      <c r="M22" s="1316"/>
      <c r="N22" s="1316"/>
      <c r="O22" s="1317"/>
      <c r="P22" s="686"/>
      <c r="Q22" s="691"/>
      <c r="R22" s="691"/>
      <c r="S22" s="691"/>
      <c r="T22" s="691"/>
      <c r="U22" s="691"/>
      <c r="V22" s="691"/>
      <c r="W22" s="691"/>
      <c r="X22" s="691"/>
      <c r="Y22" s="691"/>
      <c r="Z22" s="691"/>
    </row>
    <row r="23" spans="1:26" ht="44.25" customHeight="1" thickBot="1">
      <c r="A23" s="448"/>
      <c r="B23" s="1309" t="s">
        <v>3123</v>
      </c>
      <c r="C23" s="1310"/>
      <c r="D23" s="1310"/>
      <c r="E23" s="1310"/>
      <c r="F23" s="1310"/>
      <c r="G23" s="1310"/>
      <c r="H23" s="1311"/>
      <c r="I23" s="1304" t="s">
        <v>3124</v>
      </c>
      <c r="J23" s="1304"/>
      <c r="K23" s="1304"/>
      <c r="L23" s="1304"/>
      <c r="M23" s="1304"/>
      <c r="N23" s="1304"/>
      <c r="O23" s="1304"/>
      <c r="P23" s="1304"/>
      <c r="Q23" s="1304"/>
      <c r="R23" s="1304"/>
      <c r="S23" s="1304"/>
      <c r="T23" s="1304"/>
      <c r="U23" s="1304"/>
      <c r="V23" s="1304"/>
      <c r="W23" s="1304"/>
      <c r="X23" s="1304"/>
      <c r="Y23" s="1304"/>
      <c r="Z23" s="1305"/>
    </row>
    <row r="24" spans="1:26" ht="35.25" customHeight="1">
      <c r="A24" s="448"/>
      <c r="B24" s="1301" t="s">
        <v>3120</v>
      </c>
      <c r="C24" s="1302"/>
      <c r="D24" s="1302"/>
      <c r="E24" s="1302"/>
      <c r="F24" s="1302"/>
      <c r="G24" s="1302"/>
      <c r="H24" s="1302"/>
      <c r="I24" s="1302"/>
      <c r="J24" s="1302"/>
      <c r="K24" s="1302"/>
      <c r="L24" s="1302"/>
      <c r="M24" s="1302"/>
      <c r="N24" s="1302"/>
      <c r="O24" s="1302"/>
      <c r="P24" s="1302"/>
      <c r="Q24" s="1302"/>
      <c r="R24" s="1302"/>
      <c r="S24" s="1302"/>
      <c r="T24" s="1302"/>
      <c r="U24" s="1302"/>
      <c r="V24" s="1302"/>
      <c r="W24" s="1302"/>
      <c r="X24" s="1302"/>
      <c r="Y24" s="1302"/>
      <c r="Z24" s="1303"/>
    </row>
    <row r="25" spans="1:26" ht="34.5" customHeight="1" thickBot="1">
      <c r="A25" s="448"/>
      <c r="B25" s="1306" t="s">
        <v>3122</v>
      </c>
      <c r="C25" s="1307"/>
      <c r="D25" s="1307"/>
      <c r="E25" s="1307"/>
      <c r="F25" s="1307"/>
      <c r="G25" s="1307"/>
      <c r="H25" s="1307"/>
      <c r="I25" s="1307"/>
      <c r="J25" s="1307"/>
      <c r="K25" s="1307"/>
      <c r="L25" s="1307"/>
      <c r="M25" s="1307"/>
      <c r="N25" s="1307"/>
      <c r="O25" s="1307"/>
      <c r="P25" s="1307"/>
      <c r="Q25" s="1307"/>
      <c r="R25" s="1307"/>
      <c r="S25" s="1307"/>
      <c r="T25" s="1307"/>
      <c r="U25" s="1307"/>
      <c r="V25" s="1307"/>
      <c r="W25" s="1307"/>
      <c r="X25" s="1307"/>
      <c r="Y25" s="1307"/>
      <c r="Z25" s="1308"/>
    </row>
    <row r="26" spans="1:26" ht="20.100000000000001" customHeight="1" thickBot="1">
      <c r="A26" s="1261" t="s">
        <v>6</v>
      </c>
      <c r="B26" s="1262"/>
      <c r="C26" s="1262"/>
      <c r="D26" s="1262"/>
      <c r="E26" s="1262"/>
      <c r="F26" s="1262"/>
      <c r="G26" s="1262"/>
      <c r="H26" s="1262"/>
      <c r="I26" s="1262"/>
      <c r="J26" s="1262"/>
      <c r="K26" s="1262"/>
      <c r="L26" s="1262"/>
      <c r="M26" s="1262"/>
      <c r="N26" s="1262"/>
      <c r="O26" s="1262"/>
      <c r="P26" s="1262"/>
      <c r="Q26" s="1262"/>
      <c r="R26" s="1262"/>
      <c r="S26" s="1262"/>
      <c r="T26" s="1262"/>
      <c r="U26" s="1262"/>
      <c r="V26" s="1262"/>
      <c r="W26" s="1262"/>
      <c r="X26" s="1262"/>
      <c r="Y26" s="1262"/>
      <c r="Z26" s="1262"/>
    </row>
    <row r="27" spans="1:26" ht="20.100000000000001" customHeight="1" thickBot="1">
      <c r="A27" s="448"/>
      <c r="B27" s="1263"/>
      <c r="C27" s="1263"/>
      <c r="D27" s="1264" t="s">
        <v>0</v>
      </c>
      <c r="E27" s="1265"/>
      <c r="F27" s="1267" t="s">
        <v>2743</v>
      </c>
      <c r="G27" s="1268"/>
      <c r="H27" s="1268"/>
      <c r="I27" s="1268"/>
      <c r="J27" s="1268"/>
      <c r="K27" s="1268"/>
      <c r="L27" s="1268"/>
      <c r="M27" s="1268"/>
      <c r="N27" s="1268"/>
      <c r="O27" s="1268"/>
      <c r="P27" s="1268"/>
      <c r="Q27" s="1268"/>
      <c r="R27" s="1268"/>
      <c r="S27" s="1268"/>
      <c r="T27" s="1268"/>
      <c r="U27" s="1268"/>
      <c r="V27" s="1268"/>
      <c r="W27" s="1268"/>
      <c r="X27" s="1268"/>
      <c r="Y27" s="1268"/>
      <c r="Z27" s="1269"/>
    </row>
    <row r="28" spans="1:26" ht="20.100000000000001" customHeight="1">
      <c r="A28" s="1270" t="s">
        <v>3224</v>
      </c>
      <c r="B28" s="1270"/>
      <c r="C28" s="1270"/>
      <c r="D28" s="1270"/>
      <c r="E28" s="1270"/>
      <c r="F28" s="1270"/>
      <c r="G28" s="1270"/>
      <c r="H28" s="1270"/>
      <c r="I28" s="1270"/>
      <c r="J28" s="1270"/>
      <c r="K28" s="1270"/>
      <c r="L28" s="1270"/>
      <c r="M28" s="1270"/>
      <c r="N28" s="1270"/>
      <c r="O28" s="1270"/>
      <c r="P28" s="1270"/>
      <c r="Q28" s="1270"/>
      <c r="R28" s="1270"/>
      <c r="S28" s="1270"/>
      <c r="T28" s="1270"/>
      <c r="U28" s="1270"/>
      <c r="V28" s="1270"/>
      <c r="W28" s="1270"/>
      <c r="X28" s="1270"/>
      <c r="Y28" s="1270"/>
      <c r="Z28" s="1270"/>
    </row>
    <row r="29" spans="1:26" ht="20.100000000000001" customHeight="1">
      <c r="A29" s="1270"/>
      <c r="B29" s="1270"/>
      <c r="C29" s="1270"/>
      <c r="D29" s="1270"/>
      <c r="E29" s="1270"/>
      <c r="F29" s="1270"/>
      <c r="G29" s="1270"/>
      <c r="H29" s="1270"/>
      <c r="I29" s="1270"/>
      <c r="J29" s="1270"/>
      <c r="K29" s="1270"/>
      <c r="L29" s="1270"/>
      <c r="M29" s="1270"/>
      <c r="N29" s="1270"/>
      <c r="O29" s="1270"/>
      <c r="P29" s="1270"/>
      <c r="Q29" s="1270"/>
      <c r="R29" s="1270"/>
      <c r="S29" s="1270"/>
      <c r="T29" s="1270"/>
      <c r="U29" s="1270"/>
      <c r="V29" s="1270"/>
      <c r="W29" s="1270"/>
      <c r="X29" s="1270"/>
      <c r="Y29" s="1270"/>
      <c r="Z29" s="1270"/>
    </row>
    <row r="30" spans="1:26" ht="20.100000000000001" customHeight="1">
      <c r="A30" s="1266"/>
      <c r="B30" s="1266"/>
      <c r="C30" s="1266"/>
      <c r="D30" s="1266"/>
      <c r="E30" s="1266"/>
      <c r="F30" s="1266"/>
      <c r="G30" s="1266"/>
      <c r="H30" s="1266"/>
      <c r="I30" s="1266"/>
      <c r="J30" s="1266"/>
      <c r="K30" s="1266"/>
      <c r="L30" s="1266"/>
      <c r="M30" s="1266"/>
      <c r="N30" s="1266"/>
      <c r="O30" s="1266"/>
      <c r="P30" s="1266"/>
      <c r="Q30" s="1266"/>
      <c r="R30" s="1266"/>
      <c r="S30" s="1266"/>
      <c r="T30" s="1266"/>
      <c r="U30" s="1266"/>
      <c r="V30" s="1266"/>
      <c r="W30" s="1266"/>
      <c r="X30" s="1266"/>
      <c r="Y30" s="1266"/>
      <c r="Z30" s="1266"/>
    </row>
    <row r="31" spans="1:26" ht="20.100000000000001" customHeight="1">
      <c r="A31" s="1266"/>
      <c r="B31" s="1266"/>
      <c r="C31" s="1266"/>
      <c r="D31" s="1266"/>
      <c r="E31" s="1266"/>
      <c r="F31" s="1266"/>
      <c r="G31" s="1266"/>
      <c r="H31" s="1266"/>
      <c r="I31" s="1266"/>
      <c r="J31" s="1266"/>
      <c r="K31" s="1266"/>
      <c r="L31" s="1266"/>
      <c r="M31" s="1266"/>
      <c r="N31" s="1266"/>
      <c r="O31" s="1266"/>
      <c r="P31" s="1266"/>
      <c r="Q31" s="1266"/>
      <c r="R31" s="1266"/>
      <c r="S31" s="1266"/>
      <c r="T31" s="1266"/>
      <c r="U31" s="1266"/>
      <c r="V31" s="1266"/>
      <c r="W31" s="1266"/>
      <c r="X31" s="1266"/>
      <c r="Y31" s="1266"/>
      <c r="Z31" s="1266"/>
    </row>
    <row r="32" spans="1:26" ht="20.100000000000001" customHeight="1">
      <c r="A32" s="1266"/>
      <c r="B32" s="1266"/>
      <c r="C32" s="1266"/>
      <c r="D32" s="1266"/>
      <c r="E32" s="1266"/>
      <c r="F32" s="1266"/>
      <c r="G32" s="1266"/>
      <c r="H32" s="1266"/>
      <c r="I32" s="1266"/>
      <c r="J32" s="1266"/>
      <c r="K32" s="1266"/>
      <c r="L32" s="1266"/>
      <c r="M32" s="1266"/>
      <c r="N32" s="1266"/>
      <c r="O32" s="1266"/>
      <c r="P32" s="1266"/>
      <c r="Q32" s="1266"/>
      <c r="R32" s="1266"/>
      <c r="S32" s="1266"/>
      <c r="T32" s="1266"/>
      <c r="U32" s="1266"/>
      <c r="V32" s="1266"/>
      <c r="W32" s="1266"/>
      <c r="X32" s="1266"/>
      <c r="Y32" s="1266"/>
      <c r="Z32" s="1266"/>
    </row>
    <row r="33" spans="1:26" ht="20.100000000000001" customHeight="1">
      <c r="A33" s="1266"/>
      <c r="B33" s="1266"/>
      <c r="C33" s="1266"/>
      <c r="D33" s="1266"/>
      <c r="E33" s="1266"/>
      <c r="F33" s="1266"/>
      <c r="G33" s="1266"/>
      <c r="H33" s="1266"/>
      <c r="I33" s="1266"/>
      <c r="J33" s="1266"/>
      <c r="K33" s="1266"/>
      <c r="L33" s="1266"/>
      <c r="M33" s="1266"/>
      <c r="N33" s="1266"/>
      <c r="O33" s="1266"/>
      <c r="P33" s="1266"/>
      <c r="Q33" s="1266"/>
      <c r="R33" s="1266"/>
      <c r="S33" s="1266"/>
      <c r="T33" s="1266"/>
      <c r="U33" s="1266"/>
      <c r="V33" s="1266"/>
      <c r="W33" s="1266"/>
      <c r="X33" s="1266"/>
      <c r="Y33" s="1266"/>
      <c r="Z33" s="1266"/>
    </row>
    <row r="34" spans="1:26" ht="20.100000000000001" customHeight="1">
      <c r="A34" s="1260"/>
      <c r="B34" s="1260"/>
      <c r="C34" s="1260"/>
      <c r="D34" s="1260"/>
      <c r="E34" s="1260"/>
      <c r="F34" s="1260"/>
      <c r="G34" s="1260"/>
      <c r="H34" s="1260"/>
      <c r="I34" s="1260"/>
      <c r="J34" s="1260"/>
      <c r="K34" s="1260"/>
      <c r="L34" s="1260"/>
      <c r="M34" s="1260"/>
      <c r="N34" s="1260"/>
      <c r="O34" s="1260"/>
      <c r="P34" s="1260"/>
      <c r="Q34" s="1260"/>
      <c r="R34" s="1260"/>
      <c r="S34" s="1260"/>
      <c r="T34" s="1260"/>
      <c r="U34" s="1260"/>
      <c r="V34" s="1260"/>
      <c r="W34" s="1260"/>
      <c r="X34" s="1260"/>
      <c r="Y34" s="1260"/>
      <c r="Z34" s="1260"/>
    </row>
    <row r="35" spans="1:26" ht="20.100000000000001" customHeight="1">
      <c r="A35" s="1260"/>
      <c r="B35" s="1260"/>
      <c r="C35" s="1260"/>
      <c r="D35" s="1260"/>
      <c r="E35" s="1260"/>
      <c r="F35" s="1260"/>
      <c r="G35" s="1260"/>
      <c r="H35" s="1260"/>
      <c r="I35" s="1260"/>
      <c r="J35" s="1260"/>
      <c r="K35" s="1260"/>
      <c r="L35" s="1260"/>
      <c r="M35" s="1260"/>
      <c r="N35" s="1260"/>
      <c r="O35" s="1260"/>
      <c r="P35" s="1260"/>
      <c r="Q35" s="1260"/>
      <c r="R35" s="1260"/>
      <c r="S35" s="1260"/>
      <c r="T35" s="1260"/>
      <c r="U35" s="1260"/>
      <c r="V35" s="1260"/>
      <c r="W35" s="1260"/>
      <c r="X35" s="1260"/>
      <c r="Y35" s="1260"/>
      <c r="Z35" s="1260"/>
    </row>
  </sheetData>
  <sheetProtection selectLockedCells="1" selectUnlockedCells="1"/>
  <mergeCells count="38">
    <mergeCell ref="B24:Z24"/>
    <mergeCell ref="I23:Z23"/>
    <mergeCell ref="B25:Z25"/>
    <mergeCell ref="B23:H23"/>
    <mergeCell ref="I21:O21"/>
    <mergeCell ref="I22:O22"/>
    <mergeCell ref="B22:H22"/>
    <mergeCell ref="I13:O15"/>
    <mergeCell ref="I16:O20"/>
    <mergeCell ref="I12:O12"/>
    <mergeCell ref="B12:H12"/>
    <mergeCell ref="B15:H15"/>
    <mergeCell ref="B14:H14"/>
    <mergeCell ref="B13:H13"/>
    <mergeCell ref="A9:E9"/>
    <mergeCell ref="F9:H9"/>
    <mergeCell ref="A10:Z10"/>
    <mergeCell ref="A11:Z11"/>
    <mergeCell ref="S4:Z4"/>
    <mergeCell ref="A2:Z2"/>
    <mergeCell ref="A6:Z6"/>
    <mergeCell ref="A5:Z5"/>
    <mergeCell ref="A7:Z7"/>
    <mergeCell ref="A8:Z8"/>
    <mergeCell ref="I4:R4"/>
    <mergeCell ref="A4:H4"/>
    <mergeCell ref="V3:Z3"/>
    <mergeCell ref="A35:Z35"/>
    <mergeCell ref="A26:Z26"/>
    <mergeCell ref="B27:C27"/>
    <mergeCell ref="D27:E27"/>
    <mergeCell ref="A33:Z33"/>
    <mergeCell ref="A31:Z31"/>
    <mergeCell ref="A34:Z34"/>
    <mergeCell ref="A30:Z30"/>
    <mergeCell ref="A32:Z32"/>
    <mergeCell ref="F27:Z27"/>
    <mergeCell ref="A28:Z29"/>
  </mergeCells>
  <phoneticPr fontId="4"/>
  <hyperlinks>
    <hyperlink ref="F27" r:id="rId1" xr:uid="{14039BB1-B5FB-4E30-AFB6-AB6AAC750BDC}"/>
    <hyperlink ref="B24" r:id="rId2" display="https://www.city.sapporo.jp/citytax/shukuhakuzei/index.html" xr:uid="{2CC6C144-3CA5-482E-81AE-F95AD3744D2F}"/>
    <hyperlink ref="B25" r:id="rId3" display="https://www.city.sapporo.jp/citytax/shukuhakuzei/kazeimenjyo.html" xr:uid="{9C9AFA51-5FDE-4E09-A664-DD9657CEFE97}"/>
  </hyperlinks>
  <printOptions horizontalCentered="1"/>
  <pageMargins left="0.39370078740157483" right="0.39370078740157483" top="0.39370078740157483" bottom="0.59055118110236227" header="0" footer="0"/>
  <pageSetup paperSize="9" scale="95" orientation="portrait"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2060"/>
  </sheetPr>
  <dimension ref="A1:BC49"/>
  <sheetViews>
    <sheetView showZeros="0" view="pageBreakPreview" topLeftCell="A23" zoomScaleNormal="80" zoomScaleSheetLayoutView="100" workbookViewId="0">
      <selection activeCell="R4" sqref="R4:T4"/>
    </sheetView>
  </sheetViews>
  <sheetFormatPr defaultRowHeight="13.5"/>
  <cols>
    <col min="1" max="15" width="3.625" customWidth="1"/>
    <col min="16" max="26" width="4.125" customWidth="1"/>
    <col min="27" max="52" width="3.625" customWidth="1"/>
  </cols>
  <sheetData>
    <row r="1" spans="1:55" ht="28.5" customHeight="1">
      <c r="A1" s="2361"/>
      <c r="B1" s="2361"/>
      <c r="C1" s="2361"/>
      <c r="D1" s="2361"/>
      <c r="E1" s="2361"/>
      <c r="F1" s="2361"/>
      <c r="G1" s="2361"/>
      <c r="H1" s="2361"/>
      <c r="I1" s="2361"/>
      <c r="J1" s="2361"/>
      <c r="K1" s="2361"/>
      <c r="L1" s="2361"/>
      <c r="M1" s="2361"/>
      <c r="N1" s="2361"/>
      <c r="O1" s="2361"/>
      <c r="P1" s="2361"/>
      <c r="Q1" s="2361"/>
      <c r="R1" s="2361"/>
      <c r="S1" s="2361"/>
      <c r="T1" s="2361"/>
      <c r="U1" s="2361"/>
      <c r="V1" s="2361"/>
      <c r="W1" s="2361"/>
      <c r="X1" s="2361"/>
      <c r="Y1" s="2361"/>
      <c r="Z1" s="2361"/>
      <c r="AA1" s="2361"/>
      <c r="AB1" s="2361"/>
      <c r="AC1" s="2361"/>
      <c r="AD1" s="2361"/>
      <c r="AE1" s="2361"/>
      <c r="AF1" s="2361"/>
      <c r="AG1" s="2361"/>
      <c r="AH1" s="2361"/>
      <c r="AI1" s="2361"/>
      <c r="AJ1" s="2361"/>
      <c r="AK1" s="2361"/>
      <c r="AL1" s="2361"/>
      <c r="AM1" s="2361"/>
      <c r="AN1" s="2361"/>
      <c r="AO1" s="2361"/>
      <c r="AP1" s="2361"/>
      <c r="AQ1" s="2361"/>
      <c r="AR1" s="2361"/>
      <c r="AS1" s="2361"/>
      <c r="AT1" s="2361"/>
      <c r="AU1" s="2361"/>
      <c r="AV1" s="2361"/>
      <c r="AW1" s="2361"/>
      <c r="AX1" s="2361"/>
      <c r="AY1" s="2361"/>
      <c r="AZ1" s="2361"/>
    </row>
    <row r="2" spans="1:55" ht="23.25">
      <c r="A2" s="2358" t="s">
        <v>199</v>
      </c>
      <c r="B2" s="2358"/>
      <c r="C2" s="2358"/>
      <c r="D2" s="2358"/>
      <c r="E2" s="2358"/>
      <c r="F2" s="2358"/>
      <c r="G2" s="2358"/>
      <c r="H2" s="2358"/>
      <c r="I2" s="2358"/>
      <c r="J2" s="2358"/>
      <c r="K2" s="2358"/>
      <c r="L2" s="2358"/>
      <c r="M2" s="2358"/>
      <c r="N2" s="2358"/>
      <c r="O2" s="2358"/>
      <c r="P2" s="2358"/>
      <c r="Q2" s="2358"/>
      <c r="R2" s="2358"/>
      <c r="S2" s="2358"/>
      <c r="T2" s="2358"/>
      <c r="U2" s="2358"/>
      <c r="V2" s="2358"/>
      <c r="W2" s="2358"/>
      <c r="X2" s="2358"/>
      <c r="Y2" s="2358"/>
      <c r="Z2" s="2358"/>
      <c r="AA2" s="2358" t="s">
        <v>199</v>
      </c>
      <c r="AB2" s="2358"/>
      <c r="AC2" s="2358"/>
      <c r="AD2" s="2358"/>
      <c r="AE2" s="2358"/>
      <c r="AF2" s="2358"/>
      <c r="AG2" s="2358"/>
      <c r="AH2" s="2358"/>
      <c r="AI2" s="2358"/>
      <c r="AJ2" s="2358"/>
      <c r="AK2" s="2358"/>
      <c r="AL2" s="2358"/>
      <c r="AM2" s="2358"/>
      <c r="AN2" s="2358"/>
      <c r="AO2" s="2358"/>
      <c r="AP2" s="2358"/>
      <c r="AQ2" s="2358"/>
      <c r="AR2" s="2358"/>
      <c r="AS2" s="2358"/>
      <c r="AT2" s="2358"/>
      <c r="AU2" s="2358"/>
      <c r="AV2" s="2358"/>
      <c r="AW2" s="2358"/>
      <c r="AX2" s="2358"/>
      <c r="AY2" s="2358"/>
      <c r="AZ2" s="2358"/>
    </row>
    <row r="3" spans="1:55" ht="28.5" customHeight="1">
      <c r="A3" s="2361"/>
      <c r="B3" s="2361"/>
      <c r="C3" s="2361"/>
      <c r="D3" s="2361"/>
      <c r="E3" s="2361"/>
      <c r="F3" s="2361"/>
      <c r="G3" s="2361"/>
      <c r="H3" s="2361"/>
      <c r="I3" s="2361"/>
      <c r="J3" s="2361"/>
      <c r="K3" s="2361"/>
      <c r="L3" s="2361"/>
      <c r="M3" s="2361"/>
      <c r="N3" s="2361"/>
      <c r="O3" s="2361"/>
      <c r="P3" s="2361"/>
      <c r="Q3" s="2361"/>
      <c r="R3" s="2361"/>
      <c r="S3" s="2361"/>
      <c r="T3" s="2361"/>
      <c r="U3" s="2361"/>
      <c r="V3" s="2361"/>
      <c r="W3" s="2361"/>
      <c r="X3" s="2361"/>
      <c r="Y3" s="2361"/>
      <c r="Z3" s="2361"/>
      <c r="AA3" s="2361"/>
      <c r="AB3" s="2361"/>
      <c r="AC3" s="2361"/>
      <c r="AD3" s="2361"/>
      <c r="AE3" s="2361"/>
      <c r="AF3" s="2361"/>
      <c r="AG3" s="2361"/>
      <c r="AH3" s="2361"/>
      <c r="AI3" s="2361"/>
      <c r="AJ3" s="2361"/>
      <c r="AK3" s="2361"/>
      <c r="AL3" s="2361"/>
      <c r="AM3" s="2361"/>
      <c r="AN3" s="2361"/>
      <c r="AO3" s="2361"/>
      <c r="AP3" s="2361"/>
      <c r="AQ3" s="2361"/>
      <c r="AR3" s="2361"/>
      <c r="AS3" s="2361"/>
      <c r="AT3" s="2361"/>
      <c r="AU3" s="2361"/>
      <c r="AV3" s="2361"/>
      <c r="AW3" s="2361"/>
      <c r="AX3" s="2361"/>
      <c r="AY3" s="2361"/>
      <c r="AZ3" s="2361"/>
    </row>
    <row r="4" spans="1:55" ht="28.5" customHeight="1">
      <c r="A4" s="349"/>
      <c r="B4" s="349"/>
      <c r="C4" s="349"/>
      <c r="D4" s="349"/>
      <c r="E4" s="349"/>
      <c r="F4" s="349"/>
      <c r="G4" s="349"/>
      <c r="H4" s="349"/>
      <c r="I4" s="349"/>
      <c r="J4" s="349"/>
      <c r="K4" s="349"/>
      <c r="L4" s="349"/>
      <c r="M4" s="349"/>
      <c r="N4" s="349"/>
      <c r="O4" s="349"/>
      <c r="P4" s="349"/>
      <c r="Q4" s="349"/>
      <c r="R4" s="2703"/>
      <c r="S4" s="2703"/>
      <c r="T4" s="2703"/>
      <c r="U4" s="350" t="s">
        <v>14</v>
      </c>
      <c r="V4" s="443"/>
      <c r="W4" s="350" t="s">
        <v>13</v>
      </c>
      <c r="X4" s="443"/>
      <c r="Y4" s="350" t="s">
        <v>104</v>
      </c>
      <c r="Z4" s="350"/>
      <c r="AA4" s="349"/>
      <c r="AB4" s="349"/>
      <c r="AC4" s="349"/>
      <c r="AD4" s="349"/>
      <c r="AE4" s="349"/>
      <c r="AF4" s="349"/>
      <c r="AG4" s="349"/>
      <c r="AH4" s="349"/>
      <c r="AI4" s="349"/>
      <c r="AJ4" s="349"/>
      <c r="AK4" s="349"/>
      <c r="AL4" s="349"/>
      <c r="AM4" s="349"/>
      <c r="AN4" s="349"/>
      <c r="AO4" s="349"/>
      <c r="AP4" s="349"/>
      <c r="AQ4" s="349"/>
      <c r="AR4" s="2697" t="s">
        <v>2977</v>
      </c>
      <c r="AS4" s="2697"/>
      <c r="AT4" s="2697"/>
      <c r="AU4" s="350" t="s">
        <v>14</v>
      </c>
      <c r="AV4" s="373" t="s">
        <v>2684</v>
      </c>
      <c r="AW4" s="350" t="s">
        <v>13</v>
      </c>
      <c r="AX4" s="373" t="s">
        <v>2979</v>
      </c>
      <c r="AY4" s="350" t="s">
        <v>104</v>
      </c>
      <c r="AZ4" s="350"/>
    </row>
    <row r="5" spans="1:55" ht="14.25" customHeight="1">
      <c r="A5" s="2361"/>
      <c r="B5" s="2361"/>
      <c r="C5" s="2361"/>
      <c r="D5" s="2361"/>
      <c r="E5" s="2361"/>
      <c r="F5" s="2361"/>
      <c r="G5" s="2361"/>
      <c r="H5" s="2361"/>
      <c r="I5" s="2361"/>
      <c r="J5" s="2361"/>
      <c r="K5" s="2361"/>
      <c r="L5" s="2361"/>
      <c r="M5" s="2361"/>
      <c r="N5" s="2361"/>
      <c r="O5" s="2361"/>
      <c r="P5" s="2361"/>
      <c r="Q5" s="2361"/>
      <c r="R5" s="2361"/>
      <c r="S5" s="2361"/>
      <c r="T5" s="2361"/>
      <c r="U5" s="2361"/>
      <c r="V5" s="2361"/>
      <c r="W5" s="2361"/>
      <c r="X5" s="2361"/>
      <c r="Y5" s="2361"/>
      <c r="Z5" s="2361"/>
      <c r="AA5" s="2361"/>
      <c r="AB5" s="2361"/>
      <c r="AC5" s="2361"/>
      <c r="AD5" s="2361"/>
      <c r="AE5" s="2361"/>
      <c r="AF5" s="2361"/>
      <c r="AG5" s="2361"/>
      <c r="AH5" s="2361"/>
      <c r="AI5" s="2361"/>
      <c r="AJ5" s="2361"/>
      <c r="AK5" s="2361"/>
      <c r="AL5" s="2361"/>
      <c r="AM5" s="2361"/>
      <c r="AN5" s="2361"/>
      <c r="AO5" s="2361"/>
      <c r="AP5" s="2361"/>
      <c r="AQ5" s="2361"/>
      <c r="AR5" s="2361"/>
      <c r="AS5" s="2361"/>
      <c r="AT5" s="2361"/>
      <c r="AU5" s="2361"/>
      <c r="AV5" s="2361"/>
      <c r="AW5" s="2361"/>
      <c r="AX5" s="2361"/>
      <c r="AY5" s="2361"/>
      <c r="AZ5" s="2361"/>
    </row>
    <row r="6" spans="1:55" ht="14.25" customHeight="1">
      <c r="A6" s="2364" t="s">
        <v>179</v>
      </c>
      <c r="B6" s="2364"/>
      <c r="C6" s="2364"/>
      <c r="D6" s="2364"/>
      <c r="E6" s="2364"/>
      <c r="F6" s="2364"/>
      <c r="G6" s="2364"/>
      <c r="H6" s="2364"/>
      <c r="I6" s="2364"/>
      <c r="J6" s="2364"/>
      <c r="K6" s="2364"/>
      <c r="L6" s="2364"/>
      <c r="M6" s="2364"/>
      <c r="N6" s="2364"/>
      <c r="O6" s="2364"/>
      <c r="P6" s="2364"/>
      <c r="Q6" s="2364"/>
      <c r="R6" s="2364"/>
      <c r="S6" s="2364"/>
      <c r="T6" s="2364"/>
      <c r="U6" s="2364"/>
      <c r="V6" s="2364"/>
      <c r="W6" s="2364"/>
      <c r="X6" s="2364"/>
      <c r="Y6" s="2364"/>
      <c r="Z6" s="2364"/>
      <c r="AA6" s="2364" t="s">
        <v>179</v>
      </c>
      <c r="AB6" s="2364"/>
      <c r="AC6" s="2364"/>
      <c r="AD6" s="2364"/>
      <c r="AE6" s="2364"/>
      <c r="AF6" s="2364"/>
      <c r="AG6" s="2364"/>
      <c r="AH6" s="2364"/>
      <c r="AI6" s="2364"/>
      <c r="AJ6" s="2364"/>
      <c r="AK6" s="2364"/>
      <c r="AL6" s="2364"/>
      <c r="AM6" s="2364"/>
      <c r="AN6" s="2364"/>
      <c r="AO6" s="2364"/>
      <c r="AP6" s="2364"/>
      <c r="AQ6" s="2364"/>
      <c r="AR6" s="2364"/>
      <c r="AS6" s="2364"/>
      <c r="AT6" s="2364"/>
      <c r="AU6" s="2364"/>
      <c r="AV6" s="2364"/>
      <c r="AW6" s="2364"/>
      <c r="AX6" s="2364"/>
      <c r="AY6" s="2364"/>
      <c r="AZ6" s="2364"/>
    </row>
    <row r="7" spans="1:55" ht="14.25" customHeight="1">
      <c r="A7" s="2364" t="s">
        <v>180</v>
      </c>
      <c r="B7" s="2364"/>
      <c r="C7" s="2364"/>
      <c r="D7" s="2364"/>
      <c r="E7" s="2364"/>
      <c r="F7" s="2364"/>
      <c r="G7" s="2364"/>
      <c r="H7" s="2364"/>
      <c r="I7" s="2364"/>
      <c r="J7" s="2364"/>
      <c r="K7" s="2364"/>
      <c r="L7" s="2364"/>
      <c r="M7" s="2364"/>
      <c r="N7" s="2364"/>
      <c r="O7" s="2364"/>
      <c r="P7" s="2364"/>
      <c r="Q7" s="2364"/>
      <c r="R7" s="2364"/>
      <c r="S7" s="2364"/>
      <c r="T7" s="2364"/>
      <c r="U7" s="2364"/>
      <c r="V7" s="2364"/>
      <c r="W7" s="2364"/>
      <c r="X7" s="2364"/>
      <c r="Y7" s="2364"/>
      <c r="Z7" s="2364"/>
      <c r="AA7" s="2364" t="s">
        <v>180</v>
      </c>
      <c r="AB7" s="2364"/>
      <c r="AC7" s="2364"/>
      <c r="AD7" s="2364"/>
      <c r="AE7" s="2364"/>
      <c r="AF7" s="2364"/>
      <c r="AG7" s="2364"/>
      <c r="AH7" s="2364"/>
      <c r="AI7" s="2364"/>
      <c r="AJ7" s="2364"/>
      <c r="AK7" s="2364"/>
      <c r="AL7" s="2364"/>
      <c r="AM7" s="2364"/>
      <c r="AN7" s="2364"/>
      <c r="AO7" s="2364"/>
      <c r="AP7" s="2364"/>
      <c r="AQ7" s="2364"/>
      <c r="AR7" s="2364"/>
      <c r="AS7" s="2364"/>
      <c r="AT7" s="2364"/>
      <c r="AU7" s="2364"/>
      <c r="AV7" s="2364"/>
      <c r="AW7" s="2364"/>
      <c r="AX7" s="2364"/>
      <c r="AY7" s="2364"/>
      <c r="AZ7" s="2364"/>
    </row>
    <row r="8" spans="1:55" ht="14.25" customHeight="1">
      <c r="A8" s="2364" t="s">
        <v>181</v>
      </c>
      <c r="B8" s="2364"/>
      <c r="C8" s="2364"/>
      <c r="D8" s="2364"/>
      <c r="E8" s="2364"/>
      <c r="F8" s="2364"/>
      <c r="G8" s="2364"/>
      <c r="H8" s="2364"/>
      <c r="I8" s="2364"/>
      <c r="J8" s="2364"/>
      <c r="K8" s="2364"/>
      <c r="L8" s="2364"/>
      <c r="M8" s="2364"/>
      <c r="N8" s="2364"/>
      <c r="O8" s="2364"/>
      <c r="P8" s="2364"/>
      <c r="Q8" s="2364"/>
      <c r="R8" s="2364"/>
      <c r="S8" s="2364"/>
      <c r="T8" s="2364"/>
      <c r="U8" s="2364"/>
      <c r="V8" s="2364"/>
      <c r="W8" s="2364"/>
      <c r="X8" s="2364"/>
      <c r="Y8" s="2364"/>
      <c r="Z8" s="2364"/>
      <c r="AA8" s="2364" t="s">
        <v>181</v>
      </c>
      <c r="AB8" s="2364"/>
      <c r="AC8" s="2364"/>
      <c r="AD8" s="2364"/>
      <c r="AE8" s="2364"/>
      <c r="AF8" s="2364"/>
      <c r="AG8" s="2364"/>
      <c r="AH8" s="2364"/>
      <c r="AI8" s="2364"/>
      <c r="AJ8" s="2364"/>
      <c r="AK8" s="2364"/>
      <c r="AL8" s="2364"/>
      <c r="AM8" s="2364"/>
      <c r="AN8" s="2364"/>
      <c r="AO8" s="2364"/>
      <c r="AP8" s="2364"/>
      <c r="AQ8" s="2364"/>
      <c r="AR8" s="2364"/>
      <c r="AS8" s="2364"/>
      <c r="AT8" s="2364"/>
      <c r="AU8" s="2364"/>
      <c r="AV8" s="2364"/>
      <c r="AW8" s="2364"/>
      <c r="AX8" s="2364"/>
      <c r="AY8" s="2364"/>
      <c r="AZ8" s="2364"/>
    </row>
    <row r="9" spans="1:55" ht="14.25" customHeight="1">
      <c r="A9" s="2364" t="s">
        <v>182</v>
      </c>
      <c r="B9" s="2364"/>
      <c r="C9" s="2364"/>
      <c r="D9" s="2364"/>
      <c r="E9" s="2364"/>
      <c r="F9" s="2364"/>
      <c r="G9" s="2364"/>
      <c r="H9" s="2364"/>
      <c r="I9" s="2364"/>
      <c r="J9" s="2364"/>
      <c r="K9" s="2364"/>
      <c r="L9" s="2364"/>
      <c r="M9" s="2364"/>
      <c r="N9" s="2364"/>
      <c r="O9" s="2364"/>
      <c r="P9" s="2364"/>
      <c r="Q9" s="2364"/>
      <c r="R9" s="2364"/>
      <c r="S9" s="2364"/>
      <c r="T9" s="2364"/>
      <c r="U9" s="2364"/>
      <c r="V9" s="2364"/>
      <c r="W9" s="2364"/>
      <c r="X9" s="2364"/>
      <c r="Y9" s="2364"/>
      <c r="Z9" s="2364"/>
      <c r="AA9" s="2364" t="s">
        <v>182</v>
      </c>
      <c r="AB9" s="2364"/>
      <c r="AC9" s="2364"/>
      <c r="AD9" s="2364"/>
      <c r="AE9" s="2364"/>
      <c r="AF9" s="2364"/>
      <c r="AG9" s="2364"/>
      <c r="AH9" s="2364"/>
      <c r="AI9" s="2364"/>
      <c r="AJ9" s="2364"/>
      <c r="AK9" s="2364"/>
      <c r="AL9" s="2364"/>
      <c r="AM9" s="2364"/>
      <c r="AN9" s="2364"/>
      <c r="AO9" s="2364"/>
      <c r="AP9" s="2364"/>
      <c r="AQ9" s="2364"/>
      <c r="AR9" s="2364"/>
      <c r="AS9" s="2364"/>
      <c r="AT9" s="2364"/>
      <c r="AU9" s="2364"/>
      <c r="AV9" s="2364"/>
      <c r="AW9" s="2364"/>
      <c r="AX9" s="2364"/>
      <c r="AY9" s="2364"/>
      <c r="AZ9" s="2364"/>
    </row>
    <row r="10" spans="1:55" ht="14.25" customHeight="1">
      <c r="A10" s="2364"/>
      <c r="B10" s="2364"/>
      <c r="C10" s="2364"/>
      <c r="D10" s="2364"/>
      <c r="E10" s="2364"/>
      <c r="F10" s="2364"/>
      <c r="G10" s="2364"/>
      <c r="H10" s="2364"/>
      <c r="I10" s="2364"/>
      <c r="J10" s="2364"/>
      <c r="K10" s="2364"/>
      <c r="L10" s="2364"/>
      <c r="M10" s="2364"/>
      <c r="N10" s="2364"/>
      <c r="O10" s="2364"/>
      <c r="P10" s="2364"/>
      <c r="Q10" s="2364"/>
      <c r="R10" s="2364"/>
      <c r="S10" s="2364"/>
      <c r="T10" s="2364"/>
      <c r="U10" s="2364"/>
      <c r="V10" s="2364"/>
      <c r="W10" s="2364"/>
      <c r="X10" s="2364"/>
      <c r="Y10" s="2364"/>
      <c r="Z10" s="2364"/>
      <c r="AA10" s="2364"/>
      <c r="AB10" s="2364"/>
      <c r="AC10" s="2364"/>
      <c r="AD10" s="2364"/>
      <c r="AE10" s="2364"/>
      <c r="AF10" s="2364"/>
      <c r="AG10" s="2364"/>
      <c r="AH10" s="2364"/>
      <c r="AI10" s="2364"/>
      <c r="AJ10" s="2364"/>
      <c r="AK10" s="2364"/>
      <c r="AL10" s="2364"/>
      <c r="AM10" s="2364"/>
      <c r="AN10" s="2364"/>
      <c r="AO10" s="2364"/>
      <c r="AP10" s="2364"/>
      <c r="AQ10" s="2364"/>
      <c r="AR10" s="2364"/>
      <c r="AS10" s="2364"/>
      <c r="AT10" s="2364"/>
      <c r="AU10" s="2364"/>
      <c r="AV10" s="2364"/>
      <c r="AW10" s="2364"/>
      <c r="AX10" s="2364"/>
      <c r="AY10" s="2364"/>
      <c r="AZ10" s="2364"/>
    </row>
    <row r="11" spans="1:55" ht="28.5" customHeight="1">
      <c r="A11" s="2361"/>
      <c r="B11" s="2361"/>
      <c r="C11" s="2361"/>
      <c r="D11" s="2361"/>
      <c r="E11" s="2361"/>
      <c r="F11" s="2361"/>
      <c r="G11" s="2361"/>
      <c r="H11" s="2361"/>
      <c r="I11" s="2361"/>
      <c r="J11" s="2361"/>
      <c r="K11" s="2361"/>
      <c r="L11" s="2361"/>
      <c r="M11" s="2361" t="s">
        <v>105</v>
      </c>
      <c r="N11" s="2361"/>
      <c r="O11" s="2361"/>
      <c r="P11" s="2701" t="str">
        <f>CONCATENATE('01 使用承認申請書'!D4)</f>
        <v/>
      </c>
      <c r="Q11" s="2702"/>
      <c r="R11" s="2702"/>
      <c r="S11" s="2702"/>
      <c r="T11" s="2702"/>
      <c r="U11" s="2702"/>
      <c r="V11" s="2702"/>
      <c r="W11" s="2702"/>
      <c r="X11" s="2702"/>
      <c r="Y11" s="2702"/>
      <c r="Z11" s="2702"/>
      <c r="AA11" s="2361"/>
      <c r="AB11" s="2361"/>
      <c r="AC11" s="2361"/>
      <c r="AD11" s="2361"/>
      <c r="AE11" s="2361"/>
      <c r="AF11" s="2361"/>
      <c r="AG11" s="2361"/>
      <c r="AH11" s="2361"/>
      <c r="AI11" s="2361"/>
      <c r="AJ11" s="2361"/>
      <c r="AK11" s="2361"/>
      <c r="AL11" s="2361"/>
      <c r="AM11" s="2361" t="s">
        <v>105</v>
      </c>
      <c r="AN11" s="2361"/>
      <c r="AO11" s="2361"/>
      <c r="AP11" s="2369" t="s">
        <v>201</v>
      </c>
      <c r="AQ11" s="2370"/>
      <c r="AR11" s="2370"/>
      <c r="AS11" s="2370"/>
      <c r="AT11" s="2370"/>
      <c r="AU11" s="2370"/>
      <c r="AV11" s="2370"/>
      <c r="AW11" s="2370"/>
      <c r="AX11" s="2370"/>
      <c r="AY11" s="2370"/>
      <c r="AZ11" s="2370"/>
    </row>
    <row r="12" spans="1:55" ht="28.5" customHeight="1">
      <c r="A12" s="2361"/>
      <c r="B12" s="2361"/>
      <c r="C12" s="2361"/>
      <c r="D12" s="2361"/>
      <c r="E12" s="2361"/>
      <c r="F12" s="2361"/>
      <c r="G12" s="2361"/>
      <c r="H12" s="2361"/>
      <c r="I12" s="2361"/>
      <c r="J12" s="2361"/>
      <c r="K12" s="2361"/>
      <c r="L12" s="2361"/>
      <c r="M12" s="2361" t="s">
        <v>184</v>
      </c>
      <c r="N12" s="2361"/>
      <c r="O12" s="2361"/>
      <c r="P12" s="2701" t="str">
        <f>CONCATENATE('01 使用承認申請書'!S6)</f>
        <v/>
      </c>
      <c r="Q12" s="2701"/>
      <c r="R12" s="2701"/>
      <c r="S12" s="2701"/>
      <c r="T12" s="2701"/>
      <c r="U12" s="2701"/>
      <c r="V12" s="2701"/>
      <c r="W12" s="2701"/>
      <c r="X12" s="2701"/>
      <c r="Y12" s="684"/>
      <c r="Z12" s="685"/>
      <c r="AA12" s="2361"/>
      <c r="AB12" s="2361"/>
      <c r="AC12" s="2361"/>
      <c r="AD12" s="2361"/>
      <c r="AE12" s="2361"/>
      <c r="AF12" s="2361"/>
      <c r="AG12" s="2361"/>
      <c r="AH12" s="2361"/>
      <c r="AI12" s="2361"/>
      <c r="AJ12" s="2361"/>
      <c r="AK12" s="2361"/>
      <c r="AL12" s="2361"/>
      <c r="AM12" s="2361" t="s">
        <v>184</v>
      </c>
      <c r="AN12" s="2361"/>
      <c r="AO12" s="2361"/>
      <c r="AP12" s="2369" t="s">
        <v>106</v>
      </c>
      <c r="AQ12" s="2369"/>
      <c r="AR12" s="2369"/>
      <c r="AS12" s="2369"/>
      <c r="AT12" s="2369"/>
      <c r="AU12" s="2369"/>
      <c r="AV12" s="2369"/>
      <c r="AW12" s="2369"/>
      <c r="AX12" s="2369"/>
      <c r="AY12" s="373"/>
      <c r="AZ12" s="399"/>
      <c r="BA12" s="13"/>
    </row>
    <row r="13" spans="1:55" ht="28.5" customHeight="1">
      <c r="A13" s="2361"/>
      <c r="B13" s="2361"/>
      <c r="C13" s="2361"/>
      <c r="D13" s="2361"/>
      <c r="E13" s="2361"/>
      <c r="F13" s="2361"/>
      <c r="G13" s="2361"/>
      <c r="H13" s="2361"/>
      <c r="I13" s="2361"/>
      <c r="J13" s="2361"/>
      <c r="K13" s="2361"/>
      <c r="L13" s="2361"/>
      <c r="M13" s="2361" t="s">
        <v>185</v>
      </c>
      <c r="N13" s="2361"/>
      <c r="O13" s="2361"/>
      <c r="P13" s="2701" t="str">
        <f>'01 使用承認申請書'!$E$8&amp;'01 使用承認申請書'!$R$8</f>
        <v/>
      </c>
      <c r="Q13" s="2701"/>
      <c r="R13" s="2701"/>
      <c r="S13" s="2701"/>
      <c r="T13" s="2701"/>
      <c r="U13" s="2701"/>
      <c r="V13" s="2701"/>
      <c r="W13" s="2701"/>
      <c r="X13" s="2701"/>
      <c r="Y13" s="2701"/>
      <c r="Z13" s="2701"/>
      <c r="AA13" s="2361"/>
      <c r="AB13" s="2361"/>
      <c r="AC13" s="2361"/>
      <c r="AD13" s="2361"/>
      <c r="AE13" s="2361"/>
      <c r="AF13" s="2361"/>
      <c r="AG13" s="2361"/>
      <c r="AH13" s="2361"/>
      <c r="AI13" s="2361"/>
      <c r="AJ13" s="2361"/>
      <c r="AK13" s="2361"/>
      <c r="AL13" s="2361"/>
      <c r="AM13" s="2361" t="s">
        <v>185</v>
      </c>
      <c r="AN13" s="2361"/>
      <c r="AO13" s="2361"/>
      <c r="AP13" s="2369" t="s">
        <v>50</v>
      </c>
      <c r="AQ13" s="2369"/>
      <c r="AR13" s="2369"/>
      <c r="AS13" s="2369"/>
      <c r="AT13" s="2369"/>
      <c r="AU13" s="2369"/>
      <c r="AV13" s="2369"/>
      <c r="AW13" s="2369"/>
      <c r="AX13" s="2369"/>
      <c r="AY13" s="2369"/>
      <c r="AZ13" s="2369"/>
      <c r="BA13" s="27">
        <v>1</v>
      </c>
      <c r="BB13" s="27" t="s">
        <v>248</v>
      </c>
      <c r="BC13" s="27" t="s">
        <v>2937</v>
      </c>
    </row>
    <row r="14" spans="1:55" ht="28.5" customHeight="1">
      <c r="A14" s="2361"/>
      <c r="B14" s="2361"/>
      <c r="C14" s="2361"/>
      <c r="D14" s="2361"/>
      <c r="E14" s="2361"/>
      <c r="F14" s="2361"/>
      <c r="G14" s="2361"/>
      <c r="H14" s="2361"/>
      <c r="I14" s="2361"/>
      <c r="J14" s="2361"/>
      <c r="K14" s="2361"/>
      <c r="L14" s="2361"/>
      <c r="M14" s="2361" t="s">
        <v>186</v>
      </c>
      <c r="N14" s="2361"/>
      <c r="O14" s="2361"/>
      <c r="P14" s="2700" t="str">
        <f>CONCATENATE('01 使用承認申請書'!D9)</f>
        <v/>
      </c>
      <c r="Q14" s="2700"/>
      <c r="R14" s="2700"/>
      <c r="S14" s="2700"/>
      <c r="T14" s="2700"/>
      <c r="U14" s="2700"/>
      <c r="V14" s="2700"/>
      <c r="W14" s="2700"/>
      <c r="X14" s="2700"/>
      <c r="Y14" s="2700"/>
      <c r="Z14" s="2700"/>
      <c r="AA14" s="2361"/>
      <c r="AB14" s="2361"/>
      <c r="AC14" s="2361"/>
      <c r="AD14" s="2361"/>
      <c r="AE14" s="2361"/>
      <c r="AF14" s="2361"/>
      <c r="AG14" s="2361"/>
      <c r="AH14" s="2361"/>
      <c r="AI14" s="2361"/>
      <c r="AJ14" s="2361"/>
      <c r="AK14" s="2361"/>
      <c r="AL14" s="2361"/>
      <c r="AM14" s="2361" t="s">
        <v>186</v>
      </c>
      <c r="AN14" s="2361"/>
      <c r="AO14" s="2361"/>
      <c r="AP14" s="2381" t="s">
        <v>2696</v>
      </c>
      <c r="AQ14" s="2381"/>
      <c r="AR14" s="2381"/>
      <c r="AS14" s="2381"/>
      <c r="AT14" s="2381"/>
      <c r="AU14" s="2381"/>
      <c r="AV14" s="2381"/>
      <c r="AW14" s="2381"/>
      <c r="AX14" s="2381"/>
      <c r="AY14" s="2381"/>
      <c r="AZ14" s="2381"/>
      <c r="BA14" s="27">
        <v>2</v>
      </c>
      <c r="BB14" s="27" t="s">
        <v>249</v>
      </c>
      <c r="BC14" s="27" t="s">
        <v>2975</v>
      </c>
    </row>
    <row r="15" spans="1:55" ht="14.25" customHeight="1">
      <c r="A15" s="2364"/>
      <c r="B15" s="2364"/>
      <c r="C15" s="2364"/>
      <c r="D15" s="2364"/>
      <c r="E15" s="2364"/>
      <c r="F15" s="2364"/>
      <c r="G15" s="2364"/>
      <c r="H15" s="2364"/>
      <c r="I15" s="2364"/>
      <c r="J15" s="2364"/>
      <c r="K15" s="2364"/>
      <c r="L15" s="2364"/>
      <c r="M15" s="2364"/>
      <c r="N15" s="2364"/>
      <c r="O15" s="2364"/>
      <c r="P15" s="2364"/>
      <c r="Q15" s="2364"/>
      <c r="R15" s="2364"/>
      <c r="S15" s="2364"/>
      <c r="T15" s="2364"/>
      <c r="U15" s="2364"/>
      <c r="V15" s="2364"/>
      <c r="W15" s="2364"/>
      <c r="X15" s="2364"/>
      <c r="Y15" s="2364"/>
      <c r="Z15" s="2364"/>
      <c r="AA15" s="2364"/>
      <c r="AB15" s="2364"/>
      <c r="AC15" s="2364"/>
      <c r="AD15" s="2364"/>
      <c r="AE15" s="2364"/>
      <c r="AF15" s="2364"/>
      <c r="AG15" s="2364"/>
      <c r="AH15" s="2364"/>
      <c r="AI15" s="2364"/>
      <c r="AJ15" s="2364"/>
      <c r="AK15" s="2364"/>
      <c r="AL15" s="2364"/>
      <c r="AM15" s="2364"/>
      <c r="AN15" s="2364"/>
      <c r="AO15" s="2364"/>
      <c r="AP15" s="2364"/>
      <c r="AQ15" s="2364"/>
      <c r="AR15" s="2364"/>
      <c r="AS15" s="2364"/>
      <c r="AT15" s="2364"/>
      <c r="AU15" s="2364"/>
      <c r="AV15" s="2364"/>
      <c r="AW15" s="2364"/>
      <c r="AX15" s="2364"/>
      <c r="AY15" s="2364"/>
      <c r="AZ15" s="2364"/>
      <c r="BA15" s="27">
        <v>3</v>
      </c>
      <c r="BB15" s="27" t="s">
        <v>341</v>
      </c>
      <c r="BC15" s="27" t="s">
        <v>3017</v>
      </c>
    </row>
    <row r="16" spans="1:55" ht="14.25" customHeight="1">
      <c r="A16" s="2361"/>
      <c r="B16" s="2361"/>
      <c r="C16" s="2361"/>
      <c r="D16" s="2361"/>
      <c r="E16" s="2361"/>
      <c r="F16" s="2361"/>
      <c r="G16" s="2361"/>
      <c r="H16" s="2361"/>
      <c r="I16" s="2361"/>
      <c r="J16" s="2361"/>
      <c r="K16" s="2361"/>
      <c r="L16" s="2361"/>
      <c r="M16" s="2361"/>
      <c r="N16" s="2361"/>
      <c r="O16" s="2361"/>
      <c r="P16" s="2361"/>
      <c r="Q16" s="2361"/>
      <c r="R16" s="2361"/>
      <c r="S16" s="2361"/>
      <c r="T16" s="2361"/>
      <c r="U16" s="2361"/>
      <c r="V16" s="2361"/>
      <c r="W16" s="2361"/>
      <c r="X16" s="2361"/>
      <c r="Y16" s="2361"/>
      <c r="Z16" s="2361"/>
      <c r="AA16" s="2361"/>
      <c r="AB16" s="2361"/>
      <c r="AC16" s="2361"/>
      <c r="AD16" s="2361"/>
      <c r="AE16" s="2361"/>
      <c r="AF16" s="2361"/>
      <c r="AG16" s="2361"/>
      <c r="AH16" s="2361"/>
      <c r="AI16" s="2361"/>
      <c r="AJ16" s="2361"/>
      <c r="AK16" s="2361"/>
      <c r="AL16" s="2361"/>
      <c r="AM16" s="2361"/>
      <c r="AN16" s="2361"/>
      <c r="AO16" s="2361"/>
      <c r="AP16" s="2361"/>
      <c r="AQ16" s="2361"/>
      <c r="AR16" s="2361"/>
      <c r="AS16" s="2361"/>
      <c r="AT16" s="2361"/>
      <c r="AU16" s="2361"/>
      <c r="AV16" s="2361"/>
      <c r="AW16" s="2361"/>
      <c r="AX16" s="2361"/>
      <c r="AY16" s="2361"/>
      <c r="AZ16" s="2361"/>
      <c r="BA16" s="27">
        <v>4</v>
      </c>
      <c r="BB16" s="27" t="s">
        <v>250</v>
      </c>
      <c r="BC16" s="27"/>
    </row>
    <row r="17" spans="1:55" ht="28.5" customHeight="1">
      <c r="A17" s="2361" t="s">
        <v>179</v>
      </c>
      <c r="B17" s="2361"/>
      <c r="C17" s="2361"/>
      <c r="D17" s="2361"/>
      <c r="E17" s="2361"/>
      <c r="F17" s="2361"/>
      <c r="G17" s="2699" t="s">
        <v>2699</v>
      </c>
      <c r="H17" s="2699"/>
      <c r="I17" s="2699"/>
      <c r="J17" s="2699"/>
      <c r="K17" s="2699"/>
      <c r="L17" s="2364" t="s">
        <v>2698</v>
      </c>
      <c r="M17" s="2364"/>
      <c r="N17" s="2364"/>
      <c r="O17" s="2364"/>
      <c r="P17" s="2364"/>
      <c r="Q17" s="2364"/>
      <c r="R17" s="2364"/>
      <c r="S17" s="2364"/>
      <c r="T17" s="2364"/>
      <c r="U17" s="2364"/>
      <c r="V17" s="2364"/>
      <c r="W17" s="2364"/>
      <c r="X17" s="2364"/>
      <c r="Y17" s="2364"/>
      <c r="Z17" s="397" t="b">
        <v>0</v>
      </c>
      <c r="AA17" s="2361" t="s">
        <v>179</v>
      </c>
      <c r="AB17" s="2361"/>
      <c r="AC17" s="2361"/>
      <c r="AD17" s="2361"/>
      <c r="AE17" s="2361"/>
      <c r="AF17" s="2361"/>
      <c r="AG17" s="400" t="s">
        <v>2715</v>
      </c>
      <c r="AH17" s="2698" t="s">
        <v>202</v>
      </c>
      <c r="AI17" s="2698"/>
      <c r="AJ17" s="2698"/>
      <c r="AK17" s="349"/>
      <c r="AL17" s="2364" t="s">
        <v>203</v>
      </c>
      <c r="AM17" s="2364"/>
      <c r="AN17" s="2364"/>
      <c r="AO17" s="2364"/>
      <c r="AP17" s="2364"/>
      <c r="AQ17" s="2364"/>
      <c r="AR17" s="2364"/>
      <c r="AS17" s="2364"/>
      <c r="AT17" s="2364"/>
      <c r="AU17" s="2364"/>
      <c r="AV17" s="2364"/>
      <c r="AW17" s="2364"/>
      <c r="AX17" s="2364"/>
      <c r="AY17" s="2364"/>
      <c r="AZ17" s="349"/>
      <c r="BA17" s="27">
        <v>5</v>
      </c>
      <c r="BB17" s="27" t="s">
        <v>286</v>
      </c>
      <c r="BC17" s="27"/>
    </row>
    <row r="18" spans="1:55" ht="28.5" customHeight="1">
      <c r="A18" s="2361"/>
      <c r="B18" s="2361"/>
      <c r="C18" s="2361"/>
      <c r="D18" s="2361"/>
      <c r="E18" s="2361"/>
      <c r="F18" s="2361"/>
      <c r="G18" s="2699" t="s">
        <v>204</v>
      </c>
      <c r="H18" s="2699"/>
      <c r="I18" s="2699"/>
      <c r="J18" s="2699"/>
      <c r="K18" s="2699"/>
      <c r="L18" s="2364"/>
      <c r="M18" s="2364"/>
      <c r="N18" s="2364"/>
      <c r="O18" s="2364"/>
      <c r="P18" s="2364"/>
      <c r="Q18" s="2364"/>
      <c r="R18" s="2364"/>
      <c r="S18" s="2364"/>
      <c r="T18" s="2364"/>
      <c r="U18" s="2364"/>
      <c r="V18" s="2364"/>
      <c r="W18" s="2364"/>
      <c r="X18" s="2364"/>
      <c r="Y18" s="2364"/>
      <c r="Z18" s="397" t="b">
        <v>0</v>
      </c>
      <c r="AA18" s="2361"/>
      <c r="AB18" s="2361"/>
      <c r="AC18" s="2361"/>
      <c r="AD18" s="2361"/>
      <c r="AE18" s="2361"/>
      <c r="AF18" s="2361"/>
      <c r="AG18" s="349" t="s">
        <v>2716</v>
      </c>
      <c r="AH18" s="2361" t="s">
        <v>204</v>
      </c>
      <c r="AI18" s="2361"/>
      <c r="AJ18" s="2361"/>
      <c r="AK18" s="349"/>
      <c r="AL18" s="2364"/>
      <c r="AM18" s="2364"/>
      <c r="AN18" s="2364"/>
      <c r="AO18" s="2364"/>
      <c r="AP18" s="2364"/>
      <c r="AQ18" s="2364"/>
      <c r="AR18" s="2364"/>
      <c r="AS18" s="2364"/>
      <c r="AT18" s="2364"/>
      <c r="AU18" s="2364"/>
      <c r="AV18" s="2364"/>
      <c r="AW18" s="2364"/>
      <c r="AX18" s="2364"/>
      <c r="AY18" s="2364"/>
      <c r="AZ18" s="349"/>
      <c r="BA18" s="27">
        <v>6</v>
      </c>
      <c r="BB18" s="27" t="s">
        <v>342</v>
      </c>
      <c r="BC18" s="27"/>
    </row>
    <row r="19" spans="1:55" ht="14.25" customHeight="1">
      <c r="A19" s="362"/>
      <c r="B19" s="362"/>
      <c r="C19" s="362"/>
      <c r="D19" s="362"/>
      <c r="E19" s="362"/>
      <c r="F19" s="362"/>
      <c r="G19" s="349"/>
      <c r="H19" s="362"/>
      <c r="I19" s="362"/>
      <c r="J19" s="362"/>
      <c r="K19" s="349"/>
      <c r="L19" s="398"/>
      <c r="M19" s="398"/>
      <c r="N19" s="398"/>
      <c r="O19" s="398"/>
      <c r="P19" s="398"/>
      <c r="Q19" s="398"/>
      <c r="R19" s="398"/>
      <c r="S19" s="398"/>
      <c r="T19" s="398"/>
      <c r="U19" s="398"/>
      <c r="V19" s="398"/>
      <c r="W19" s="398"/>
      <c r="X19" s="398"/>
      <c r="Y19" s="398"/>
      <c r="Z19" s="349"/>
      <c r="AA19" s="362"/>
      <c r="AB19" s="362"/>
      <c r="AC19" s="362"/>
      <c r="AD19" s="362"/>
      <c r="AE19" s="362"/>
      <c r="AF19" s="362"/>
      <c r="AG19" s="349"/>
      <c r="AH19" s="362"/>
      <c r="AI19" s="362"/>
      <c r="AJ19" s="362"/>
      <c r="AK19" s="349"/>
      <c r="AL19" s="398"/>
      <c r="AM19" s="398"/>
      <c r="AN19" s="398"/>
      <c r="AO19" s="398"/>
      <c r="AP19" s="398"/>
      <c r="AQ19" s="398"/>
      <c r="AR19" s="398"/>
      <c r="AS19" s="398"/>
      <c r="AT19" s="398"/>
      <c r="AU19" s="398"/>
      <c r="AV19" s="398"/>
      <c r="AW19" s="398"/>
      <c r="AX19" s="398"/>
      <c r="AY19" s="398"/>
      <c r="AZ19" s="349"/>
      <c r="BA19" s="27">
        <v>7</v>
      </c>
      <c r="BB19" s="27" t="s">
        <v>338</v>
      </c>
      <c r="BC19" s="27"/>
    </row>
    <row r="20" spans="1:55" ht="14.25" customHeight="1">
      <c r="A20" s="2361" t="s">
        <v>103</v>
      </c>
      <c r="B20" s="2361"/>
      <c r="C20" s="2361"/>
      <c r="D20" s="2361"/>
      <c r="E20" s="2361"/>
      <c r="F20" s="2361"/>
      <c r="G20" s="2361"/>
      <c r="H20" s="2361"/>
      <c r="I20" s="2361"/>
      <c r="J20" s="2361"/>
      <c r="K20" s="2361"/>
      <c r="L20" s="2361"/>
      <c r="M20" s="2361"/>
      <c r="N20" s="2361"/>
      <c r="O20" s="2361"/>
      <c r="P20" s="2361"/>
      <c r="Q20" s="2361"/>
      <c r="R20" s="2361"/>
      <c r="S20" s="2361"/>
      <c r="T20" s="2361"/>
      <c r="U20" s="2361"/>
      <c r="V20" s="2361"/>
      <c r="W20" s="2361"/>
      <c r="X20" s="2361"/>
      <c r="Y20" s="2361"/>
      <c r="Z20" s="2361"/>
      <c r="AA20" s="2361" t="s">
        <v>103</v>
      </c>
      <c r="AB20" s="2361"/>
      <c r="AC20" s="2361"/>
      <c r="AD20" s="2361"/>
      <c r="AE20" s="2361"/>
      <c r="AF20" s="2361"/>
      <c r="AG20" s="2361"/>
      <c r="AH20" s="2361"/>
      <c r="AI20" s="2361"/>
      <c r="AJ20" s="2361"/>
      <c r="AK20" s="2361"/>
      <c r="AL20" s="2361"/>
      <c r="AM20" s="2361"/>
      <c r="AN20" s="2361"/>
      <c r="AO20" s="2361"/>
      <c r="AP20" s="2361"/>
      <c r="AQ20" s="2361"/>
      <c r="AR20" s="2361"/>
      <c r="AS20" s="2361"/>
      <c r="AT20" s="2361"/>
      <c r="AU20" s="2361"/>
      <c r="AV20" s="2361"/>
      <c r="AW20" s="2361"/>
      <c r="AX20" s="2361"/>
      <c r="AY20" s="2361"/>
      <c r="AZ20" s="2361"/>
      <c r="BA20" s="27">
        <v>8</v>
      </c>
      <c r="BB20" s="27"/>
      <c r="BC20" s="27"/>
    </row>
    <row r="21" spans="1:55" ht="14.25" customHeight="1">
      <c r="A21" s="362"/>
      <c r="B21" s="362"/>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27">
        <v>9</v>
      </c>
      <c r="BB21" s="27"/>
      <c r="BC21" s="27"/>
    </row>
    <row r="22" spans="1:55" ht="28.5" customHeight="1">
      <c r="A22" s="2364" t="s">
        <v>205</v>
      </c>
      <c r="B22" s="2364"/>
      <c r="C22" s="2364"/>
      <c r="D22" s="2364"/>
      <c r="E22" s="2364"/>
      <c r="F22" s="2364"/>
      <c r="G22" s="2364"/>
      <c r="H22" s="2364"/>
      <c r="I22" s="2364"/>
      <c r="J22" s="2364"/>
      <c r="K22" s="2364"/>
      <c r="L22" s="2364"/>
      <c r="M22" s="2364"/>
      <c r="N22" s="2364"/>
      <c r="O22" s="2364"/>
      <c r="P22" s="2364"/>
      <c r="Q22" s="2364"/>
      <c r="R22" s="2364"/>
      <c r="S22" s="2364"/>
      <c r="T22" s="2364"/>
      <c r="U22" s="2364"/>
      <c r="V22" s="2364"/>
      <c r="W22" s="2364"/>
      <c r="X22" s="2364"/>
      <c r="Y22" s="2364"/>
      <c r="Z22" s="2364"/>
      <c r="AA22" s="2364" t="s">
        <v>205</v>
      </c>
      <c r="AB22" s="2364"/>
      <c r="AC22" s="2364"/>
      <c r="AD22" s="2364"/>
      <c r="AE22" s="2364"/>
      <c r="AF22" s="2364"/>
      <c r="AG22" s="2364"/>
      <c r="AH22" s="2364"/>
      <c r="AI22" s="2364"/>
      <c r="AJ22" s="2364"/>
      <c r="AK22" s="2364"/>
      <c r="AL22" s="2364"/>
      <c r="AM22" s="2364"/>
      <c r="AN22" s="2364"/>
      <c r="AO22" s="2364"/>
      <c r="AP22" s="2364"/>
      <c r="AQ22" s="2364"/>
      <c r="AR22" s="2364"/>
      <c r="AS22" s="2364"/>
      <c r="AT22" s="2364"/>
      <c r="AU22" s="2364"/>
      <c r="AV22" s="2364"/>
      <c r="AW22" s="2364"/>
      <c r="AX22" s="2364"/>
      <c r="AY22" s="2364"/>
      <c r="AZ22" s="2364"/>
      <c r="BA22" s="27">
        <v>10</v>
      </c>
      <c r="BB22" s="27"/>
      <c r="BC22" s="27"/>
    </row>
    <row r="23" spans="1:55" ht="28.5" customHeight="1">
      <c r="A23" s="688"/>
      <c r="B23" s="688"/>
      <c r="C23" s="688"/>
      <c r="D23" s="688"/>
      <c r="E23" s="362" t="s">
        <v>14</v>
      </c>
      <c r="F23" s="689"/>
      <c r="G23" s="362" t="s">
        <v>13</v>
      </c>
      <c r="H23" s="689"/>
      <c r="I23" s="362" t="s">
        <v>104</v>
      </c>
      <c r="J23" s="362" t="s">
        <v>34</v>
      </c>
      <c r="K23" s="689"/>
      <c r="L23" s="362" t="s">
        <v>46</v>
      </c>
      <c r="M23" s="362" t="s">
        <v>206</v>
      </c>
      <c r="N23" s="689"/>
      <c r="O23" s="362" t="s">
        <v>13</v>
      </c>
      <c r="P23" s="689"/>
      <c r="Q23" s="362" t="s">
        <v>104</v>
      </c>
      <c r="R23" s="362" t="s">
        <v>73</v>
      </c>
      <c r="S23" s="689"/>
      <c r="T23" s="362" t="s">
        <v>46</v>
      </c>
      <c r="U23" s="362"/>
      <c r="V23" s="362"/>
      <c r="W23" s="362"/>
      <c r="X23" s="362"/>
      <c r="Y23" s="2361"/>
      <c r="Z23" s="2361"/>
      <c r="AA23" s="2697" t="s">
        <v>2977</v>
      </c>
      <c r="AB23" s="2697"/>
      <c r="AC23" s="2697"/>
      <c r="AD23" s="2697"/>
      <c r="AE23" s="362" t="s">
        <v>14</v>
      </c>
      <c r="AF23" s="373" t="s">
        <v>200</v>
      </c>
      <c r="AG23" s="362" t="s">
        <v>13</v>
      </c>
      <c r="AH23" s="373" t="s">
        <v>2931</v>
      </c>
      <c r="AI23" s="362" t="s">
        <v>104</v>
      </c>
      <c r="AJ23" s="362" t="s">
        <v>207</v>
      </c>
      <c r="AK23" s="373" t="s">
        <v>1666</v>
      </c>
      <c r="AL23" s="362" t="s">
        <v>48</v>
      </c>
      <c r="AM23" s="362" t="s">
        <v>177</v>
      </c>
      <c r="AN23" s="373" t="s">
        <v>31</v>
      </c>
      <c r="AO23" s="362" t="s">
        <v>13</v>
      </c>
      <c r="AP23" s="373" t="s">
        <v>2694</v>
      </c>
      <c r="AQ23" s="362" t="s">
        <v>104</v>
      </c>
      <c r="AR23" s="362" t="s">
        <v>207</v>
      </c>
      <c r="AS23" s="373" t="s">
        <v>1667</v>
      </c>
      <c r="AT23" s="362" t="s">
        <v>48</v>
      </c>
      <c r="AU23" s="362"/>
      <c r="AV23" s="362"/>
      <c r="AW23" s="362"/>
      <c r="AX23" s="362"/>
      <c r="AY23" s="2361"/>
      <c r="AZ23" s="2361"/>
      <c r="BA23" s="27">
        <v>11</v>
      </c>
      <c r="BB23" s="27"/>
      <c r="BC23" s="27"/>
    </row>
    <row r="24" spans="1:55" ht="28.5" customHeight="1">
      <c r="A24" s="2364" t="s">
        <v>208</v>
      </c>
      <c r="B24" s="2364"/>
      <c r="C24" s="2364"/>
      <c r="D24" s="2364"/>
      <c r="E24" s="2364"/>
      <c r="F24" s="2364"/>
      <c r="G24" s="2364"/>
      <c r="H24" s="2364"/>
      <c r="I24" s="2364"/>
      <c r="J24" s="2364"/>
      <c r="K24" s="2364"/>
      <c r="L24" s="2364"/>
      <c r="M24" s="2364"/>
      <c r="N24" s="2364"/>
      <c r="O24" s="2364"/>
      <c r="P24" s="2364"/>
      <c r="Q24" s="2364"/>
      <c r="R24" s="2364"/>
      <c r="S24" s="2364"/>
      <c r="T24" s="2364"/>
      <c r="U24" s="2364"/>
      <c r="V24" s="2364"/>
      <c r="W24" s="2364"/>
      <c r="X24" s="2364"/>
      <c r="Y24" s="2364"/>
      <c r="Z24" s="2364"/>
      <c r="AA24" s="2364" t="s">
        <v>208</v>
      </c>
      <c r="AB24" s="2364"/>
      <c r="AC24" s="2364"/>
      <c r="AD24" s="2364"/>
      <c r="AE24" s="2364"/>
      <c r="AF24" s="2364"/>
      <c r="AG24" s="2364"/>
      <c r="AH24" s="2364"/>
      <c r="AI24" s="2364"/>
      <c r="AJ24" s="2364"/>
      <c r="AK24" s="2364"/>
      <c r="AL24" s="2364"/>
      <c r="AM24" s="2364"/>
      <c r="AN24" s="2364"/>
      <c r="AO24" s="2364"/>
      <c r="AP24" s="2364"/>
      <c r="AQ24" s="2364"/>
      <c r="AR24" s="2364"/>
      <c r="AS24" s="2364"/>
      <c r="AT24" s="2364"/>
      <c r="AU24" s="2364"/>
      <c r="AV24" s="2364"/>
      <c r="AW24" s="2364"/>
      <c r="AX24" s="2364"/>
      <c r="AY24" s="2364"/>
      <c r="AZ24" s="2364"/>
      <c r="BA24" s="27">
        <v>12</v>
      </c>
      <c r="BB24" s="27"/>
      <c r="BC24" s="27"/>
    </row>
    <row r="25" spans="1:55" ht="28.5" customHeight="1">
      <c r="A25" s="688"/>
      <c r="B25" s="688"/>
      <c r="C25" s="688"/>
      <c r="D25" s="688"/>
      <c r="E25" s="362" t="s">
        <v>14</v>
      </c>
      <c r="F25" s="689"/>
      <c r="G25" s="362" t="s">
        <v>13</v>
      </c>
      <c r="H25" s="689"/>
      <c r="I25" s="362" t="s">
        <v>104</v>
      </c>
      <c r="J25" s="362" t="s">
        <v>73</v>
      </c>
      <c r="K25" s="689"/>
      <c r="L25" s="362" t="s">
        <v>48</v>
      </c>
      <c r="M25" s="362" t="s">
        <v>206</v>
      </c>
      <c r="N25" s="689"/>
      <c r="O25" s="362" t="s">
        <v>13</v>
      </c>
      <c r="P25" s="689"/>
      <c r="Q25" s="362" t="s">
        <v>104</v>
      </c>
      <c r="R25" s="362" t="s">
        <v>207</v>
      </c>
      <c r="S25" s="689"/>
      <c r="T25" s="362" t="s">
        <v>33</v>
      </c>
      <c r="U25" s="362"/>
      <c r="V25" s="362"/>
      <c r="W25" s="362"/>
      <c r="X25" s="362"/>
      <c r="Y25" s="2361"/>
      <c r="Z25" s="2361"/>
      <c r="AA25" s="2697" t="s">
        <v>2977</v>
      </c>
      <c r="AB25" s="2697"/>
      <c r="AC25" s="2697"/>
      <c r="AD25" s="2697"/>
      <c r="AE25" s="362" t="s">
        <v>14</v>
      </c>
      <c r="AF25" s="373" t="s">
        <v>335</v>
      </c>
      <c r="AG25" s="362" t="s">
        <v>13</v>
      </c>
      <c r="AH25" s="373" t="s">
        <v>2933</v>
      </c>
      <c r="AI25" s="362" t="s">
        <v>104</v>
      </c>
      <c r="AJ25" s="362" t="s">
        <v>34</v>
      </c>
      <c r="AK25" s="373" t="s">
        <v>1666</v>
      </c>
      <c r="AL25" s="362" t="s">
        <v>209</v>
      </c>
      <c r="AM25" s="362" t="s">
        <v>101</v>
      </c>
      <c r="AN25" s="373" t="s">
        <v>335</v>
      </c>
      <c r="AO25" s="362" t="s">
        <v>13</v>
      </c>
      <c r="AP25" s="373" t="s">
        <v>2934</v>
      </c>
      <c r="AQ25" s="362" t="s">
        <v>104</v>
      </c>
      <c r="AR25" s="362" t="s">
        <v>73</v>
      </c>
      <c r="AS25" s="373" t="s">
        <v>1667</v>
      </c>
      <c r="AT25" s="362" t="s">
        <v>209</v>
      </c>
      <c r="AU25" s="362"/>
      <c r="AV25" s="362"/>
      <c r="AW25" s="362"/>
      <c r="AX25" s="362"/>
      <c r="AY25" s="2361"/>
      <c r="AZ25" s="2361"/>
      <c r="BA25" s="27">
        <v>13</v>
      </c>
      <c r="BB25" s="27"/>
      <c r="BC25" s="27"/>
    </row>
    <row r="26" spans="1:55" ht="28.5" customHeight="1">
      <c r="A26" s="2364" t="s">
        <v>210</v>
      </c>
      <c r="B26" s="2364"/>
      <c r="C26" s="2364"/>
      <c r="D26" s="2364"/>
      <c r="E26" s="2364"/>
      <c r="F26" s="2364"/>
      <c r="G26" s="2364"/>
      <c r="H26" s="2364"/>
      <c r="I26" s="2364"/>
      <c r="J26" s="2364"/>
      <c r="K26" s="2364"/>
      <c r="L26" s="2364"/>
      <c r="M26" s="2364"/>
      <c r="N26" s="2364"/>
      <c r="O26" s="2364"/>
      <c r="P26" s="2364"/>
      <c r="Q26" s="2364"/>
      <c r="R26" s="2364"/>
      <c r="S26" s="2364"/>
      <c r="T26" s="2364"/>
      <c r="U26" s="2364"/>
      <c r="V26" s="2364"/>
      <c r="W26" s="2364"/>
      <c r="X26" s="2364"/>
      <c r="Y26" s="2364"/>
      <c r="Z26" s="2364"/>
      <c r="AA26" s="2364" t="s">
        <v>210</v>
      </c>
      <c r="AB26" s="2364"/>
      <c r="AC26" s="2364"/>
      <c r="AD26" s="2364"/>
      <c r="AE26" s="2364"/>
      <c r="AF26" s="2364"/>
      <c r="AG26" s="2364"/>
      <c r="AH26" s="2364"/>
      <c r="AI26" s="2364"/>
      <c r="AJ26" s="2364"/>
      <c r="AK26" s="2364"/>
      <c r="AL26" s="2364"/>
      <c r="AM26" s="2364"/>
      <c r="AN26" s="2364"/>
      <c r="AO26" s="2364"/>
      <c r="AP26" s="2364"/>
      <c r="AQ26" s="2364"/>
      <c r="AR26" s="2364"/>
      <c r="AS26" s="2364"/>
      <c r="AT26" s="2364"/>
      <c r="AU26" s="2364"/>
      <c r="AV26" s="2364"/>
      <c r="AW26" s="2364"/>
      <c r="AX26" s="2364"/>
      <c r="AY26" s="2364"/>
      <c r="AZ26" s="2364"/>
      <c r="BA26" s="27">
        <v>14</v>
      </c>
      <c r="BB26" s="27"/>
      <c r="BC26" s="27"/>
    </row>
    <row r="27" spans="1:55" ht="28.5" customHeight="1">
      <c r="A27" s="690"/>
      <c r="B27" s="690"/>
      <c r="C27" s="690"/>
      <c r="D27" s="690"/>
      <c r="E27" s="362" t="s">
        <v>24</v>
      </c>
      <c r="F27" s="2361"/>
      <c r="G27" s="2361"/>
      <c r="H27" s="2361"/>
      <c r="I27" s="2361"/>
      <c r="J27" s="2361"/>
      <c r="K27" s="2361"/>
      <c r="L27" s="2361"/>
      <c r="M27" s="2361"/>
      <c r="N27" s="2361"/>
      <c r="O27" s="2361"/>
      <c r="P27" s="2361"/>
      <c r="Q27" s="2361"/>
      <c r="R27" s="2361"/>
      <c r="S27" s="2361"/>
      <c r="T27" s="2361"/>
      <c r="U27" s="2361"/>
      <c r="V27" s="2361"/>
      <c r="W27" s="2361"/>
      <c r="X27" s="2361"/>
      <c r="Y27" s="2361"/>
      <c r="Z27" s="2361"/>
      <c r="AA27" s="2697" t="s">
        <v>285</v>
      </c>
      <c r="AB27" s="2697"/>
      <c r="AC27" s="2697"/>
      <c r="AD27" s="2697"/>
      <c r="AE27" s="362" t="s">
        <v>24</v>
      </c>
      <c r="AF27" s="2361"/>
      <c r="AG27" s="2361"/>
      <c r="AH27" s="2361"/>
      <c r="AI27" s="2361"/>
      <c r="AJ27" s="2361"/>
      <c r="AK27" s="2361"/>
      <c r="AL27" s="2361"/>
      <c r="AM27" s="2361"/>
      <c r="AN27" s="2361"/>
      <c r="AO27" s="2361"/>
      <c r="AP27" s="2361"/>
      <c r="AQ27" s="2361"/>
      <c r="AR27" s="2361"/>
      <c r="AS27" s="2361"/>
      <c r="AT27" s="2361"/>
      <c r="AU27" s="2361"/>
      <c r="AV27" s="2361"/>
      <c r="AW27" s="2361"/>
      <c r="AX27" s="2361"/>
      <c r="AY27" s="2361"/>
      <c r="AZ27" s="2361"/>
      <c r="BA27" s="27">
        <v>15</v>
      </c>
      <c r="BB27" s="27"/>
      <c r="BC27" s="27"/>
    </row>
    <row r="28" spans="1:55" ht="28.5" customHeight="1">
      <c r="A28" s="2364" t="s">
        <v>211</v>
      </c>
      <c r="B28" s="2364"/>
      <c r="C28" s="2364"/>
      <c r="D28" s="2364"/>
      <c r="E28" s="2364"/>
      <c r="F28" s="2364"/>
      <c r="G28" s="2364"/>
      <c r="H28" s="2364"/>
      <c r="I28" s="2364"/>
      <c r="J28" s="2364"/>
      <c r="K28" s="2364"/>
      <c r="L28" s="2364"/>
      <c r="M28" s="2364"/>
      <c r="N28" s="2364"/>
      <c r="O28" s="2364"/>
      <c r="P28" s="2364"/>
      <c r="Q28" s="2364"/>
      <c r="R28" s="2364"/>
      <c r="S28" s="2364"/>
      <c r="T28" s="2364"/>
      <c r="U28" s="2364"/>
      <c r="V28" s="2364"/>
      <c r="W28" s="2364"/>
      <c r="X28" s="2364"/>
      <c r="Y28" s="2364"/>
      <c r="Z28" s="2364"/>
      <c r="AA28" s="2364" t="s">
        <v>211</v>
      </c>
      <c r="AB28" s="2364"/>
      <c r="AC28" s="2364"/>
      <c r="AD28" s="2364"/>
      <c r="AE28" s="2364"/>
      <c r="AF28" s="2364"/>
      <c r="AG28" s="2364"/>
      <c r="AH28" s="2364"/>
      <c r="AI28" s="2364"/>
      <c r="AJ28" s="2364"/>
      <c r="AK28" s="2364"/>
      <c r="AL28" s="2364"/>
      <c r="AM28" s="2364"/>
      <c r="AN28" s="2364"/>
      <c r="AO28" s="2364"/>
      <c r="AP28" s="2364"/>
      <c r="AQ28" s="2364"/>
      <c r="AR28" s="2364"/>
      <c r="AS28" s="2364"/>
      <c r="AT28" s="2364"/>
      <c r="AU28" s="2364"/>
      <c r="AV28" s="2364"/>
      <c r="AW28" s="2364"/>
      <c r="AX28" s="2364"/>
      <c r="AY28" s="2364"/>
      <c r="AZ28" s="2364"/>
      <c r="BA28" s="27">
        <v>16</v>
      </c>
      <c r="BB28" s="27"/>
      <c r="BC28" s="27"/>
    </row>
    <row r="29" spans="1:55" ht="159.94999999999999" customHeight="1">
      <c r="A29" s="2695"/>
      <c r="B29" s="2695"/>
      <c r="C29" s="2695"/>
      <c r="D29" s="2695"/>
      <c r="E29" s="2695"/>
      <c r="F29" s="2695"/>
      <c r="G29" s="2695"/>
      <c r="H29" s="2695"/>
      <c r="I29" s="2695"/>
      <c r="J29" s="2695"/>
      <c r="K29" s="2695"/>
      <c r="L29" s="2695"/>
      <c r="M29" s="2695"/>
      <c r="N29" s="2695"/>
      <c r="O29" s="2695"/>
      <c r="P29" s="2695"/>
      <c r="Q29" s="2695"/>
      <c r="R29" s="2695"/>
      <c r="S29" s="2695"/>
      <c r="T29" s="2695"/>
      <c r="U29" s="2695"/>
      <c r="V29" s="2695"/>
      <c r="W29" s="2695"/>
      <c r="X29" s="2695"/>
      <c r="Y29" s="2695"/>
      <c r="Z29" s="2695"/>
      <c r="AA29" s="2696" t="s">
        <v>212</v>
      </c>
      <c r="AB29" s="2696"/>
      <c r="AC29" s="2696"/>
      <c r="AD29" s="2696"/>
      <c r="AE29" s="2696"/>
      <c r="AF29" s="2696"/>
      <c r="AG29" s="2696"/>
      <c r="AH29" s="2696"/>
      <c r="AI29" s="2696"/>
      <c r="AJ29" s="2696"/>
      <c r="AK29" s="2696"/>
      <c r="AL29" s="2696"/>
      <c r="AM29" s="2696"/>
      <c r="AN29" s="2696"/>
      <c r="AO29" s="2696"/>
      <c r="AP29" s="2696"/>
      <c r="AQ29" s="2696"/>
      <c r="AR29" s="2696"/>
      <c r="AS29" s="2696"/>
      <c r="AT29" s="2696"/>
      <c r="AU29" s="2696"/>
      <c r="AV29" s="2696"/>
      <c r="AW29" s="2696"/>
      <c r="AX29" s="2696"/>
      <c r="AY29" s="2696"/>
      <c r="AZ29" s="2696"/>
      <c r="BA29" s="27">
        <v>17</v>
      </c>
      <c r="BB29" s="27"/>
      <c r="BC29" s="27"/>
    </row>
    <row r="30" spans="1:55" ht="14.25" customHeight="1">
      <c r="A30" s="15"/>
      <c r="B30" s="14"/>
      <c r="C30" s="14"/>
      <c r="D30" s="14"/>
      <c r="E30" s="14"/>
      <c r="F30" s="14"/>
      <c r="G30" s="14"/>
      <c r="H30" s="14"/>
      <c r="I30" s="14"/>
      <c r="J30" s="16"/>
      <c r="K30" s="16"/>
      <c r="L30" s="16"/>
      <c r="M30" s="16"/>
      <c r="N30" s="16"/>
      <c r="O30" s="16"/>
      <c r="P30" s="16"/>
      <c r="Q30" s="16"/>
      <c r="R30" s="16"/>
      <c r="S30" s="16"/>
      <c r="T30" s="16"/>
      <c r="U30" s="16"/>
      <c r="V30" s="16"/>
      <c r="W30" s="16"/>
      <c r="X30" s="16"/>
      <c r="Y30" s="16"/>
      <c r="Z30" s="16"/>
      <c r="AA30" s="15"/>
      <c r="AB30" s="14"/>
      <c r="AC30" s="14"/>
      <c r="AD30" s="14"/>
      <c r="AE30" s="14"/>
      <c r="AF30" s="14"/>
      <c r="AG30" s="14"/>
      <c r="AH30" s="14"/>
      <c r="AI30" s="14"/>
      <c r="AJ30" s="16"/>
      <c r="AK30" s="16"/>
      <c r="AL30" s="16"/>
      <c r="AM30" s="16"/>
      <c r="AN30" s="16"/>
      <c r="AO30" s="16"/>
      <c r="AP30" s="16"/>
      <c r="AQ30" s="16"/>
      <c r="AR30" s="16"/>
      <c r="AS30" s="16"/>
      <c r="AT30" s="16"/>
      <c r="AU30" s="16"/>
      <c r="AV30" s="16"/>
      <c r="AW30" s="16"/>
      <c r="AX30" s="16"/>
      <c r="AY30" s="16"/>
      <c r="AZ30" s="16"/>
      <c r="BA30" s="27">
        <v>18</v>
      </c>
      <c r="BB30" s="27"/>
      <c r="BC30" s="27"/>
    </row>
    <row r="31" spans="1:55" ht="14.25">
      <c r="A31" s="14"/>
      <c r="B31" s="14"/>
      <c r="C31" s="14"/>
      <c r="D31" s="14"/>
      <c r="E31" s="14"/>
      <c r="F31" s="14"/>
      <c r="G31" s="14"/>
      <c r="H31" s="14"/>
      <c r="I31" s="14"/>
      <c r="J31" s="16"/>
      <c r="K31" s="16"/>
      <c r="L31" s="16"/>
      <c r="M31" s="16"/>
      <c r="N31" s="16"/>
      <c r="O31" s="16"/>
      <c r="P31" s="16"/>
      <c r="Q31" s="16"/>
      <c r="R31" s="16"/>
      <c r="S31" s="16"/>
      <c r="T31" s="16"/>
      <c r="U31" s="16"/>
      <c r="V31" s="16"/>
      <c r="W31" s="16"/>
      <c r="X31" s="16"/>
      <c r="Y31" s="16"/>
      <c r="Z31" s="16"/>
      <c r="AA31" s="14"/>
      <c r="AB31" s="14"/>
      <c r="AC31" s="14"/>
      <c r="AD31" s="14"/>
      <c r="AE31" s="14"/>
      <c r="AF31" s="14"/>
      <c r="AG31" s="14"/>
      <c r="AH31" s="14"/>
      <c r="AI31" s="14"/>
      <c r="AJ31" s="16"/>
      <c r="AK31" s="16"/>
      <c r="AL31" s="16"/>
      <c r="AM31" s="16"/>
      <c r="AN31" s="16"/>
      <c r="AO31" s="16"/>
      <c r="AP31" s="16"/>
      <c r="AQ31" s="16"/>
      <c r="AR31" s="16"/>
      <c r="AS31" s="16"/>
      <c r="AT31" s="16"/>
      <c r="AU31" s="16"/>
      <c r="AV31" s="16"/>
      <c r="AW31" s="16"/>
      <c r="AX31" s="16"/>
      <c r="AY31" s="16"/>
      <c r="AZ31" s="16"/>
      <c r="BA31" s="27">
        <v>19</v>
      </c>
      <c r="BB31" s="27"/>
      <c r="BC31" s="27"/>
    </row>
    <row r="32" spans="1:55" ht="14.25">
      <c r="A32" s="14"/>
      <c r="B32" s="14"/>
      <c r="C32" s="14"/>
      <c r="D32" s="14"/>
      <c r="E32" s="14"/>
      <c r="F32" s="14"/>
      <c r="G32" s="14"/>
      <c r="H32" s="14"/>
      <c r="I32" s="14"/>
      <c r="J32" s="16"/>
      <c r="K32" s="16"/>
      <c r="L32" s="16"/>
      <c r="M32" s="16"/>
      <c r="N32" s="16"/>
      <c r="O32" s="16"/>
      <c r="P32" s="16"/>
      <c r="Q32" s="16"/>
      <c r="R32" s="16"/>
      <c r="S32" s="16"/>
      <c r="T32" s="16"/>
      <c r="U32" s="16"/>
      <c r="V32" s="16"/>
      <c r="W32" s="16"/>
      <c r="X32" s="16"/>
      <c r="Y32" s="16"/>
      <c r="Z32" s="16"/>
      <c r="AA32" s="14"/>
      <c r="AB32" s="14"/>
      <c r="AC32" s="14"/>
      <c r="AD32" s="14"/>
      <c r="AE32" s="14"/>
      <c r="AF32" s="14"/>
      <c r="AG32" s="14"/>
      <c r="AH32" s="14"/>
      <c r="AI32" s="14"/>
      <c r="AJ32" s="16"/>
      <c r="AK32" s="16"/>
      <c r="AL32" s="16"/>
      <c r="AM32" s="16"/>
      <c r="AN32" s="16"/>
      <c r="AO32" s="16"/>
      <c r="AP32" s="16"/>
      <c r="AQ32" s="16"/>
      <c r="AR32" s="16"/>
      <c r="AS32" s="16"/>
      <c r="AT32" s="16"/>
      <c r="AU32" s="16"/>
      <c r="AV32" s="16"/>
      <c r="AW32" s="16"/>
      <c r="AX32" s="16"/>
      <c r="AY32" s="16"/>
      <c r="AZ32" s="16"/>
      <c r="BA32" s="27">
        <v>20</v>
      </c>
      <c r="BB32" s="27"/>
      <c r="BC32" s="27"/>
    </row>
    <row r="33" spans="1:55" ht="14.25">
      <c r="A33" s="14"/>
      <c r="B33" s="14"/>
      <c r="C33" s="14"/>
      <c r="D33" s="14"/>
      <c r="E33" s="14"/>
      <c r="F33" s="14"/>
      <c r="G33" s="14"/>
      <c r="H33" s="14"/>
      <c r="I33" s="14"/>
      <c r="J33" s="16"/>
      <c r="K33" s="16"/>
      <c r="L33" s="16"/>
      <c r="M33" s="16"/>
      <c r="N33" s="16"/>
      <c r="O33" s="16"/>
      <c r="P33" s="16"/>
      <c r="Q33" s="16"/>
      <c r="R33" s="16"/>
      <c r="S33" s="16"/>
      <c r="T33" s="16"/>
      <c r="U33" s="16"/>
      <c r="V33" s="16"/>
      <c r="W33" s="16"/>
      <c r="X33" s="16"/>
      <c r="Y33" s="16"/>
      <c r="Z33" s="16"/>
      <c r="AA33" s="14"/>
      <c r="AB33" s="14"/>
      <c r="AC33" s="14"/>
      <c r="AD33" s="14"/>
      <c r="AE33" s="14"/>
      <c r="AF33" s="14"/>
      <c r="AG33" s="14"/>
      <c r="AH33" s="14"/>
      <c r="AI33" s="14"/>
      <c r="AJ33" s="16"/>
      <c r="AK33" s="16"/>
      <c r="AL33" s="16"/>
      <c r="AM33" s="16"/>
      <c r="AN33" s="16"/>
      <c r="AO33" s="16"/>
      <c r="AP33" s="16"/>
      <c r="AQ33" s="16"/>
      <c r="AR33" s="16"/>
      <c r="AS33" s="16"/>
      <c r="AT33" s="16"/>
      <c r="AU33" s="16"/>
      <c r="AV33" s="16"/>
      <c r="AW33" s="16"/>
      <c r="AX33" s="16"/>
      <c r="AY33" s="16"/>
      <c r="AZ33" s="16"/>
      <c r="BA33" s="27">
        <v>21</v>
      </c>
      <c r="BB33" s="27"/>
      <c r="BC33" s="27"/>
    </row>
    <row r="34" spans="1:55" ht="14.25">
      <c r="A34" s="14"/>
      <c r="B34" s="14"/>
      <c r="C34" s="14"/>
      <c r="D34" s="14"/>
      <c r="E34" s="14"/>
      <c r="F34" s="14"/>
      <c r="G34" s="14"/>
      <c r="H34" s="14"/>
      <c r="I34" s="14"/>
      <c r="J34" s="16"/>
      <c r="K34" s="16"/>
      <c r="L34" s="16"/>
      <c r="M34" s="16"/>
      <c r="N34" s="16"/>
      <c r="O34" s="16"/>
      <c r="P34" s="16"/>
      <c r="Q34" s="16"/>
      <c r="R34" s="16"/>
      <c r="S34" s="16"/>
      <c r="T34" s="16"/>
      <c r="U34" s="16"/>
      <c r="V34" s="16"/>
      <c r="W34" s="16"/>
      <c r="X34" s="16"/>
      <c r="Y34" s="16"/>
      <c r="Z34" s="16"/>
      <c r="AA34" s="14"/>
      <c r="AB34" s="14"/>
      <c r="AC34" s="14"/>
      <c r="AD34" s="14"/>
      <c r="AE34" s="14"/>
      <c r="AF34" s="14"/>
      <c r="AG34" s="14"/>
      <c r="AH34" s="14"/>
      <c r="AI34" s="14"/>
      <c r="AJ34" s="16"/>
      <c r="AK34" s="16"/>
      <c r="AL34" s="16"/>
      <c r="AM34" s="16"/>
      <c r="AN34" s="16"/>
      <c r="AO34" s="16"/>
      <c r="AP34" s="16"/>
      <c r="AQ34" s="16"/>
      <c r="AR34" s="16"/>
      <c r="AS34" s="16"/>
      <c r="AT34" s="16"/>
      <c r="AU34" s="16"/>
      <c r="AV34" s="16"/>
      <c r="AW34" s="16"/>
      <c r="AX34" s="16"/>
      <c r="AY34" s="16"/>
      <c r="AZ34" s="16"/>
      <c r="BA34" s="27">
        <v>22</v>
      </c>
      <c r="BB34" s="27"/>
      <c r="BC34" s="27"/>
    </row>
    <row r="35" spans="1:55" ht="14.25">
      <c r="A35" s="14"/>
      <c r="B35" s="14"/>
      <c r="C35" s="14"/>
      <c r="D35" s="14"/>
      <c r="E35" s="14"/>
      <c r="F35" s="14"/>
      <c r="G35" s="14"/>
      <c r="H35" s="14"/>
      <c r="I35" s="14"/>
      <c r="J35" s="16"/>
      <c r="K35" s="16"/>
      <c r="L35" s="16"/>
      <c r="M35" s="16"/>
      <c r="N35" s="16"/>
      <c r="O35" s="16"/>
      <c r="P35" s="16"/>
      <c r="Q35" s="16"/>
      <c r="R35" s="16"/>
      <c r="S35" s="16"/>
      <c r="T35" s="16"/>
      <c r="U35" s="16"/>
      <c r="V35" s="16"/>
      <c r="W35" s="16"/>
      <c r="X35" s="16"/>
      <c r="Y35" s="16"/>
      <c r="Z35" s="16"/>
      <c r="AA35" s="14"/>
      <c r="AB35" s="14"/>
      <c r="AC35" s="14"/>
      <c r="AD35" s="14"/>
      <c r="AE35" s="14"/>
      <c r="AF35" s="14"/>
      <c r="AG35" s="14"/>
      <c r="AH35" s="14"/>
      <c r="AI35" s="14"/>
      <c r="AJ35" s="16"/>
      <c r="AK35" s="16"/>
      <c r="AL35" s="16"/>
      <c r="AM35" s="16"/>
      <c r="AN35" s="16"/>
      <c r="AO35" s="16"/>
      <c r="AP35" s="16"/>
      <c r="AQ35" s="16"/>
      <c r="AR35" s="16"/>
      <c r="AS35" s="16"/>
      <c r="AT35" s="16"/>
      <c r="AU35" s="16"/>
      <c r="AV35" s="16"/>
      <c r="AW35" s="16"/>
      <c r="AX35" s="16"/>
      <c r="AY35" s="16"/>
      <c r="AZ35" s="16"/>
      <c r="BA35" s="27">
        <v>23</v>
      </c>
      <c r="BB35" s="27"/>
      <c r="BC35" s="27"/>
    </row>
    <row r="36" spans="1:55" ht="14.25">
      <c r="A36" s="14"/>
      <c r="B36" s="14"/>
      <c r="C36" s="14"/>
      <c r="D36" s="14"/>
      <c r="E36" s="14"/>
      <c r="F36" s="14"/>
      <c r="G36" s="14"/>
      <c r="H36" s="14"/>
      <c r="I36" s="14"/>
      <c r="J36" s="16"/>
      <c r="K36" s="16"/>
      <c r="L36" s="16"/>
      <c r="M36" s="16"/>
      <c r="N36" s="16"/>
      <c r="O36" s="16"/>
      <c r="P36" s="16"/>
      <c r="Q36" s="16"/>
      <c r="R36" s="16"/>
      <c r="S36" s="16"/>
      <c r="T36" s="16"/>
      <c r="U36" s="16"/>
      <c r="V36" s="16"/>
      <c r="W36" s="16"/>
      <c r="X36" s="16"/>
      <c r="Y36" s="16"/>
      <c r="Z36" s="16"/>
      <c r="AA36" s="14"/>
      <c r="AB36" s="14"/>
      <c r="AC36" s="14"/>
      <c r="AD36" s="14"/>
      <c r="AE36" s="14"/>
      <c r="AF36" s="14"/>
      <c r="AG36" s="14"/>
      <c r="AH36" s="14"/>
      <c r="AI36" s="14"/>
      <c r="AJ36" s="16"/>
      <c r="AK36" s="16"/>
      <c r="AL36" s="16"/>
      <c r="AM36" s="16"/>
      <c r="AN36" s="16"/>
      <c r="AO36" s="16"/>
      <c r="AP36" s="16"/>
      <c r="AQ36" s="16"/>
      <c r="AR36" s="16"/>
      <c r="AS36" s="16"/>
      <c r="AT36" s="16"/>
      <c r="AU36" s="16"/>
      <c r="AV36" s="16"/>
      <c r="AW36" s="16"/>
      <c r="AX36" s="16"/>
      <c r="AY36" s="16"/>
      <c r="AZ36" s="16"/>
      <c r="BA36" s="27">
        <v>24</v>
      </c>
      <c r="BB36" s="27"/>
      <c r="BC36" s="27"/>
    </row>
    <row r="37" spans="1:55" ht="14.25">
      <c r="A37" s="14"/>
      <c r="B37" s="14"/>
      <c r="C37" s="14"/>
      <c r="D37" s="14"/>
      <c r="E37" s="14"/>
      <c r="F37" s="14"/>
      <c r="G37" s="14"/>
      <c r="H37" s="14"/>
      <c r="I37" s="14"/>
      <c r="J37" s="16"/>
      <c r="K37" s="16"/>
      <c r="L37" s="16"/>
      <c r="M37" s="16"/>
      <c r="N37" s="16"/>
      <c r="O37" s="16"/>
      <c r="P37" s="16"/>
      <c r="Q37" s="16"/>
      <c r="R37" s="16"/>
      <c r="S37" s="16"/>
      <c r="T37" s="16"/>
      <c r="U37" s="16"/>
      <c r="V37" s="16"/>
      <c r="W37" s="16"/>
      <c r="X37" s="16"/>
      <c r="Y37" s="16"/>
      <c r="Z37" s="16"/>
      <c r="AA37" s="14"/>
      <c r="AB37" s="14"/>
      <c r="AC37" s="14"/>
      <c r="AD37" s="14"/>
      <c r="AE37" s="14"/>
      <c r="AF37" s="14"/>
      <c r="AG37" s="14"/>
      <c r="AH37" s="14"/>
      <c r="AI37" s="14"/>
      <c r="AJ37" s="16"/>
      <c r="AK37" s="16"/>
      <c r="AL37" s="16"/>
      <c r="AM37" s="16"/>
      <c r="AN37" s="16"/>
      <c r="AO37" s="16"/>
      <c r="AP37" s="16"/>
      <c r="AQ37" s="16"/>
      <c r="AR37" s="16"/>
      <c r="AS37" s="16"/>
      <c r="AT37" s="16"/>
      <c r="AU37" s="16"/>
      <c r="AV37" s="16"/>
      <c r="AW37" s="16"/>
      <c r="AX37" s="16"/>
      <c r="AY37" s="16"/>
      <c r="AZ37" s="16"/>
      <c r="BA37" s="27">
        <v>25</v>
      </c>
      <c r="BB37" s="27"/>
      <c r="BC37" s="27"/>
    </row>
    <row r="38" spans="1:55" ht="14.25">
      <c r="A38" s="14"/>
      <c r="B38" s="14"/>
      <c r="C38" s="14"/>
      <c r="D38" s="14"/>
      <c r="E38" s="14"/>
      <c r="F38" s="14"/>
      <c r="G38" s="14"/>
      <c r="H38" s="14"/>
      <c r="I38" s="14"/>
      <c r="J38" s="16"/>
      <c r="K38" s="16"/>
      <c r="L38" s="16"/>
      <c r="M38" s="16"/>
      <c r="N38" s="16"/>
      <c r="O38" s="16"/>
      <c r="P38" s="16"/>
      <c r="Q38" s="16"/>
      <c r="R38" s="16"/>
      <c r="S38" s="16"/>
      <c r="T38" s="16"/>
      <c r="U38" s="16"/>
      <c r="V38" s="16"/>
      <c r="W38" s="16"/>
      <c r="X38" s="16"/>
      <c r="Y38" s="16"/>
      <c r="Z38" s="16"/>
      <c r="AA38" s="14"/>
      <c r="AB38" s="14"/>
      <c r="AC38" s="14"/>
      <c r="AD38" s="14"/>
      <c r="AE38" s="14"/>
      <c r="AF38" s="14"/>
      <c r="AG38" s="14"/>
      <c r="AH38" s="14"/>
      <c r="AI38" s="14"/>
      <c r="AJ38" s="16"/>
      <c r="AK38" s="16"/>
      <c r="AL38" s="16"/>
      <c r="AM38" s="16"/>
      <c r="AN38" s="16"/>
      <c r="AO38" s="16"/>
      <c r="AP38" s="16"/>
      <c r="AQ38" s="16"/>
      <c r="AR38" s="16"/>
      <c r="AS38" s="16"/>
      <c r="AT38" s="16"/>
      <c r="AU38" s="16"/>
      <c r="AV38" s="16"/>
      <c r="AW38" s="16"/>
      <c r="AX38" s="16"/>
      <c r="AY38" s="16"/>
      <c r="AZ38" s="16"/>
      <c r="BA38" s="27">
        <v>26</v>
      </c>
      <c r="BB38" s="27"/>
      <c r="BC38" s="27"/>
    </row>
    <row r="39" spans="1:55" ht="14.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27">
        <v>27</v>
      </c>
      <c r="BB39" s="27"/>
      <c r="BC39" s="27"/>
    </row>
    <row r="40" spans="1:55" ht="14.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27">
        <v>28</v>
      </c>
      <c r="BB40" s="27"/>
      <c r="BC40" s="27"/>
    </row>
    <row r="41" spans="1:55" ht="14.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27">
        <v>29</v>
      </c>
      <c r="BB41" s="27"/>
      <c r="BC41" s="27"/>
    </row>
    <row r="42" spans="1:55" ht="14.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27">
        <v>30</v>
      </c>
      <c r="BB42" s="27"/>
      <c r="BC42" s="27"/>
    </row>
    <row r="43" spans="1:55" ht="14.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27">
        <v>31</v>
      </c>
      <c r="BB43" s="27"/>
      <c r="BC43" s="27"/>
    </row>
    <row r="44" spans="1:55" ht="14.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row>
    <row r="45" spans="1:55" ht="14.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row>
    <row r="46" spans="1:55" ht="14.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row>
    <row r="47" spans="1:55" ht="14.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row>
    <row r="48" spans="1:55" ht="14.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row>
    <row r="49" spans="1:52" ht="14.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row>
  </sheetData>
  <sheetProtection algorithmName="SHA-512" hashValue="AAfWXCaK8SKLrVMA64og+MHT2Ca++1R0aSqzEl8eNqEYZQ7hHpGAH8oDsbOpj8nVokQllChC+HzQu0IlTA7XMA==" saltValue="jSLp4hGIWTmj6imwnGXwZg==" spinCount="100000" sheet="1" selectLockedCells="1"/>
  <mergeCells count="77">
    <mergeCell ref="A1:Z1"/>
    <mergeCell ref="AA1:AZ1"/>
    <mergeCell ref="A2:Z2"/>
    <mergeCell ref="AA2:AZ2"/>
    <mergeCell ref="A3:Z3"/>
    <mergeCell ref="AA3:AZ3"/>
    <mergeCell ref="A5:Z5"/>
    <mergeCell ref="AA5:AZ5"/>
    <mergeCell ref="A6:Z6"/>
    <mergeCell ref="AA6:AZ6"/>
    <mergeCell ref="R4:T4"/>
    <mergeCell ref="AR4:AT4"/>
    <mergeCell ref="A7:Z7"/>
    <mergeCell ref="AA7:AZ7"/>
    <mergeCell ref="A8:Z8"/>
    <mergeCell ref="AA8:AZ8"/>
    <mergeCell ref="A9:Z9"/>
    <mergeCell ref="AA9:AZ9"/>
    <mergeCell ref="A10:Z10"/>
    <mergeCell ref="AA10:AZ10"/>
    <mergeCell ref="A11:L11"/>
    <mergeCell ref="M11:O11"/>
    <mergeCell ref="P11:Z11"/>
    <mergeCell ref="AA11:AL11"/>
    <mergeCell ref="AM11:AO11"/>
    <mergeCell ref="AP11:AZ11"/>
    <mergeCell ref="AP13:AZ13"/>
    <mergeCell ref="A12:L12"/>
    <mergeCell ref="M12:O12"/>
    <mergeCell ref="P12:X12"/>
    <mergeCell ref="AA12:AL12"/>
    <mergeCell ref="AM12:AO12"/>
    <mergeCell ref="AP12:AX12"/>
    <mergeCell ref="A13:L13"/>
    <mergeCell ref="M13:O13"/>
    <mergeCell ref="P13:Z13"/>
    <mergeCell ref="AA13:AL13"/>
    <mergeCell ref="AM13:AO13"/>
    <mergeCell ref="AM14:AO14"/>
    <mergeCell ref="A15:Z15"/>
    <mergeCell ref="AA15:AZ15"/>
    <mergeCell ref="A14:L14"/>
    <mergeCell ref="M14:O14"/>
    <mergeCell ref="AA14:AL14"/>
    <mergeCell ref="P14:Z14"/>
    <mergeCell ref="AP14:AZ14"/>
    <mergeCell ref="A16:Z16"/>
    <mergeCell ref="AA16:AZ16"/>
    <mergeCell ref="A17:F18"/>
    <mergeCell ref="L17:Y18"/>
    <mergeCell ref="AA17:AF18"/>
    <mergeCell ref="AH17:AJ17"/>
    <mergeCell ref="AL17:AY18"/>
    <mergeCell ref="AH18:AJ18"/>
    <mergeCell ref="G17:K17"/>
    <mergeCell ref="G18:K18"/>
    <mergeCell ref="A20:Z20"/>
    <mergeCell ref="AA20:AZ20"/>
    <mergeCell ref="A22:Z22"/>
    <mergeCell ref="AA22:AZ22"/>
    <mergeCell ref="Y23:Z23"/>
    <mergeCell ref="AY23:AZ23"/>
    <mergeCell ref="AA23:AD23"/>
    <mergeCell ref="A24:Z24"/>
    <mergeCell ref="AA24:AZ24"/>
    <mergeCell ref="Y25:Z25"/>
    <mergeCell ref="AY25:AZ25"/>
    <mergeCell ref="AA25:AD25"/>
    <mergeCell ref="A28:Z28"/>
    <mergeCell ref="AA28:AZ28"/>
    <mergeCell ref="A29:Z29"/>
    <mergeCell ref="AA29:AZ29"/>
    <mergeCell ref="A26:Z26"/>
    <mergeCell ref="AA26:AZ26"/>
    <mergeCell ref="F27:Z27"/>
    <mergeCell ref="AA27:AD27"/>
    <mergeCell ref="AF27:AZ27"/>
  </mergeCells>
  <phoneticPr fontId="7"/>
  <conditionalFormatting sqref="G17:K17">
    <cfRule type="expression" dxfId="10" priority="3">
      <formula>$Z$17=TRUE</formula>
    </cfRule>
  </conditionalFormatting>
  <conditionalFormatting sqref="G18:K18">
    <cfRule type="expression" dxfId="9" priority="2">
      <formula>$Z$18=TRUE</formula>
    </cfRule>
  </conditionalFormatting>
  <dataValidations count="6">
    <dataValidation type="list" allowBlank="1" showInputMessage="1" showErrorMessage="1" sqref="A23:D23 A25:D25" xr:uid="{00000000-0002-0000-0C00-000000000000}">
      <formula1>$BC$13:$BC$15</formula1>
    </dataValidation>
    <dataValidation type="list" allowBlank="1" showInputMessage="1" sqref="R4:T4" xr:uid="{00000000-0002-0000-0C00-000001000000}">
      <formula1>$BC$13:$BC$15</formula1>
    </dataValidation>
    <dataValidation type="list" allowBlank="1" showInputMessage="1" sqref="V4 F23 F25 N23 N25" xr:uid="{00000000-0002-0000-0C00-000002000000}">
      <formula1>$BA$13:$BA$24</formula1>
    </dataValidation>
    <dataValidation type="list" allowBlank="1" showInputMessage="1" sqref="X4" xr:uid="{00000000-0002-0000-0C00-000003000000}">
      <formula1>$BA$13:$BA$43</formula1>
    </dataValidation>
    <dataValidation type="list" allowBlank="1" showInputMessage="1" showErrorMessage="1" sqref="H23 H25 P23 P25" xr:uid="{00000000-0002-0000-0C00-000004000000}">
      <formula1>$BA$13:$BA$43</formula1>
    </dataValidation>
    <dataValidation type="list" allowBlank="1" showInputMessage="1" sqref="K23 K25 S23 S25" xr:uid="{00000000-0002-0000-0C00-000005000000}">
      <formula1>$BB$13:$BB$19</formula1>
    </dataValidation>
  </dataValidations>
  <printOptions horizontalCentered="1"/>
  <pageMargins left="0.39370078740157483" right="0.39370078740157483" top="0.39370078740157483" bottom="0.39370078740157483" header="0" footer="0"/>
  <pageSetup paperSize="9" scale="97" orientation="portrait" r:id="rId1"/>
  <headerFooter>
    <oddFooter>&amp;R&amp;D &amp;T</oddFooter>
  </headerFooter>
  <colBreaks count="1" manualBreakCount="1">
    <brk id="26"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6</xdr:col>
                    <xdr:colOff>85725</xdr:colOff>
                    <xdr:row>16</xdr:row>
                    <xdr:rowOff>76200</xdr:rowOff>
                  </from>
                  <to>
                    <xdr:col>7</xdr:col>
                    <xdr:colOff>114300</xdr:colOff>
                    <xdr:row>16</xdr:row>
                    <xdr:rowOff>323850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6</xdr:col>
                    <xdr:colOff>76200</xdr:colOff>
                    <xdr:row>17</xdr:row>
                    <xdr:rowOff>38100</xdr:rowOff>
                  </from>
                  <to>
                    <xdr:col>7</xdr:col>
                    <xdr:colOff>104775</xdr:colOff>
                    <xdr:row>17</xdr:row>
                    <xdr:rowOff>323850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E851-044E-4A5A-9C2A-B4FA7036A644}">
  <sheetPr>
    <tabColor theme="9"/>
  </sheetPr>
  <dimension ref="A1:AY64"/>
  <sheetViews>
    <sheetView view="pageBreakPreview" zoomScaleNormal="100" zoomScaleSheetLayoutView="100" workbookViewId="0">
      <selection activeCell="A9" sqref="A9:B10"/>
    </sheetView>
  </sheetViews>
  <sheetFormatPr defaultColWidth="3.875" defaultRowHeight="13.5"/>
  <cols>
    <col min="1" max="1" width="3.875" style="153"/>
    <col min="2" max="2" width="3.25" style="153" customWidth="1"/>
    <col min="3" max="3" width="4" style="153" customWidth="1"/>
    <col min="4" max="4" width="2.375" style="153" customWidth="1"/>
    <col min="5" max="5" width="3.875" style="153"/>
    <col min="6" max="6" width="1.125" style="153" customWidth="1"/>
    <col min="7" max="13" width="3.875" style="153"/>
    <col min="14" max="14" width="4.625" style="153" customWidth="1"/>
    <col min="15" max="21" width="3.875" style="153"/>
    <col min="22" max="22" width="4.75" style="153" customWidth="1"/>
    <col min="23" max="26" width="3.875" style="153"/>
    <col min="27" max="27" width="3.875" style="153" customWidth="1"/>
    <col min="28" max="28" width="2.875" style="153" customWidth="1"/>
    <col min="29" max="29" width="3.875" style="153" customWidth="1"/>
    <col min="30" max="30" width="1.875" style="153" customWidth="1"/>
    <col min="31" max="31" width="3.875" style="153" customWidth="1"/>
    <col min="32" max="32" width="3.375" style="153" customWidth="1"/>
    <col min="33" max="16384" width="3.875" style="153"/>
  </cols>
  <sheetData>
    <row r="1" spans="1:51" ht="24.75" customHeight="1">
      <c r="A1" s="2707" t="s">
        <v>2980</v>
      </c>
      <c r="B1" s="2739"/>
      <c r="C1" s="2739"/>
      <c r="D1" s="2739"/>
      <c r="E1" s="2739"/>
      <c r="F1" s="2739"/>
      <c r="G1" s="2739"/>
      <c r="H1" s="2739"/>
      <c r="I1" s="2739"/>
      <c r="J1" s="2739"/>
      <c r="K1" s="2739"/>
      <c r="L1" s="2739"/>
      <c r="M1" s="2739"/>
      <c r="N1" s="2739"/>
      <c r="O1" s="2739"/>
      <c r="P1" s="2739"/>
      <c r="Q1" s="2739"/>
      <c r="R1" s="2739"/>
      <c r="S1" s="2739"/>
      <c r="T1" s="2739"/>
      <c r="U1" s="2739"/>
      <c r="V1" s="2739"/>
      <c r="W1" s="2739"/>
      <c r="X1" s="2739"/>
      <c r="Y1" s="2739"/>
      <c r="Z1" s="2739"/>
      <c r="AA1" s="2707" t="s">
        <v>2980</v>
      </c>
      <c r="AB1" s="2708"/>
      <c r="AC1" s="2708"/>
      <c r="AD1" s="2708"/>
      <c r="AE1" s="2708"/>
      <c r="AF1" s="2708"/>
      <c r="AG1" s="2708"/>
      <c r="AH1" s="2708"/>
      <c r="AI1" s="2708"/>
      <c r="AJ1" s="2708"/>
      <c r="AK1" s="2708"/>
      <c r="AL1" s="2708"/>
      <c r="AM1" s="2708"/>
      <c r="AN1" s="2708"/>
      <c r="AO1" s="2708"/>
      <c r="AP1" s="2708"/>
      <c r="AQ1" s="2708"/>
      <c r="AR1" s="2708"/>
      <c r="AS1" s="2708"/>
      <c r="AT1" s="2708"/>
      <c r="AU1" s="2708"/>
      <c r="AV1" s="2708"/>
      <c r="AW1" s="2708"/>
      <c r="AX1" s="2708"/>
      <c r="AY1" s="2709"/>
    </row>
    <row r="2" spans="1:51" ht="24.75" customHeight="1">
      <c r="A2" s="2740"/>
      <c r="B2" s="2741"/>
      <c r="C2" s="2741"/>
      <c r="D2" s="2741"/>
      <c r="E2" s="2741"/>
      <c r="F2" s="2741"/>
      <c r="G2" s="2741"/>
      <c r="H2" s="2741"/>
      <c r="I2" s="2741"/>
      <c r="J2" s="2741"/>
      <c r="K2" s="2741"/>
      <c r="L2" s="2741"/>
      <c r="M2" s="2741"/>
      <c r="N2" s="2741"/>
      <c r="O2" s="2741"/>
      <c r="P2" s="2741"/>
      <c r="Q2" s="2741"/>
      <c r="R2" s="2741"/>
      <c r="S2" s="2741"/>
      <c r="T2" s="2741"/>
      <c r="U2" s="2741"/>
      <c r="V2" s="2741"/>
      <c r="W2" s="2741"/>
      <c r="X2" s="2741"/>
      <c r="Y2" s="2741"/>
      <c r="Z2" s="2741"/>
      <c r="AA2" s="2710"/>
      <c r="AB2" s="2711"/>
      <c r="AC2" s="2711"/>
      <c r="AD2" s="2711"/>
      <c r="AE2" s="2711"/>
      <c r="AF2" s="2711"/>
      <c r="AG2" s="2711"/>
      <c r="AH2" s="2711"/>
      <c r="AI2" s="2711"/>
      <c r="AJ2" s="2711"/>
      <c r="AK2" s="2711"/>
      <c r="AL2" s="2711"/>
      <c r="AM2" s="2711"/>
      <c r="AN2" s="2711"/>
      <c r="AO2" s="2711"/>
      <c r="AP2" s="2711"/>
      <c r="AQ2" s="2711"/>
      <c r="AR2" s="2711"/>
      <c r="AS2" s="2711"/>
      <c r="AT2" s="2711"/>
      <c r="AU2" s="2711"/>
      <c r="AV2" s="2711"/>
      <c r="AW2" s="2711"/>
      <c r="AX2" s="2711"/>
      <c r="AY2" s="2712"/>
    </row>
    <row r="3" spans="1:51" ht="24.75" customHeight="1">
      <c r="A3" s="641"/>
      <c r="B3" s="641"/>
      <c r="C3" s="641"/>
      <c r="D3" s="641"/>
      <c r="E3" s="641"/>
      <c r="F3" s="641"/>
      <c r="G3" s="641"/>
      <c r="H3" s="641"/>
      <c r="I3" s="641"/>
      <c r="J3" s="641"/>
      <c r="K3" s="641"/>
      <c r="L3" s="641"/>
      <c r="M3" s="641"/>
      <c r="N3" s="641"/>
      <c r="O3" s="641"/>
      <c r="P3" s="641"/>
      <c r="Q3" s="641"/>
      <c r="R3" s="641"/>
      <c r="S3" s="641"/>
      <c r="T3" s="641"/>
      <c r="U3" s="641"/>
      <c r="V3" s="641"/>
      <c r="W3" s="641"/>
      <c r="X3" s="641"/>
      <c r="Y3" s="641"/>
      <c r="Z3" s="642"/>
      <c r="AA3" s="641"/>
      <c r="AB3" s="641"/>
      <c r="AC3" s="641"/>
      <c r="AD3" s="641"/>
      <c r="AE3" s="641"/>
      <c r="AF3" s="641"/>
      <c r="AG3" s="641"/>
      <c r="AH3" s="641"/>
      <c r="AI3" s="641"/>
      <c r="AJ3" s="641"/>
      <c r="AK3" s="641"/>
      <c r="AL3" s="641"/>
      <c r="AM3" s="641"/>
      <c r="AN3" s="641"/>
      <c r="AO3" s="641"/>
      <c r="AP3" s="641"/>
      <c r="AQ3" s="641"/>
      <c r="AR3" s="641"/>
      <c r="AS3" s="641"/>
      <c r="AT3" s="641"/>
      <c r="AU3" s="641"/>
      <c r="AV3" s="641"/>
      <c r="AW3" s="641"/>
    </row>
    <row r="4" spans="1:51" ht="24.75" customHeight="1">
      <c r="A4" s="2742" t="s">
        <v>71</v>
      </c>
      <c r="B4" s="2742"/>
      <c r="C4" s="2742"/>
      <c r="D4" s="2715">
        <f>'01 使用承認申請書'!D4</f>
        <v>0</v>
      </c>
      <c r="E4" s="2715"/>
      <c r="F4" s="2715"/>
      <c r="G4" s="2715"/>
      <c r="H4" s="2715"/>
      <c r="I4" s="2715"/>
      <c r="J4" s="2715"/>
      <c r="K4" s="2715"/>
      <c r="L4" s="2715"/>
      <c r="M4" s="2715"/>
      <c r="N4" s="2715"/>
      <c r="O4" s="2715"/>
      <c r="P4" s="2715"/>
      <c r="Q4" s="2715"/>
      <c r="R4" s="2715"/>
      <c r="S4" s="2715"/>
      <c r="T4" s="2715"/>
      <c r="U4" s="2715"/>
      <c r="V4" s="2715"/>
      <c r="W4" s="2715"/>
      <c r="X4" s="2714" t="s">
        <v>2817</v>
      </c>
      <c r="Y4" s="2749" t="s">
        <v>2816</v>
      </c>
      <c r="Z4" s="2749"/>
      <c r="AA4" s="2742" t="s">
        <v>71</v>
      </c>
      <c r="AB4" s="2742"/>
      <c r="AC4" s="2742"/>
      <c r="AD4" s="2715" t="s">
        <v>2818</v>
      </c>
      <c r="AE4" s="2715"/>
      <c r="AF4" s="2715"/>
      <c r="AG4" s="2715"/>
      <c r="AH4" s="2715"/>
      <c r="AI4" s="2715"/>
      <c r="AJ4" s="2715"/>
      <c r="AK4" s="2715"/>
      <c r="AL4" s="2715"/>
      <c r="AM4" s="2715"/>
      <c r="AN4" s="2715"/>
      <c r="AO4" s="2715"/>
      <c r="AP4" s="2715"/>
      <c r="AQ4" s="2715"/>
      <c r="AR4" s="2715"/>
      <c r="AS4" s="2715"/>
      <c r="AT4" s="2715"/>
      <c r="AU4" s="2715"/>
      <c r="AV4" s="2716"/>
      <c r="AW4" s="2714" t="s">
        <v>2817</v>
      </c>
      <c r="AX4" s="2713" t="s">
        <v>2816</v>
      </c>
      <c r="AY4" s="2713"/>
    </row>
    <row r="5" spans="1:51" ht="24.75" customHeight="1">
      <c r="A5" s="2742" t="s">
        <v>69</v>
      </c>
      <c r="B5" s="2742"/>
      <c r="C5" s="2742"/>
      <c r="D5" s="640"/>
      <c r="E5" s="2769" t="str">
        <f>'01 使用承認申請書'!B12</f>
        <v>令和</v>
      </c>
      <c r="F5" s="2769"/>
      <c r="G5" s="2769"/>
      <c r="H5" s="638" t="s">
        <v>14</v>
      </c>
      <c r="I5" s="640">
        <f>'01 使用承認申請書'!C14</f>
        <v>0</v>
      </c>
      <c r="J5" s="638" t="s">
        <v>13</v>
      </c>
      <c r="K5" s="640">
        <f>'01 使用承認申請書'!F14</f>
        <v>0</v>
      </c>
      <c r="L5" s="638" t="s">
        <v>12</v>
      </c>
      <c r="M5" s="638" t="s">
        <v>30</v>
      </c>
      <c r="N5" s="639">
        <f>'01 使用承認申請書'!J14</f>
        <v>0</v>
      </c>
      <c r="O5" s="638" t="s">
        <v>29</v>
      </c>
      <c r="P5" s="638" t="s">
        <v>27</v>
      </c>
      <c r="Q5" s="640">
        <f>'01 使用承認申請書'!C16</f>
        <v>0</v>
      </c>
      <c r="R5" s="638" t="s">
        <v>13</v>
      </c>
      <c r="S5" s="640">
        <f>'01 使用承認申請書'!F16</f>
        <v>0</v>
      </c>
      <c r="T5" s="638" t="s">
        <v>12</v>
      </c>
      <c r="U5" s="638" t="s">
        <v>30</v>
      </c>
      <c r="V5" s="639">
        <f>'01 使用承認申請書'!J16</f>
        <v>0</v>
      </c>
      <c r="W5" s="638" t="s">
        <v>29</v>
      </c>
      <c r="X5" s="2714"/>
      <c r="Y5" s="2749"/>
      <c r="Z5" s="2749"/>
      <c r="AA5" s="2742" t="s">
        <v>69</v>
      </c>
      <c r="AB5" s="2742"/>
      <c r="AC5" s="2742"/>
      <c r="AD5" s="640">
        <v>7</v>
      </c>
      <c r="AE5" s="638" t="s">
        <v>14</v>
      </c>
      <c r="AF5" s="640">
        <v>1</v>
      </c>
      <c r="AG5" s="638" t="s">
        <v>13</v>
      </c>
      <c r="AH5" s="640">
        <v>29</v>
      </c>
      <c r="AI5" s="638" t="s">
        <v>12</v>
      </c>
      <c r="AJ5" s="638" t="s">
        <v>30</v>
      </c>
      <c r="AK5" s="639" t="s">
        <v>2935</v>
      </c>
      <c r="AL5" s="638" t="s">
        <v>29</v>
      </c>
      <c r="AM5" s="638" t="s">
        <v>27</v>
      </c>
      <c r="AN5" s="640">
        <v>1</v>
      </c>
      <c r="AO5" s="638" t="s">
        <v>13</v>
      </c>
      <c r="AP5" s="640">
        <v>30</v>
      </c>
      <c r="AQ5" s="638" t="s">
        <v>12</v>
      </c>
      <c r="AR5" s="638" t="s">
        <v>30</v>
      </c>
      <c r="AS5" s="639" t="s">
        <v>2936</v>
      </c>
      <c r="AT5" s="638" t="s">
        <v>29</v>
      </c>
      <c r="AU5" s="637"/>
      <c r="AV5" s="636"/>
      <c r="AW5" s="2714"/>
      <c r="AX5" s="2713"/>
      <c r="AY5" s="2713"/>
    </row>
    <row r="6" spans="1:51" ht="24.75" customHeight="1">
      <c r="A6" s="152"/>
      <c r="B6" s="152"/>
      <c r="C6" s="152"/>
      <c r="D6" s="607"/>
      <c r="E6" s="607"/>
      <c r="F6" s="607"/>
      <c r="G6" s="607"/>
      <c r="H6" s="608"/>
      <c r="I6" s="404"/>
      <c r="J6" s="608"/>
      <c r="K6" s="404"/>
      <c r="L6" s="608"/>
      <c r="M6" s="608"/>
      <c r="N6" s="404"/>
      <c r="O6" s="608"/>
      <c r="P6" s="608"/>
      <c r="Q6" s="404"/>
      <c r="R6" s="608"/>
      <c r="S6" s="404"/>
      <c r="T6" s="608"/>
      <c r="U6" s="608"/>
      <c r="V6" s="404"/>
      <c r="W6" s="608"/>
      <c r="X6" s="635"/>
      <c r="Y6" s="633"/>
      <c r="Z6" s="633"/>
      <c r="AA6" s="152"/>
      <c r="AB6" s="152"/>
      <c r="AC6" s="152"/>
      <c r="AD6" s="607"/>
      <c r="AE6" s="608"/>
      <c r="AF6" s="404"/>
      <c r="AG6" s="608"/>
      <c r="AH6" s="404"/>
      <c r="AI6" s="608"/>
      <c r="AJ6" s="608"/>
      <c r="AK6" s="404"/>
      <c r="AL6" s="608"/>
      <c r="AM6" s="608"/>
      <c r="AN6" s="404"/>
      <c r="AO6" s="608"/>
      <c r="AP6" s="404"/>
      <c r="AQ6" s="608"/>
      <c r="AR6" s="608"/>
      <c r="AS6" s="404"/>
      <c r="AT6" s="608"/>
      <c r="AU6" s="635"/>
      <c r="AV6" s="634"/>
      <c r="AW6" s="633"/>
    </row>
    <row r="7" spans="1:51" ht="24.75" customHeight="1">
      <c r="A7" s="2748" t="s">
        <v>2815</v>
      </c>
      <c r="B7" s="2748"/>
      <c r="C7" s="2748"/>
      <c r="D7" s="2748"/>
      <c r="E7" s="2748"/>
      <c r="F7" s="2748"/>
      <c r="G7" s="2748"/>
      <c r="H7" s="2748"/>
      <c r="I7" s="2748"/>
      <c r="J7" s="2748"/>
      <c r="K7" s="2748"/>
      <c r="L7" s="2748"/>
      <c r="M7" s="2748"/>
      <c r="N7" s="2748"/>
      <c r="O7" s="2748"/>
      <c r="P7" s="2748"/>
      <c r="Q7" s="2748"/>
      <c r="R7" s="2748"/>
      <c r="S7" s="2748"/>
      <c r="T7" s="2748"/>
      <c r="U7" s="2748"/>
      <c r="V7" s="2748"/>
      <c r="W7" s="2748"/>
      <c r="X7" s="2748"/>
      <c r="Y7" s="2748"/>
      <c r="Z7" s="2748"/>
      <c r="AA7" s="2748" t="s">
        <v>2815</v>
      </c>
      <c r="AB7" s="2748"/>
      <c r="AC7" s="2748"/>
      <c r="AD7" s="2748"/>
      <c r="AE7" s="2748"/>
      <c r="AF7" s="2748"/>
      <c r="AG7" s="2748"/>
      <c r="AH7" s="2748"/>
      <c r="AI7" s="2748"/>
      <c r="AJ7" s="2748"/>
      <c r="AK7" s="2748"/>
      <c r="AL7" s="2748"/>
      <c r="AM7" s="2748"/>
      <c r="AN7" s="2748"/>
      <c r="AO7" s="2748"/>
      <c r="AP7" s="2748"/>
      <c r="AQ7" s="2748"/>
      <c r="AR7" s="2748"/>
      <c r="AS7" s="2748"/>
      <c r="AT7" s="2748"/>
      <c r="AU7" s="2748"/>
      <c r="AV7" s="2748"/>
      <c r="AW7" s="2748"/>
    </row>
    <row r="8" spans="1:51" s="171" customFormat="1" ht="24.75" customHeight="1">
      <c r="A8" s="2743" t="s">
        <v>2814</v>
      </c>
      <c r="B8" s="2743"/>
      <c r="C8" s="2743"/>
      <c r="D8" s="2743"/>
      <c r="E8" s="2745" t="s">
        <v>2813</v>
      </c>
      <c r="F8" s="2746"/>
      <c r="G8" s="2747"/>
      <c r="H8" s="2743" t="s">
        <v>2812</v>
      </c>
      <c r="I8" s="2743"/>
      <c r="J8" s="2743"/>
      <c r="K8" s="2743"/>
      <c r="L8" s="2743"/>
      <c r="M8" s="2743"/>
      <c r="N8" s="2743"/>
      <c r="O8" s="2743"/>
      <c r="P8" s="2743"/>
      <c r="Q8" s="2743"/>
      <c r="R8" s="2743"/>
      <c r="S8" s="2743"/>
      <c r="T8" s="2743"/>
      <c r="U8" s="2743"/>
      <c r="V8" s="2743"/>
      <c r="W8" s="2743" t="s">
        <v>2742</v>
      </c>
      <c r="X8" s="2743"/>
      <c r="Y8" s="2743"/>
      <c r="Z8" s="2743"/>
      <c r="AA8" s="2743" t="s">
        <v>2814</v>
      </c>
      <c r="AB8" s="2743"/>
      <c r="AC8" s="2743"/>
      <c r="AD8" s="2743"/>
      <c r="AE8" s="2745" t="s">
        <v>2813</v>
      </c>
      <c r="AF8" s="2746"/>
      <c r="AG8" s="2747"/>
      <c r="AH8" s="2743" t="s">
        <v>2812</v>
      </c>
      <c r="AI8" s="2743"/>
      <c r="AJ8" s="2743"/>
      <c r="AK8" s="2743"/>
      <c r="AL8" s="2743"/>
      <c r="AM8" s="2743"/>
      <c r="AN8" s="2743"/>
      <c r="AO8" s="2743"/>
      <c r="AP8" s="2743"/>
      <c r="AQ8" s="2743"/>
      <c r="AR8" s="2743"/>
      <c r="AS8" s="2743"/>
      <c r="AT8" s="2743"/>
      <c r="AU8" s="2743"/>
      <c r="AV8" s="2743"/>
      <c r="AW8" s="2743" t="s">
        <v>2742</v>
      </c>
      <c r="AX8" s="2743"/>
      <c r="AY8" s="2743"/>
    </row>
    <row r="9" spans="1:51" s="171" customFormat="1" ht="24.75" customHeight="1">
      <c r="A9" s="1072"/>
      <c r="B9" s="1073"/>
      <c r="C9" s="2744" t="s">
        <v>2811</v>
      </c>
      <c r="D9" s="2727"/>
      <c r="E9" s="1072"/>
      <c r="F9" s="1073"/>
      <c r="G9" s="2727" t="s">
        <v>2810</v>
      </c>
      <c r="H9" s="2728" t="s">
        <v>2809</v>
      </c>
      <c r="I9" s="2729"/>
      <c r="J9" s="632"/>
      <c r="K9" s="621" t="s">
        <v>2802</v>
      </c>
      <c r="L9" s="2729" t="s">
        <v>2808</v>
      </c>
      <c r="M9" s="2729"/>
      <c r="N9" s="632"/>
      <c r="O9" s="621" t="s">
        <v>2802</v>
      </c>
      <c r="P9" s="2729" t="s">
        <v>2807</v>
      </c>
      <c r="Q9" s="2729"/>
      <c r="R9" s="632"/>
      <c r="S9" s="620" t="s">
        <v>2802</v>
      </c>
      <c r="T9" s="2757" t="s">
        <v>2806</v>
      </c>
      <c r="U9" s="2759">
        <f>J9+J10+N9+N10+R9+R10</f>
        <v>0</v>
      </c>
      <c r="V9" s="2755" t="s">
        <v>2802</v>
      </c>
      <c r="W9" s="2750"/>
      <c r="X9" s="2750"/>
      <c r="Y9" s="2750"/>
      <c r="Z9" s="2751"/>
      <c r="AA9" s="1072">
        <v>3</v>
      </c>
      <c r="AB9" s="1073"/>
      <c r="AC9" s="2744" t="s">
        <v>2811</v>
      </c>
      <c r="AD9" s="2727"/>
      <c r="AE9" s="1072">
        <v>5</v>
      </c>
      <c r="AF9" s="1073"/>
      <c r="AG9" s="2727" t="s">
        <v>2810</v>
      </c>
      <c r="AH9" s="2728" t="s">
        <v>2809</v>
      </c>
      <c r="AI9" s="2729"/>
      <c r="AJ9" s="632">
        <v>3</v>
      </c>
      <c r="AK9" s="621" t="s">
        <v>2802</v>
      </c>
      <c r="AL9" s="2729" t="s">
        <v>2808</v>
      </c>
      <c r="AM9" s="2729"/>
      <c r="AN9" s="632">
        <v>3</v>
      </c>
      <c r="AO9" s="621" t="s">
        <v>2802</v>
      </c>
      <c r="AP9" s="2729" t="s">
        <v>2807</v>
      </c>
      <c r="AQ9" s="2729"/>
      <c r="AR9" s="632"/>
      <c r="AS9" s="620" t="s">
        <v>2802</v>
      </c>
      <c r="AT9" s="2757" t="s">
        <v>2806</v>
      </c>
      <c r="AU9" s="2759">
        <f>AJ9+AJ10+AN9+AN10+AR9+AR10</f>
        <v>9</v>
      </c>
      <c r="AV9" s="2755" t="s">
        <v>2802</v>
      </c>
      <c r="AW9" s="2750"/>
      <c r="AX9" s="2750"/>
      <c r="AY9" s="2750"/>
    </row>
    <row r="10" spans="1:51" s="171" customFormat="1" ht="24.75" customHeight="1">
      <c r="A10" s="1075"/>
      <c r="B10" s="1076"/>
      <c r="C10" s="2705"/>
      <c r="D10" s="2706"/>
      <c r="E10" s="1075"/>
      <c r="F10" s="1076"/>
      <c r="G10" s="2706"/>
      <c r="H10" s="2754" t="s">
        <v>2805</v>
      </c>
      <c r="I10" s="2721"/>
      <c r="J10" s="615"/>
      <c r="K10" s="612" t="s">
        <v>2802</v>
      </c>
      <c r="L10" s="2721" t="s">
        <v>2804</v>
      </c>
      <c r="M10" s="2721"/>
      <c r="N10" s="615"/>
      <c r="O10" s="612" t="s">
        <v>2802</v>
      </c>
      <c r="P10" s="2721" t="s">
        <v>2803</v>
      </c>
      <c r="Q10" s="2721"/>
      <c r="R10" s="615"/>
      <c r="S10" s="614" t="s">
        <v>2802</v>
      </c>
      <c r="T10" s="2758"/>
      <c r="U10" s="2760"/>
      <c r="V10" s="2756"/>
      <c r="W10" s="2752"/>
      <c r="X10" s="2752"/>
      <c r="Y10" s="2752"/>
      <c r="Z10" s="2753"/>
      <c r="AA10" s="1075"/>
      <c r="AB10" s="1076"/>
      <c r="AC10" s="2705"/>
      <c r="AD10" s="2706"/>
      <c r="AE10" s="1075"/>
      <c r="AF10" s="1076"/>
      <c r="AG10" s="2706"/>
      <c r="AH10" s="2754" t="s">
        <v>2805</v>
      </c>
      <c r="AI10" s="2721"/>
      <c r="AJ10" s="615">
        <v>3</v>
      </c>
      <c r="AK10" s="612" t="s">
        <v>2802</v>
      </c>
      <c r="AL10" s="2721" t="s">
        <v>2804</v>
      </c>
      <c r="AM10" s="2721"/>
      <c r="AN10" s="615"/>
      <c r="AO10" s="612" t="s">
        <v>2802</v>
      </c>
      <c r="AP10" s="2721" t="s">
        <v>2803</v>
      </c>
      <c r="AQ10" s="2721"/>
      <c r="AR10" s="615"/>
      <c r="AS10" s="614" t="s">
        <v>2802</v>
      </c>
      <c r="AT10" s="2758"/>
      <c r="AU10" s="2760"/>
      <c r="AV10" s="2756"/>
      <c r="AW10" s="2752"/>
      <c r="AX10" s="2752"/>
      <c r="AY10" s="2752"/>
    </row>
    <row r="11" spans="1:51" s="171" customFormat="1" ht="24.75" customHeight="1">
      <c r="A11" s="1090" t="s">
        <v>2801</v>
      </c>
      <c r="B11" s="1091"/>
      <c r="C11" s="1091"/>
      <c r="D11" s="1091"/>
      <c r="E11" s="1091"/>
      <c r="F11" s="1091"/>
      <c r="G11" s="1091"/>
      <c r="H11" s="1091"/>
      <c r="I11" s="1091"/>
      <c r="J11" s="1091"/>
      <c r="K11" s="1091"/>
      <c r="L11" s="1091"/>
      <c r="M11" s="1091"/>
      <c r="N11" s="1091"/>
      <c r="O11" s="1091"/>
      <c r="P11" s="1091"/>
      <c r="Q11" s="1091"/>
      <c r="R11" s="1091"/>
      <c r="S11" s="1091"/>
      <c r="T11" s="1091"/>
      <c r="U11" s="1091"/>
      <c r="V11" s="1091"/>
      <c r="W11" s="1091"/>
      <c r="X11" s="1091"/>
      <c r="Y11" s="1091"/>
      <c r="Z11" s="1092"/>
      <c r="AA11" s="1090" t="s">
        <v>2801</v>
      </c>
      <c r="AB11" s="1091"/>
      <c r="AC11" s="1091"/>
      <c r="AD11" s="1091"/>
      <c r="AE11" s="1091"/>
      <c r="AF11" s="1091"/>
      <c r="AG11" s="1091"/>
      <c r="AH11" s="1091"/>
      <c r="AI11" s="1091"/>
      <c r="AJ11" s="1091"/>
      <c r="AK11" s="1091"/>
      <c r="AL11" s="1091"/>
      <c r="AM11" s="1091"/>
      <c r="AN11" s="1091"/>
      <c r="AO11" s="1091"/>
      <c r="AP11" s="1091"/>
      <c r="AQ11" s="1091"/>
      <c r="AR11" s="1091"/>
      <c r="AS11" s="1091"/>
      <c r="AT11" s="1091"/>
      <c r="AU11" s="1091"/>
      <c r="AV11" s="1091"/>
      <c r="AW11" s="1091"/>
      <c r="AX11" s="1091"/>
      <c r="AY11" s="1092"/>
    </row>
    <row r="12" spans="1:51" s="171" customFormat="1" ht="24.75" customHeight="1">
      <c r="A12" s="2770"/>
      <c r="B12" s="2750"/>
      <c r="C12" s="2750"/>
      <c r="D12" s="2750"/>
      <c r="E12" s="2750"/>
      <c r="F12" s="2750"/>
      <c r="G12" s="2750"/>
      <c r="H12" s="2750"/>
      <c r="I12" s="2750"/>
      <c r="J12" s="2750"/>
      <c r="K12" s="2750"/>
      <c r="L12" s="2750"/>
      <c r="M12" s="2750"/>
      <c r="N12" s="2750"/>
      <c r="O12" s="2750"/>
      <c r="P12" s="2750"/>
      <c r="Q12" s="2750"/>
      <c r="R12" s="2750"/>
      <c r="S12" s="2750"/>
      <c r="T12" s="2750"/>
      <c r="U12" s="2750"/>
      <c r="V12" s="2750"/>
      <c r="W12" s="2750"/>
      <c r="X12" s="2750"/>
      <c r="Y12" s="2750"/>
      <c r="Z12" s="2751"/>
      <c r="AA12" s="2730" t="s">
        <v>2800</v>
      </c>
      <c r="AB12" s="2731"/>
      <c r="AC12" s="2731"/>
      <c r="AD12" s="2731"/>
      <c r="AE12" s="2731"/>
      <c r="AF12" s="2731"/>
      <c r="AG12" s="2731"/>
      <c r="AH12" s="2731"/>
      <c r="AI12" s="2731"/>
      <c r="AJ12" s="2731"/>
      <c r="AK12" s="2731"/>
      <c r="AL12" s="2731"/>
      <c r="AM12" s="2731"/>
      <c r="AN12" s="2731"/>
      <c r="AO12" s="2731"/>
      <c r="AP12" s="2731"/>
      <c r="AQ12" s="2731"/>
      <c r="AR12" s="2731"/>
      <c r="AS12" s="2731"/>
      <c r="AT12" s="2731"/>
      <c r="AU12" s="2731"/>
      <c r="AV12" s="2731"/>
      <c r="AW12" s="2731"/>
      <c r="AX12" s="2731"/>
      <c r="AY12" s="2732"/>
    </row>
    <row r="13" spans="1:51" s="171" customFormat="1" ht="24.75" customHeight="1">
      <c r="A13" s="2768"/>
      <c r="B13" s="2752"/>
      <c r="C13" s="2752"/>
      <c r="D13" s="2752"/>
      <c r="E13" s="2752"/>
      <c r="F13" s="2752"/>
      <c r="G13" s="2752"/>
      <c r="H13" s="2752"/>
      <c r="I13" s="2752"/>
      <c r="J13" s="2752"/>
      <c r="K13" s="2752"/>
      <c r="L13" s="2752"/>
      <c r="M13" s="2752"/>
      <c r="N13" s="2752"/>
      <c r="O13" s="2752"/>
      <c r="P13" s="2752"/>
      <c r="Q13" s="2752"/>
      <c r="R13" s="2752"/>
      <c r="S13" s="2752"/>
      <c r="T13" s="2752"/>
      <c r="U13" s="2752"/>
      <c r="V13" s="2752"/>
      <c r="W13" s="2752"/>
      <c r="X13" s="2752"/>
      <c r="Y13" s="2752"/>
      <c r="Z13" s="2753"/>
      <c r="AA13" s="2733"/>
      <c r="AB13" s="2734"/>
      <c r="AC13" s="2734"/>
      <c r="AD13" s="2734"/>
      <c r="AE13" s="2734"/>
      <c r="AF13" s="2734"/>
      <c r="AG13" s="2734"/>
      <c r="AH13" s="2734"/>
      <c r="AI13" s="2734"/>
      <c r="AJ13" s="2734"/>
      <c r="AK13" s="2734"/>
      <c r="AL13" s="2734"/>
      <c r="AM13" s="2734"/>
      <c r="AN13" s="2734"/>
      <c r="AO13" s="2734"/>
      <c r="AP13" s="2734"/>
      <c r="AQ13" s="2734"/>
      <c r="AR13" s="2734"/>
      <c r="AS13" s="2734"/>
      <c r="AT13" s="2734"/>
      <c r="AU13" s="2734"/>
      <c r="AV13" s="2734"/>
      <c r="AW13" s="2734"/>
      <c r="AX13" s="2734"/>
      <c r="AY13" s="2735"/>
    </row>
    <row r="14" spans="1:51" s="171" customFormat="1" ht="24.75" customHeight="1">
      <c r="A14" s="203" t="s">
        <v>2799</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t="s">
        <v>2799</v>
      </c>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row>
    <row r="15" spans="1:51" s="171" customFormat="1" ht="24.75" customHeight="1">
      <c r="A15" s="203" t="s">
        <v>2798</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t="s">
        <v>2798</v>
      </c>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row>
    <row r="16" spans="1:51" s="171" customFormat="1" ht="24.75" customHeight="1">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row>
    <row r="17" spans="1:51" s="171" customFormat="1" ht="24.75" customHeight="1">
      <c r="A17" s="2748" t="s">
        <v>2797</v>
      </c>
      <c r="B17" s="2748"/>
      <c r="C17" s="2748"/>
      <c r="D17" s="2748"/>
      <c r="E17" s="2748"/>
      <c r="F17" s="2748"/>
      <c r="G17" s="2748"/>
      <c r="H17" s="2748"/>
      <c r="I17" s="2748"/>
      <c r="J17" s="2748"/>
      <c r="K17" s="2748"/>
      <c r="L17" s="2748"/>
      <c r="M17" s="2748"/>
      <c r="N17" s="2748"/>
      <c r="O17" s="2748"/>
      <c r="P17" s="2748"/>
      <c r="Q17" s="2748"/>
      <c r="R17" s="2748"/>
      <c r="S17" s="2748"/>
      <c r="T17" s="2748"/>
      <c r="U17" s="2748"/>
      <c r="V17" s="2748"/>
      <c r="W17" s="2748"/>
      <c r="X17" s="2748"/>
      <c r="Y17" s="2748"/>
      <c r="Z17" s="2748"/>
      <c r="AA17" s="2748" t="s">
        <v>2797</v>
      </c>
      <c r="AB17" s="2748"/>
      <c r="AC17" s="2748"/>
      <c r="AD17" s="2748"/>
      <c r="AE17" s="2748"/>
      <c r="AF17" s="2748"/>
      <c r="AG17" s="2748"/>
      <c r="AH17" s="2748"/>
      <c r="AI17" s="2748"/>
      <c r="AJ17" s="2748"/>
      <c r="AK17" s="2748"/>
      <c r="AL17" s="2748"/>
      <c r="AM17" s="2748"/>
      <c r="AN17" s="2748"/>
      <c r="AO17" s="2748"/>
      <c r="AP17" s="2748"/>
      <c r="AQ17" s="2748"/>
      <c r="AR17" s="2748"/>
      <c r="AS17" s="2748"/>
      <c r="AT17" s="2748"/>
      <c r="AU17" s="2748"/>
      <c r="AV17" s="2748"/>
      <c r="AW17" s="2748"/>
    </row>
    <row r="18" spans="1:51" s="171" customFormat="1" ht="24.75" customHeight="1">
      <c r="A18" s="2725" t="s">
        <v>2796</v>
      </c>
      <c r="B18" s="618"/>
      <c r="C18" s="617" t="s">
        <v>2795</v>
      </c>
      <c r="D18" s="2725" t="s">
        <v>2794</v>
      </c>
      <c r="E18" s="2765"/>
      <c r="F18" s="2766"/>
      <c r="G18" s="2766"/>
      <c r="H18" s="2766"/>
      <c r="I18" s="2766"/>
      <c r="J18" s="2766"/>
      <c r="K18" s="2766"/>
      <c r="L18" s="2766"/>
      <c r="M18" s="2766"/>
      <c r="N18" s="2766"/>
      <c r="O18" s="2766"/>
      <c r="P18" s="2766"/>
      <c r="Q18" s="2766"/>
      <c r="R18" s="2766"/>
      <c r="S18" s="2766"/>
      <c r="T18" s="2766"/>
      <c r="U18" s="2766"/>
      <c r="V18" s="2766"/>
      <c r="W18" s="2766"/>
      <c r="X18" s="2766"/>
      <c r="Y18" s="2766"/>
      <c r="Z18" s="2767"/>
      <c r="AA18" s="2725" t="s">
        <v>2796</v>
      </c>
      <c r="AB18" s="618"/>
      <c r="AC18" s="617" t="s">
        <v>2795</v>
      </c>
      <c r="AD18" s="2725" t="s">
        <v>2794</v>
      </c>
      <c r="AE18" s="2736" t="s">
        <v>2793</v>
      </c>
      <c r="AF18" s="2717"/>
      <c r="AG18" s="2717"/>
      <c r="AH18" s="2717"/>
      <c r="AI18" s="2717"/>
      <c r="AJ18" s="2717"/>
      <c r="AK18" s="2717"/>
      <c r="AL18" s="2717"/>
      <c r="AM18" s="2717"/>
      <c r="AN18" s="2717"/>
      <c r="AO18" s="2717"/>
      <c r="AP18" s="2717"/>
      <c r="AQ18" s="2717"/>
      <c r="AR18" s="2717"/>
      <c r="AS18" s="2717"/>
      <c r="AT18" s="2717"/>
      <c r="AU18" s="2717"/>
      <c r="AV18" s="2717"/>
      <c r="AW18" s="2717"/>
      <c r="AX18" s="2717"/>
      <c r="AY18" s="2718"/>
    </row>
    <row r="19" spans="1:51" s="171" customFormat="1" ht="24.75" customHeight="1">
      <c r="A19" s="2726"/>
      <c r="B19" s="611"/>
      <c r="C19" s="631" t="s">
        <v>2792</v>
      </c>
      <c r="D19" s="2726"/>
      <c r="E19" s="2768"/>
      <c r="F19" s="2752"/>
      <c r="G19" s="2752"/>
      <c r="H19" s="2752"/>
      <c r="I19" s="2752"/>
      <c r="J19" s="2752"/>
      <c r="K19" s="2752"/>
      <c r="L19" s="2752"/>
      <c r="M19" s="2752"/>
      <c r="N19" s="2752"/>
      <c r="O19" s="2752"/>
      <c r="P19" s="2752"/>
      <c r="Q19" s="2752"/>
      <c r="R19" s="2752"/>
      <c r="S19" s="2752"/>
      <c r="T19" s="2752"/>
      <c r="U19" s="2752"/>
      <c r="V19" s="2752"/>
      <c r="W19" s="2752"/>
      <c r="X19" s="2752"/>
      <c r="Y19" s="2752"/>
      <c r="Z19" s="2753"/>
      <c r="AA19" s="2726"/>
      <c r="AB19" s="611"/>
      <c r="AC19" s="631" t="s">
        <v>2792</v>
      </c>
      <c r="AD19" s="2726"/>
      <c r="AE19" s="2737"/>
      <c r="AF19" s="2704"/>
      <c r="AG19" s="2704"/>
      <c r="AH19" s="2704"/>
      <c r="AI19" s="2704"/>
      <c r="AJ19" s="2704"/>
      <c r="AK19" s="2704"/>
      <c r="AL19" s="2704"/>
      <c r="AM19" s="2704"/>
      <c r="AN19" s="2704"/>
      <c r="AO19" s="2704"/>
      <c r="AP19" s="2704"/>
      <c r="AQ19" s="2704"/>
      <c r="AR19" s="2704"/>
      <c r="AS19" s="2704"/>
      <c r="AT19" s="2704"/>
      <c r="AU19" s="2704"/>
      <c r="AV19" s="2704"/>
      <c r="AW19" s="2704"/>
      <c r="AX19" s="2704"/>
      <c r="AY19" s="2738"/>
    </row>
    <row r="20" spans="1:51" s="171" customFormat="1" ht="24.75" customHeight="1">
      <c r="A20" s="203"/>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row>
    <row r="21" spans="1:51" s="171" customFormat="1" ht="24.75" customHeight="1">
      <c r="A21" s="2748" t="s">
        <v>2791</v>
      </c>
      <c r="B21" s="2748"/>
      <c r="C21" s="2748"/>
      <c r="D21" s="2748"/>
      <c r="E21" s="2748"/>
      <c r="F21" s="2748"/>
      <c r="G21" s="2748"/>
      <c r="H21" s="2748"/>
      <c r="I21" s="2748"/>
      <c r="J21" s="2748"/>
      <c r="K21" s="2748"/>
      <c r="L21" s="2748"/>
      <c r="M21" s="2748"/>
      <c r="N21" s="2748"/>
      <c r="O21" s="2748"/>
      <c r="P21" s="2748"/>
      <c r="Q21" s="2748"/>
      <c r="R21" s="2748"/>
      <c r="S21" s="2748"/>
      <c r="T21" s="2748"/>
      <c r="U21" s="2748"/>
      <c r="V21" s="2748"/>
      <c r="W21" s="2748"/>
      <c r="X21" s="2748"/>
      <c r="Y21" s="2748"/>
      <c r="Z21" s="2748"/>
      <c r="AA21" s="2748" t="s">
        <v>2791</v>
      </c>
      <c r="AB21" s="2748"/>
      <c r="AC21" s="2748"/>
      <c r="AD21" s="2748"/>
      <c r="AE21" s="2748"/>
      <c r="AF21" s="2748"/>
      <c r="AG21" s="2748"/>
      <c r="AH21" s="2748"/>
      <c r="AI21" s="2748"/>
      <c r="AJ21" s="2748"/>
      <c r="AK21" s="2748"/>
      <c r="AL21" s="2748"/>
      <c r="AM21" s="2748"/>
      <c r="AN21" s="2748"/>
      <c r="AO21" s="2748"/>
      <c r="AP21" s="2748"/>
      <c r="AQ21" s="2748"/>
      <c r="AR21" s="2748"/>
      <c r="AS21" s="2748"/>
      <c r="AT21" s="2748"/>
      <c r="AU21" s="2748"/>
      <c r="AV21" s="2748"/>
      <c r="AW21" s="2748"/>
    </row>
    <row r="22" spans="1:51" s="171" customFormat="1" ht="24.75" customHeight="1">
      <c r="A22" s="2722" t="s">
        <v>2790</v>
      </c>
      <c r="B22" s="621"/>
      <c r="C22" s="2724" t="s">
        <v>2789</v>
      </c>
      <c r="D22" s="2724"/>
      <c r="E22" s="2724"/>
      <c r="F22" s="2724"/>
      <c r="G22" s="2724"/>
      <c r="H22" s="2724"/>
      <c r="I22" s="621"/>
      <c r="J22" s="2724" t="s">
        <v>2788</v>
      </c>
      <c r="K22" s="2724"/>
      <c r="L22" s="2724"/>
      <c r="M22" s="2724"/>
      <c r="N22" s="621"/>
      <c r="O22" s="2724"/>
      <c r="P22" s="2724"/>
      <c r="Q22" s="621"/>
      <c r="R22" s="2725" t="s">
        <v>2787</v>
      </c>
      <c r="S22" s="630"/>
      <c r="T22" s="626" t="s">
        <v>2784</v>
      </c>
      <c r="U22" s="630"/>
      <c r="V22" s="626" t="s">
        <v>2783</v>
      </c>
      <c r="W22" s="626"/>
      <c r="X22" s="626"/>
      <c r="Y22" s="626"/>
      <c r="Z22" s="629"/>
      <c r="AA22" s="2722" t="s">
        <v>2790</v>
      </c>
      <c r="AB22" s="621"/>
      <c r="AC22" s="2724" t="s">
        <v>2789</v>
      </c>
      <c r="AD22" s="2724"/>
      <c r="AE22" s="2724"/>
      <c r="AF22" s="621"/>
      <c r="AG22" s="2724" t="s">
        <v>2788</v>
      </c>
      <c r="AH22" s="2724"/>
      <c r="AI22" s="2724"/>
      <c r="AJ22" s="2724"/>
      <c r="AK22" s="621"/>
      <c r="AL22" s="2724"/>
      <c r="AM22" s="2724"/>
      <c r="AN22" s="621"/>
      <c r="AO22" s="2725" t="s">
        <v>2787</v>
      </c>
      <c r="AP22" s="628">
        <v>12</v>
      </c>
      <c r="AQ22" s="626" t="s">
        <v>2784</v>
      </c>
      <c r="AR22" s="627">
        <v>15</v>
      </c>
      <c r="AS22" s="626" t="s">
        <v>2783</v>
      </c>
      <c r="AT22" s="626"/>
      <c r="AU22" s="626"/>
      <c r="AV22" s="626"/>
      <c r="AW22" s="626"/>
      <c r="AX22" s="621"/>
      <c r="AY22" s="620"/>
    </row>
    <row r="23" spans="1:51" s="171" customFormat="1" ht="24.75" customHeight="1">
      <c r="A23" s="2723"/>
      <c r="B23" s="612"/>
      <c r="C23" s="2763" t="s">
        <v>2786</v>
      </c>
      <c r="D23" s="2763"/>
      <c r="E23" s="2763"/>
      <c r="F23" s="2763"/>
      <c r="G23" s="2763"/>
      <c r="H23" s="2763"/>
      <c r="I23" s="612"/>
      <c r="J23" s="2704" t="s">
        <v>2777</v>
      </c>
      <c r="K23" s="2704"/>
      <c r="L23" s="624" t="s">
        <v>2741</v>
      </c>
      <c r="M23" s="2764"/>
      <c r="N23" s="2764"/>
      <c r="O23" s="2764"/>
      <c r="P23" s="2764"/>
      <c r="Q23" s="612" t="s">
        <v>2740</v>
      </c>
      <c r="R23" s="2726"/>
      <c r="S23" s="610"/>
      <c r="T23" s="610"/>
      <c r="U23" s="610"/>
      <c r="V23" s="610" t="s">
        <v>2785</v>
      </c>
      <c r="W23" s="625"/>
      <c r="X23" s="610" t="s">
        <v>2784</v>
      </c>
      <c r="Y23" s="625"/>
      <c r="Z23" s="609" t="s">
        <v>2783</v>
      </c>
      <c r="AA23" s="2723"/>
      <c r="AB23" s="612"/>
      <c r="AC23" s="2763" t="s">
        <v>2786</v>
      </c>
      <c r="AD23" s="2763"/>
      <c r="AE23" s="2763"/>
      <c r="AF23" s="612"/>
      <c r="AG23" s="2704" t="s">
        <v>2777</v>
      </c>
      <c r="AH23" s="2704"/>
      <c r="AI23" s="624" t="s">
        <v>2741</v>
      </c>
      <c r="AJ23" s="2763"/>
      <c r="AK23" s="2763"/>
      <c r="AL23" s="2763"/>
      <c r="AM23" s="2763"/>
      <c r="AN23" s="612" t="s">
        <v>2740</v>
      </c>
      <c r="AO23" s="2726"/>
      <c r="AP23" s="623"/>
      <c r="AQ23" s="610"/>
      <c r="AR23" s="610"/>
      <c r="AS23" s="610" t="s">
        <v>2785</v>
      </c>
      <c r="AT23" s="622">
        <v>13</v>
      </c>
      <c r="AU23" s="610" t="s">
        <v>2784</v>
      </c>
      <c r="AV23" s="622">
        <v>15</v>
      </c>
      <c r="AW23" s="610" t="s">
        <v>2783</v>
      </c>
      <c r="AX23" s="612"/>
      <c r="AY23" s="614"/>
    </row>
    <row r="24" spans="1:51" s="171" customFormat="1" ht="24.75" customHeight="1">
      <c r="A24" s="2761" t="s">
        <v>2782</v>
      </c>
      <c r="B24" s="2761"/>
      <c r="C24" s="2761"/>
      <c r="D24" s="2761"/>
      <c r="E24" s="2761"/>
      <c r="F24" s="2761"/>
      <c r="G24" s="2761"/>
      <c r="H24" s="2761"/>
      <c r="I24" s="2761"/>
      <c r="J24" s="2761"/>
      <c r="K24" s="2761"/>
      <c r="L24" s="2761"/>
      <c r="M24" s="2761"/>
      <c r="N24" s="2761"/>
      <c r="O24" s="2761"/>
      <c r="P24" s="2761"/>
      <c r="Q24" s="2761"/>
      <c r="R24" s="2761"/>
      <c r="S24" s="2761"/>
      <c r="T24" s="2761"/>
      <c r="U24" s="2761"/>
      <c r="V24" s="2761"/>
      <c r="W24" s="2761"/>
      <c r="X24" s="2761"/>
      <c r="Y24" s="2761"/>
      <c r="Z24" s="2761"/>
      <c r="AA24" s="2761" t="s">
        <v>2782</v>
      </c>
      <c r="AB24" s="2761"/>
      <c r="AC24" s="2761"/>
      <c r="AD24" s="2761"/>
      <c r="AE24" s="2761"/>
      <c r="AF24" s="2761"/>
      <c r="AG24" s="2761"/>
      <c r="AH24" s="2761"/>
      <c r="AI24" s="2761"/>
      <c r="AJ24" s="2761"/>
      <c r="AK24" s="2761"/>
      <c r="AL24" s="2761"/>
      <c r="AM24" s="2761"/>
      <c r="AN24" s="2761"/>
      <c r="AO24" s="2761"/>
      <c r="AP24" s="2761"/>
      <c r="AQ24" s="2761"/>
      <c r="AR24" s="2761"/>
      <c r="AS24" s="2761"/>
      <c r="AT24" s="2761"/>
      <c r="AU24" s="2761"/>
      <c r="AV24" s="2761"/>
      <c r="AW24" s="2761"/>
    </row>
    <row r="25" spans="1:51" s="171" customFormat="1" ht="24.75" customHeight="1"/>
    <row r="26" spans="1:51" s="171" customFormat="1" ht="24.75" customHeight="1">
      <c r="A26" s="2748" t="s">
        <v>2781</v>
      </c>
      <c r="B26" s="2748"/>
      <c r="C26" s="2748"/>
      <c r="D26" s="2748"/>
      <c r="E26" s="2748"/>
      <c r="F26" s="2748"/>
      <c r="G26" s="2748"/>
      <c r="H26" s="2748"/>
      <c r="I26" s="2748"/>
      <c r="J26" s="2748"/>
      <c r="K26" s="2748"/>
      <c r="L26" s="2748"/>
      <c r="M26" s="2748"/>
      <c r="N26" s="2748"/>
      <c r="O26" s="2748"/>
      <c r="P26" s="2748"/>
      <c r="Q26" s="2748"/>
      <c r="R26" s="2748"/>
      <c r="S26" s="2748"/>
      <c r="T26" s="2748"/>
      <c r="U26" s="2748"/>
      <c r="V26" s="2748"/>
      <c r="W26" s="2748"/>
      <c r="X26" s="2748"/>
      <c r="Y26" s="2748"/>
      <c r="Z26" s="2748"/>
      <c r="AA26" s="2748" t="s">
        <v>2781</v>
      </c>
      <c r="AB26" s="2748"/>
      <c r="AC26" s="2748"/>
      <c r="AD26" s="2748"/>
      <c r="AE26" s="2748"/>
      <c r="AF26" s="2748"/>
      <c r="AG26" s="2748"/>
      <c r="AH26" s="2748"/>
      <c r="AI26" s="2748"/>
      <c r="AJ26" s="2748"/>
      <c r="AK26" s="2748"/>
      <c r="AL26" s="2748"/>
      <c r="AM26" s="2748"/>
      <c r="AN26" s="2748"/>
      <c r="AO26" s="2748"/>
      <c r="AP26" s="2748"/>
      <c r="AQ26" s="2748"/>
      <c r="AR26" s="2748"/>
      <c r="AS26" s="2748"/>
      <c r="AT26" s="2748"/>
      <c r="AU26" s="2748"/>
      <c r="AV26" s="2748"/>
      <c r="AW26" s="2748"/>
    </row>
    <row r="27" spans="1:51" s="171" customFormat="1" ht="24.75" customHeight="1">
      <c r="A27" s="619"/>
      <c r="B27" s="2724" t="s">
        <v>2780</v>
      </c>
      <c r="C27" s="2724"/>
      <c r="D27" s="2724"/>
      <c r="E27" s="2724"/>
      <c r="F27" s="2724"/>
      <c r="G27" s="2724"/>
      <c r="H27" s="2724"/>
      <c r="I27" s="2724"/>
      <c r="J27" s="2724"/>
      <c r="K27" s="2724"/>
      <c r="L27" s="2724"/>
      <c r="M27" s="2724"/>
      <c r="N27" s="2724"/>
      <c r="O27" s="2724"/>
      <c r="P27" s="2724"/>
      <c r="Q27" s="2724"/>
      <c r="R27" s="2724"/>
      <c r="S27" s="2724"/>
      <c r="T27" s="2724"/>
      <c r="U27" s="2724"/>
      <c r="V27" s="2724"/>
      <c r="W27" s="2724"/>
      <c r="X27" s="2724"/>
      <c r="Y27" s="2724"/>
      <c r="Z27" s="2755"/>
      <c r="AA27" s="619"/>
      <c r="AB27" s="2717" t="s">
        <v>2780</v>
      </c>
      <c r="AC27" s="2717"/>
      <c r="AD27" s="2717"/>
      <c r="AE27" s="2717"/>
      <c r="AF27" s="2717"/>
      <c r="AG27" s="2717"/>
      <c r="AH27" s="2717"/>
      <c r="AI27" s="2717"/>
      <c r="AJ27" s="2717"/>
      <c r="AK27" s="2717"/>
      <c r="AL27" s="2717"/>
      <c r="AM27" s="2717"/>
      <c r="AN27" s="2717"/>
      <c r="AO27" s="2717"/>
      <c r="AP27" s="2717"/>
      <c r="AQ27" s="2717"/>
      <c r="AR27" s="2717"/>
      <c r="AS27" s="2717"/>
      <c r="AT27" s="2717"/>
      <c r="AU27" s="2717"/>
      <c r="AV27" s="2717"/>
      <c r="AW27" s="2717"/>
      <c r="AX27" s="2717"/>
      <c r="AY27" s="2718"/>
    </row>
    <row r="28" spans="1:51" s="171" customFormat="1" ht="24.75" customHeight="1">
      <c r="A28" s="616"/>
      <c r="B28" s="2761" t="s">
        <v>2779</v>
      </c>
      <c r="C28" s="2761"/>
      <c r="D28" s="2761"/>
      <c r="E28" s="2761"/>
      <c r="F28" s="2761"/>
      <c r="G28" s="2761"/>
      <c r="H28" s="2761"/>
      <c r="I28" s="2761"/>
      <c r="J28" s="2761"/>
      <c r="K28" s="2761"/>
      <c r="L28" s="2761"/>
      <c r="M28" s="2761"/>
      <c r="N28" s="2761"/>
      <c r="O28" s="2761"/>
      <c r="P28" s="2761"/>
      <c r="Q28" s="2761"/>
      <c r="R28" s="2761"/>
      <c r="S28" s="2761"/>
      <c r="T28" s="2761"/>
      <c r="U28" s="2761"/>
      <c r="V28" s="2761"/>
      <c r="W28" s="2761"/>
      <c r="X28" s="2761"/>
      <c r="Y28" s="2761"/>
      <c r="Z28" s="2762"/>
      <c r="AA28" s="616"/>
      <c r="AB28" s="2719" t="s">
        <v>2779</v>
      </c>
      <c r="AC28" s="2719"/>
      <c r="AD28" s="2719"/>
      <c r="AE28" s="2719"/>
      <c r="AF28" s="2719"/>
      <c r="AG28" s="2719"/>
      <c r="AH28" s="2719"/>
      <c r="AI28" s="2719"/>
      <c r="AJ28" s="2719"/>
      <c r="AK28" s="2719"/>
      <c r="AL28" s="2719"/>
      <c r="AM28" s="2719"/>
      <c r="AN28" s="2719"/>
      <c r="AO28" s="2719"/>
      <c r="AP28" s="2719"/>
      <c r="AQ28" s="2719"/>
      <c r="AR28" s="2719"/>
      <c r="AS28" s="2719"/>
      <c r="AT28" s="2719"/>
      <c r="AU28" s="2719"/>
      <c r="AV28" s="2719"/>
      <c r="AW28" s="2719"/>
      <c r="AX28" s="2719"/>
      <c r="AY28" s="2720"/>
    </row>
    <row r="29" spans="1:51" s="171" customFormat="1" ht="24.75" customHeight="1">
      <c r="A29" s="616"/>
      <c r="B29" s="2761" t="s">
        <v>2778</v>
      </c>
      <c r="C29" s="2761"/>
      <c r="D29" s="2761"/>
      <c r="E29" s="2761"/>
      <c r="F29" s="2761"/>
      <c r="G29" s="2761"/>
      <c r="H29" s="2761"/>
      <c r="I29" s="2761"/>
      <c r="J29" s="2761"/>
      <c r="K29" s="2761"/>
      <c r="L29" s="2761"/>
      <c r="M29" s="2761"/>
      <c r="N29" s="2761"/>
      <c r="O29" s="2761"/>
      <c r="P29" s="2761"/>
      <c r="Q29" s="2761"/>
      <c r="R29" s="2761"/>
      <c r="S29" s="2761"/>
      <c r="T29" s="2761"/>
      <c r="U29" s="2761"/>
      <c r="V29" s="2761"/>
      <c r="W29" s="2761"/>
      <c r="X29" s="2761"/>
      <c r="Y29" s="2761"/>
      <c r="Z29" s="2762"/>
      <c r="AA29" s="616"/>
      <c r="AB29" s="2719" t="s">
        <v>2778</v>
      </c>
      <c r="AC29" s="2719"/>
      <c r="AD29" s="2719"/>
      <c r="AE29" s="2719"/>
      <c r="AF29" s="2719"/>
      <c r="AG29" s="2719"/>
      <c r="AH29" s="2719"/>
      <c r="AI29" s="2719"/>
      <c r="AJ29" s="2719"/>
      <c r="AK29" s="2719"/>
      <c r="AL29" s="2719"/>
      <c r="AM29" s="2719"/>
      <c r="AN29" s="2719"/>
      <c r="AO29" s="2719"/>
      <c r="AP29" s="2719"/>
      <c r="AQ29" s="2719"/>
      <c r="AR29" s="2719"/>
      <c r="AS29" s="2719"/>
      <c r="AT29" s="2719"/>
      <c r="AU29" s="2719"/>
      <c r="AV29" s="2719"/>
      <c r="AW29" s="2719"/>
      <c r="AX29" s="2719"/>
      <c r="AY29" s="2720"/>
    </row>
    <row r="30" spans="1:51" s="171" customFormat="1" ht="24.75" customHeight="1">
      <c r="A30" s="613"/>
      <c r="B30" s="2763" t="s">
        <v>2777</v>
      </c>
      <c r="C30" s="2763"/>
      <c r="D30" s="612" t="s">
        <v>2741</v>
      </c>
      <c r="E30" s="2764"/>
      <c r="F30" s="2764"/>
      <c r="G30" s="2764"/>
      <c r="H30" s="2764"/>
      <c r="I30" s="2764"/>
      <c r="J30" s="2764"/>
      <c r="K30" s="2764"/>
      <c r="L30" s="2764"/>
      <c r="M30" s="2764"/>
      <c r="N30" s="2764"/>
      <c r="O30" s="2764"/>
      <c r="P30" s="2764"/>
      <c r="Q30" s="2764"/>
      <c r="R30" s="2764"/>
      <c r="S30" s="2764"/>
      <c r="T30" s="2764"/>
      <c r="U30" s="2764"/>
      <c r="V30" s="2764"/>
      <c r="W30" s="2764"/>
      <c r="X30" s="2764"/>
      <c r="Y30" s="2764"/>
      <c r="Z30" s="614" t="s">
        <v>2740</v>
      </c>
      <c r="AA30" s="613"/>
      <c r="AB30" s="612" t="s">
        <v>2777</v>
      </c>
      <c r="AC30" s="612"/>
      <c r="AD30" s="2704" t="s">
        <v>2741</v>
      </c>
      <c r="AE30" s="2704"/>
      <c r="AF30" s="2704"/>
      <c r="AG30" s="2704"/>
      <c r="AH30" s="2704"/>
      <c r="AI30" s="2704"/>
      <c r="AJ30" s="2704"/>
      <c r="AK30" s="2704"/>
      <c r="AL30" s="2704"/>
      <c r="AM30" s="2704"/>
      <c r="AN30" s="2704"/>
      <c r="AO30" s="2704"/>
      <c r="AP30" s="2704"/>
      <c r="AQ30" s="2704"/>
      <c r="AR30" s="2704"/>
      <c r="AS30" s="2704"/>
      <c r="AT30" s="2704"/>
      <c r="AU30" s="2704"/>
      <c r="AV30" s="2704"/>
      <c r="AW30" s="2705" t="s">
        <v>2740</v>
      </c>
      <c r="AX30" s="2705"/>
      <c r="AY30" s="2706"/>
    </row>
    <row r="31" spans="1:51" s="171" customFormat="1" ht="24.75" customHeight="1">
      <c r="A31" s="2724"/>
      <c r="B31" s="2724"/>
      <c r="C31" s="2724"/>
      <c r="D31" s="2724"/>
      <c r="E31" s="2724"/>
      <c r="F31" s="2724"/>
      <c r="G31" s="2724"/>
      <c r="H31" s="2724"/>
      <c r="I31" s="2724"/>
      <c r="J31" s="2724"/>
      <c r="K31" s="2724"/>
      <c r="L31" s="2724"/>
      <c r="M31" s="2724"/>
      <c r="N31" s="2724"/>
      <c r="O31" s="2724"/>
      <c r="P31" s="2724"/>
      <c r="Q31" s="2724"/>
      <c r="R31" s="2724"/>
      <c r="S31" s="2724"/>
    </row>
    <row r="32" spans="1:51" s="171" customFormat="1" ht="24.75" customHeight="1">
      <c r="A32" s="171" t="s">
        <v>2819</v>
      </c>
      <c r="AA32" s="171" t="s">
        <v>2776</v>
      </c>
    </row>
    <row r="33" s="171" customFormat="1" ht="24.75" customHeight="1"/>
    <row r="34" s="171" customFormat="1" ht="24.75" customHeight="1"/>
    <row r="35" s="171" customFormat="1" ht="24.75" customHeight="1"/>
    <row r="36" s="171" customFormat="1" ht="24.75" customHeight="1"/>
    <row r="37" s="171" customFormat="1" ht="24.75" customHeight="1"/>
    <row r="38" s="171" customFormat="1" ht="24.75" customHeight="1"/>
    <row r="39" s="171" customFormat="1"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sheetData>
  <sheetProtection algorithmName="SHA-512" hashValue="cI5LGfQvKvHRwFoEYkMlak6sBeSk0eauHbtv9a1VsdxAmdVpd8k/IbGmd9XRYGpAPTBFU6iIkF/Zvyzaif2JxQ==" saltValue="nXGcHMnRhlEKTYatc/Ss/g==" spinCount="100000" sheet="1" selectLockedCells="1"/>
  <mergeCells count="98">
    <mergeCell ref="AA26:AW26"/>
    <mergeCell ref="AO22:AO23"/>
    <mergeCell ref="E5:G5"/>
    <mergeCell ref="E30:Y30"/>
    <mergeCell ref="A31:S31"/>
    <mergeCell ref="AA21:AW21"/>
    <mergeCell ref="A12:Z13"/>
    <mergeCell ref="AC23:AE23"/>
    <mergeCell ref="AG23:AH23"/>
    <mergeCell ref="AJ23:AM23"/>
    <mergeCell ref="AA24:AW24"/>
    <mergeCell ref="A18:A19"/>
    <mergeCell ref="D18:D19"/>
    <mergeCell ref="A21:Z21"/>
    <mergeCell ref="AA17:AW17"/>
    <mergeCell ref="A22:A23"/>
    <mergeCell ref="AA4:AC4"/>
    <mergeCell ref="AA5:AC5"/>
    <mergeCell ref="AA7:AW7"/>
    <mergeCell ref="AA8:AD8"/>
    <mergeCell ref="AA9:AB10"/>
    <mergeCell ref="AC9:AD10"/>
    <mergeCell ref="AP9:AQ9"/>
    <mergeCell ref="AT9:AT10"/>
    <mergeCell ref="AU9:AU10"/>
    <mergeCell ref="AV9:AV10"/>
    <mergeCell ref="AW9:AY10"/>
    <mergeCell ref="AH10:AI10"/>
    <mergeCell ref="AE8:AG8"/>
    <mergeCell ref="AH8:AV8"/>
    <mergeCell ref="AW8:AY8"/>
    <mergeCell ref="AE9:AF10"/>
    <mergeCell ref="B29:Z29"/>
    <mergeCell ref="B30:C30"/>
    <mergeCell ref="A17:Z17"/>
    <mergeCell ref="O22:P22"/>
    <mergeCell ref="A26:Z26"/>
    <mergeCell ref="B27:Z27"/>
    <mergeCell ref="B28:Z28"/>
    <mergeCell ref="J23:K23"/>
    <mergeCell ref="M23:P23"/>
    <mergeCell ref="E18:Z19"/>
    <mergeCell ref="C22:H22"/>
    <mergeCell ref="C23:H23"/>
    <mergeCell ref="J22:M22"/>
    <mergeCell ref="R22:R23"/>
    <mergeCell ref="A24:Z24"/>
    <mergeCell ref="H9:I9"/>
    <mergeCell ref="H10:I10"/>
    <mergeCell ref="L9:M9"/>
    <mergeCell ref="V9:V10"/>
    <mergeCell ref="T9:T10"/>
    <mergeCell ref="U9:U10"/>
    <mergeCell ref="Y5:Z5"/>
    <mergeCell ref="W8:Z8"/>
    <mergeCell ref="W9:Z10"/>
    <mergeCell ref="P9:Q9"/>
    <mergeCell ref="P10:Q10"/>
    <mergeCell ref="A11:Z11"/>
    <mergeCell ref="G9:G10"/>
    <mergeCell ref="E9:F10"/>
    <mergeCell ref="A1:Z2"/>
    <mergeCell ref="A4:C4"/>
    <mergeCell ref="D4:W4"/>
    <mergeCell ref="L10:M10"/>
    <mergeCell ref="A8:D8"/>
    <mergeCell ref="A9:B10"/>
    <mergeCell ref="C9:D10"/>
    <mergeCell ref="E8:G8"/>
    <mergeCell ref="A5:C5"/>
    <mergeCell ref="A7:Z7"/>
    <mergeCell ref="H8:V8"/>
    <mergeCell ref="X4:X5"/>
    <mergeCell ref="Y4:Z4"/>
    <mergeCell ref="AG9:AG10"/>
    <mergeCell ref="AH9:AI9"/>
    <mergeCell ref="AL9:AM9"/>
    <mergeCell ref="AD18:AD19"/>
    <mergeCell ref="AA12:AY13"/>
    <mergeCell ref="AA11:AY11"/>
    <mergeCell ref="AL10:AM10"/>
    <mergeCell ref="AE18:AY19"/>
    <mergeCell ref="AD30:AV30"/>
    <mergeCell ref="AW30:AY30"/>
    <mergeCell ref="AA1:AY2"/>
    <mergeCell ref="AX4:AY4"/>
    <mergeCell ref="AX5:AY5"/>
    <mergeCell ref="AW4:AW5"/>
    <mergeCell ref="AD4:AV4"/>
    <mergeCell ref="AB27:AY27"/>
    <mergeCell ref="AB28:AY28"/>
    <mergeCell ref="AB29:AY29"/>
    <mergeCell ref="AP10:AQ10"/>
    <mergeCell ref="AA22:AA23"/>
    <mergeCell ref="AC22:AE22"/>
    <mergeCell ref="AG22:AJ22"/>
    <mergeCell ref="AL22:AM22"/>
    <mergeCell ref="AA18:AA19"/>
  </mergeCells>
  <phoneticPr fontId="142"/>
  <conditionalFormatting sqref="A9:B10">
    <cfRule type="cellIs" dxfId="8" priority="11" operator="equal">
      <formula>""</formula>
    </cfRule>
  </conditionalFormatting>
  <conditionalFormatting sqref="E9:F10">
    <cfRule type="cellIs" dxfId="7" priority="10" operator="equal">
      <formula>""</formula>
    </cfRule>
  </conditionalFormatting>
  <conditionalFormatting sqref="E18:Z19">
    <cfRule type="cellIs" dxfId="6" priority="1" operator="equal">
      <formula>""</formula>
    </cfRule>
    <cfRule type="cellIs" dxfId="5" priority="2" operator="equal">
      <formula>""</formula>
    </cfRule>
    <cfRule type="cellIs" priority="3" operator="equal">
      <formula>""</formula>
    </cfRule>
    <cfRule type="colorScale" priority="4">
      <colorScale>
        <cfvo type="min"/>
        <cfvo type="percentile" val="50"/>
        <cfvo type="max"/>
        <color rgb="FFF8696B"/>
        <color rgb="FFFFEB84"/>
        <color rgb="FF63BE7B"/>
      </colorScale>
    </cfRule>
    <cfRule type="colorScale" priority="5">
      <colorScale>
        <cfvo type="min"/>
        <cfvo type="max"/>
        <color theme="0" tint="-0.249977111117893"/>
        <color rgb="FFFFEF9C"/>
      </colorScale>
    </cfRule>
  </conditionalFormatting>
  <conditionalFormatting sqref="J9:J10 N9:N10 R9:R10 A12:Z13 S22 U22 W23 Y23">
    <cfRule type="cellIs" dxfId="4" priority="13" operator="equal">
      <formula>""</formula>
    </cfRule>
  </conditionalFormatting>
  <conditionalFormatting sqref="W9:AB10">
    <cfRule type="cellIs" dxfId="3" priority="7" operator="equal">
      <formula>""</formula>
    </cfRule>
  </conditionalFormatting>
  <conditionalFormatting sqref="AA12 AE18 AP22 AR22 AT23 AV23">
    <cfRule type="cellIs" dxfId="2" priority="12" operator="equal">
      <formula>""</formula>
    </cfRule>
  </conditionalFormatting>
  <conditionalFormatting sqref="AE9:AF10">
    <cfRule type="cellIs" dxfId="1" priority="6" operator="equal">
      <formula>""</formula>
    </cfRule>
  </conditionalFormatting>
  <conditionalFormatting sqref="AJ9:AJ10 AN9:AN10 AR9:AR10 AW9:AY10">
    <cfRule type="cellIs" dxfId="0" priority="8" operator="equal">
      <formula>""</formula>
    </cfRule>
  </conditionalFormatting>
  <pageMargins left="0.7" right="0.7" top="0.75" bottom="0.75" header="0.3" footer="0.3"/>
  <pageSetup paperSize="9" scale="87" orientation="portrait" r:id="rId1"/>
  <colBreaks count="1" manualBreakCount="1">
    <brk id="26" max="31"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19050</xdr:colOff>
                    <xdr:row>21</xdr:row>
                    <xdr:rowOff>57150</xdr:rowOff>
                  </from>
                  <to>
                    <xdr:col>2</xdr:col>
                    <xdr:colOff>66675</xdr:colOff>
                    <xdr:row>21</xdr:row>
                    <xdr:rowOff>285750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19050</xdr:colOff>
                    <xdr:row>22</xdr:row>
                    <xdr:rowOff>57150</xdr:rowOff>
                  </from>
                  <to>
                    <xdr:col>2</xdr:col>
                    <xdr:colOff>66675</xdr:colOff>
                    <xdr:row>22</xdr:row>
                    <xdr:rowOff>285750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8</xdr:col>
                    <xdr:colOff>19050</xdr:colOff>
                    <xdr:row>21</xdr:row>
                    <xdr:rowOff>57150</xdr:rowOff>
                  </from>
                  <to>
                    <xdr:col>9</xdr:col>
                    <xdr:colOff>19050</xdr:colOff>
                    <xdr:row>21</xdr:row>
                    <xdr:rowOff>285750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8</xdr:col>
                    <xdr:colOff>19050</xdr:colOff>
                    <xdr:row>22</xdr:row>
                    <xdr:rowOff>57150</xdr:rowOff>
                  </from>
                  <to>
                    <xdr:col>9</xdr:col>
                    <xdr:colOff>19050</xdr:colOff>
                    <xdr:row>22</xdr:row>
                    <xdr:rowOff>285750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0</xdr:col>
                    <xdr:colOff>19050</xdr:colOff>
                    <xdr:row>26</xdr:row>
                    <xdr:rowOff>57150</xdr:rowOff>
                  </from>
                  <to>
                    <xdr:col>1</xdr:col>
                    <xdr:colOff>19050</xdr:colOff>
                    <xdr:row>26</xdr:row>
                    <xdr:rowOff>285750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0</xdr:col>
                    <xdr:colOff>19050</xdr:colOff>
                    <xdr:row>27</xdr:row>
                    <xdr:rowOff>57150</xdr:rowOff>
                  </from>
                  <to>
                    <xdr:col>1</xdr:col>
                    <xdr:colOff>19050</xdr:colOff>
                    <xdr:row>27</xdr:row>
                    <xdr:rowOff>285750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0</xdr:col>
                    <xdr:colOff>19050</xdr:colOff>
                    <xdr:row>28</xdr:row>
                    <xdr:rowOff>57150</xdr:rowOff>
                  </from>
                  <to>
                    <xdr:col>1</xdr:col>
                    <xdr:colOff>19050</xdr:colOff>
                    <xdr:row>28</xdr:row>
                    <xdr:rowOff>285750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0</xdr:col>
                    <xdr:colOff>19050</xdr:colOff>
                    <xdr:row>29</xdr:row>
                    <xdr:rowOff>57150</xdr:rowOff>
                  </from>
                  <to>
                    <xdr:col>1</xdr:col>
                    <xdr:colOff>19050</xdr:colOff>
                    <xdr:row>29</xdr:row>
                    <xdr:rowOff>285750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0</xdr:col>
                    <xdr:colOff>19050</xdr:colOff>
                    <xdr:row>29</xdr:row>
                    <xdr:rowOff>57150</xdr:rowOff>
                  </from>
                  <to>
                    <xdr:col>1</xdr:col>
                    <xdr:colOff>19050</xdr:colOff>
                    <xdr:row>29</xdr:row>
                    <xdr:rowOff>285750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8</xdr:col>
                    <xdr:colOff>19050</xdr:colOff>
                    <xdr:row>22</xdr:row>
                    <xdr:rowOff>57150</xdr:rowOff>
                  </from>
                  <to>
                    <xdr:col>9</xdr:col>
                    <xdr:colOff>19050</xdr:colOff>
                    <xdr:row>22</xdr:row>
                    <xdr:rowOff>285750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19050</xdr:colOff>
                    <xdr:row>18</xdr:row>
                    <xdr:rowOff>57150</xdr:rowOff>
                  </from>
                  <to>
                    <xdr:col>2</xdr:col>
                    <xdr:colOff>66675</xdr:colOff>
                    <xdr:row>18</xdr:row>
                    <xdr:rowOff>285750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28575</xdr:colOff>
                    <xdr:row>17</xdr:row>
                    <xdr:rowOff>57150</xdr:rowOff>
                  </from>
                  <to>
                    <xdr:col>2</xdr:col>
                    <xdr:colOff>76200</xdr:colOff>
                    <xdr:row>17</xdr:row>
                    <xdr:rowOff>285750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27</xdr:col>
                    <xdr:colOff>19050</xdr:colOff>
                    <xdr:row>21</xdr:row>
                    <xdr:rowOff>57150</xdr:rowOff>
                  </from>
                  <to>
                    <xdr:col>28</xdr:col>
                    <xdr:colOff>95250</xdr:colOff>
                    <xdr:row>21</xdr:row>
                    <xdr:rowOff>285750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27</xdr:col>
                    <xdr:colOff>19050</xdr:colOff>
                    <xdr:row>22</xdr:row>
                    <xdr:rowOff>57150</xdr:rowOff>
                  </from>
                  <to>
                    <xdr:col>28</xdr:col>
                    <xdr:colOff>95250</xdr:colOff>
                    <xdr:row>22</xdr:row>
                    <xdr:rowOff>285750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31</xdr:col>
                    <xdr:colOff>19050</xdr:colOff>
                    <xdr:row>21</xdr:row>
                    <xdr:rowOff>57150</xdr:rowOff>
                  </from>
                  <to>
                    <xdr:col>32</xdr:col>
                    <xdr:colOff>57150</xdr:colOff>
                    <xdr:row>21</xdr:row>
                    <xdr:rowOff>285750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31</xdr:col>
                    <xdr:colOff>19050</xdr:colOff>
                    <xdr:row>22</xdr:row>
                    <xdr:rowOff>57150</xdr:rowOff>
                  </from>
                  <to>
                    <xdr:col>32</xdr:col>
                    <xdr:colOff>57150</xdr:colOff>
                    <xdr:row>22</xdr:row>
                    <xdr:rowOff>285750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26</xdr:col>
                    <xdr:colOff>19050</xdr:colOff>
                    <xdr:row>26</xdr:row>
                    <xdr:rowOff>57150</xdr:rowOff>
                  </from>
                  <to>
                    <xdr:col>27</xdr:col>
                    <xdr:colOff>19050</xdr:colOff>
                    <xdr:row>26</xdr:row>
                    <xdr:rowOff>285750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26</xdr:col>
                    <xdr:colOff>19050</xdr:colOff>
                    <xdr:row>27</xdr:row>
                    <xdr:rowOff>57150</xdr:rowOff>
                  </from>
                  <to>
                    <xdr:col>27</xdr:col>
                    <xdr:colOff>19050</xdr:colOff>
                    <xdr:row>27</xdr:row>
                    <xdr:rowOff>285750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26</xdr:col>
                    <xdr:colOff>19050</xdr:colOff>
                    <xdr:row>28</xdr:row>
                    <xdr:rowOff>57150</xdr:rowOff>
                  </from>
                  <to>
                    <xdr:col>27</xdr:col>
                    <xdr:colOff>19050</xdr:colOff>
                    <xdr:row>28</xdr:row>
                    <xdr:rowOff>285750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26</xdr:col>
                    <xdr:colOff>19050</xdr:colOff>
                    <xdr:row>29</xdr:row>
                    <xdr:rowOff>57150</xdr:rowOff>
                  </from>
                  <to>
                    <xdr:col>27</xdr:col>
                    <xdr:colOff>19050</xdr:colOff>
                    <xdr:row>29</xdr:row>
                    <xdr:rowOff>285750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26</xdr:col>
                    <xdr:colOff>19050</xdr:colOff>
                    <xdr:row>29</xdr:row>
                    <xdr:rowOff>57150</xdr:rowOff>
                  </from>
                  <to>
                    <xdr:col>27</xdr:col>
                    <xdr:colOff>19050</xdr:colOff>
                    <xdr:row>29</xdr:row>
                    <xdr:rowOff>285750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31</xdr:col>
                    <xdr:colOff>19050</xdr:colOff>
                    <xdr:row>22</xdr:row>
                    <xdr:rowOff>57150</xdr:rowOff>
                  </from>
                  <to>
                    <xdr:col>32</xdr:col>
                    <xdr:colOff>57150</xdr:colOff>
                    <xdr:row>22</xdr:row>
                    <xdr:rowOff>285750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27</xdr:col>
                    <xdr:colOff>19050</xdr:colOff>
                    <xdr:row>18</xdr:row>
                    <xdr:rowOff>57150</xdr:rowOff>
                  </from>
                  <to>
                    <xdr:col>28</xdr:col>
                    <xdr:colOff>95250</xdr:colOff>
                    <xdr:row>18</xdr:row>
                    <xdr:rowOff>285750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27</xdr:col>
                    <xdr:colOff>28575</xdr:colOff>
                    <xdr:row>17</xdr:row>
                    <xdr:rowOff>57150</xdr:rowOff>
                  </from>
                  <to>
                    <xdr:col>28</xdr:col>
                    <xdr:colOff>104775</xdr:colOff>
                    <xdr:row>17</xdr:row>
                    <xdr:rowOff>285750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0</xdr:col>
                    <xdr:colOff>19050</xdr:colOff>
                    <xdr:row>28</xdr:row>
                    <xdr:rowOff>57150</xdr:rowOff>
                  </from>
                  <to>
                    <xdr:col>1</xdr:col>
                    <xdr:colOff>19050</xdr:colOff>
                    <xdr:row>28</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BW822"/>
  <sheetViews>
    <sheetView view="pageBreakPreview" zoomScale="70" zoomScaleNormal="100" zoomScaleSheetLayoutView="70" workbookViewId="0">
      <selection activeCell="R8" sqref="R8:Z8"/>
    </sheetView>
  </sheetViews>
  <sheetFormatPr defaultRowHeight="13.5"/>
  <cols>
    <col min="1" max="17" width="3.625" customWidth="1"/>
    <col min="18" max="19" width="4.125" customWidth="1"/>
    <col min="20" max="52" width="3.625" customWidth="1"/>
    <col min="53" max="53" width="9" style="543" hidden="1" customWidth="1"/>
    <col min="54" max="54" width="9.75" style="543" hidden="1" customWidth="1"/>
    <col min="55" max="55" width="22.25" style="570" hidden="1" customWidth="1"/>
    <col min="56" max="56" width="13" style="543" hidden="1" customWidth="1"/>
    <col min="57" max="57" width="12.5" style="544" hidden="1" customWidth="1"/>
    <col min="58" max="60" width="9" style="543" hidden="1" customWidth="1"/>
    <col min="61" max="61" width="27.5" style="543" hidden="1" customWidth="1"/>
    <col min="62" max="62" width="42.375" style="543" hidden="1" customWidth="1"/>
    <col min="63" max="63" width="19.375" style="543" hidden="1" customWidth="1"/>
    <col min="64" max="64" width="41.75" style="543" hidden="1" customWidth="1"/>
    <col min="65" max="65" width="9.75" style="549" hidden="1" customWidth="1"/>
    <col min="66" max="66" width="10.5" style="550" hidden="1" customWidth="1"/>
    <col min="67" max="67" width="7.125" style="543" hidden="1" customWidth="1"/>
    <col min="68" max="68" width="9" style="543" hidden="1" customWidth="1"/>
    <col min="69" max="69" width="23" style="520" hidden="1" customWidth="1"/>
    <col min="70" max="70" width="40.875" style="520" customWidth="1"/>
    <col min="71" max="75" width="9" style="520"/>
  </cols>
  <sheetData>
    <row r="1" spans="1:70" ht="24.95" customHeight="1">
      <c r="A1" s="1151" t="s">
        <v>66</v>
      </c>
      <c r="B1" s="1151"/>
      <c r="C1" s="1151"/>
      <c r="D1" s="1151"/>
      <c r="E1" s="1151"/>
      <c r="F1" s="1151"/>
      <c r="G1" s="1151"/>
      <c r="H1" s="1151"/>
      <c r="I1" s="1151"/>
      <c r="J1" s="1151"/>
      <c r="K1" s="1151"/>
      <c r="L1" s="1151"/>
      <c r="M1" s="1151"/>
      <c r="N1" s="1151"/>
      <c r="O1" s="1151"/>
      <c r="P1" s="1151"/>
      <c r="Q1" s="1151"/>
      <c r="R1" s="1151"/>
      <c r="S1" s="1151"/>
      <c r="T1" s="1151"/>
      <c r="U1" s="1151"/>
      <c r="V1" s="1151"/>
      <c r="W1" s="1151"/>
      <c r="X1" s="1151"/>
      <c r="Y1" s="1151"/>
      <c r="Z1" s="1151"/>
      <c r="AA1" s="1151" t="s">
        <v>66</v>
      </c>
      <c r="AB1" s="1151"/>
      <c r="AC1" s="1151"/>
      <c r="AD1" s="1151"/>
      <c r="AE1" s="1151"/>
      <c r="AF1" s="1151"/>
      <c r="AG1" s="1151"/>
      <c r="AH1" s="1151"/>
      <c r="AI1" s="1151"/>
      <c r="AJ1" s="1151"/>
      <c r="AK1" s="1151"/>
      <c r="AL1" s="1151"/>
      <c r="AM1" s="1151"/>
      <c r="AN1" s="1151"/>
      <c r="AO1" s="1151"/>
      <c r="AP1" s="1151"/>
      <c r="AQ1" s="1151"/>
      <c r="AR1" s="1151"/>
      <c r="AS1" s="1151"/>
      <c r="AT1" s="1151"/>
      <c r="AU1" s="1151"/>
      <c r="AV1" s="1151"/>
      <c r="AW1" s="1151"/>
      <c r="AX1" s="1151"/>
      <c r="AY1" s="1151"/>
      <c r="AZ1" s="1151"/>
      <c r="BA1" s="543">
        <v>1</v>
      </c>
      <c r="BB1" s="544" t="s">
        <v>1200</v>
      </c>
      <c r="BC1" s="544" t="s">
        <v>1203</v>
      </c>
      <c r="BD1" s="544" t="s">
        <v>1201</v>
      </c>
      <c r="BE1" s="544" t="s">
        <v>1202</v>
      </c>
      <c r="BF1" s="544" t="s">
        <v>2724</v>
      </c>
      <c r="BG1" s="1231" t="s">
        <v>1241</v>
      </c>
      <c r="BH1" s="1231"/>
      <c r="BI1" s="1231"/>
      <c r="BJ1" s="1231"/>
      <c r="BK1" s="1231"/>
      <c r="BL1" s="1231"/>
      <c r="BM1" s="1231"/>
      <c r="BN1" s="1231"/>
      <c r="BO1" s="1231"/>
    </row>
    <row r="2" spans="1:70" ht="12.6" customHeight="1">
      <c r="A2" s="1063"/>
      <c r="B2" s="1063"/>
      <c r="C2" s="1063"/>
      <c r="D2" s="1063"/>
      <c r="E2" s="1063"/>
      <c r="F2" s="1063"/>
      <c r="G2" s="1063"/>
      <c r="H2" s="1063"/>
      <c r="I2" s="1063"/>
      <c r="J2" s="1063"/>
      <c r="K2" s="1063"/>
      <c r="L2" s="1063"/>
      <c r="M2" s="1063"/>
      <c r="N2" s="1063"/>
      <c r="O2" s="1063"/>
      <c r="P2" s="1063"/>
      <c r="Q2" s="1063"/>
      <c r="R2" s="1063"/>
      <c r="S2" s="1063"/>
      <c r="T2" s="1063"/>
      <c r="U2" s="1063"/>
      <c r="V2" s="1063"/>
      <c r="W2" s="1063"/>
      <c r="X2" s="1063"/>
      <c r="Y2" s="1063"/>
      <c r="Z2" s="1063"/>
      <c r="AA2" s="1151"/>
      <c r="AB2" s="1151"/>
      <c r="AC2" s="1151"/>
      <c r="AD2" s="1151"/>
      <c r="AE2" s="1151"/>
      <c r="AF2" s="1151"/>
      <c r="AG2" s="1151"/>
      <c r="AH2" s="1151"/>
      <c r="AI2" s="1151"/>
      <c r="AJ2" s="1151"/>
      <c r="AK2" s="1151"/>
      <c r="AL2" s="1151"/>
      <c r="AM2" s="1151"/>
      <c r="AN2" s="1151"/>
      <c r="AO2" s="1151"/>
      <c r="AP2" s="1151"/>
      <c r="AQ2" s="1151"/>
      <c r="AR2" s="1151"/>
      <c r="AS2" s="1151"/>
      <c r="AT2" s="1151"/>
      <c r="AU2" s="1151"/>
      <c r="AV2" s="1151"/>
      <c r="AW2" s="1151"/>
      <c r="AX2" s="1151"/>
      <c r="AY2" s="1151"/>
      <c r="AZ2" s="1151"/>
      <c r="BA2" s="543">
        <v>2</v>
      </c>
      <c r="BB2" s="545">
        <v>600000</v>
      </c>
      <c r="BC2" s="543" t="str">
        <f t="shared" ref="BC2:BC62" si="0">BD2&amp;BE2</f>
        <v>札幌市中央区</v>
      </c>
      <c r="BD2" s="543" t="s">
        <v>408</v>
      </c>
      <c r="BF2" s="544" t="s">
        <v>2725</v>
      </c>
      <c r="BG2" s="544" t="s">
        <v>1452</v>
      </c>
      <c r="BH2" s="544" t="s">
        <v>1437</v>
      </c>
      <c r="BI2" s="544" t="s">
        <v>1243</v>
      </c>
      <c r="BJ2" s="544" t="s">
        <v>1741</v>
      </c>
      <c r="BK2" s="544" t="s">
        <v>1742</v>
      </c>
      <c r="BL2" s="544" t="s">
        <v>1244</v>
      </c>
      <c r="BM2" s="546" t="s">
        <v>1245</v>
      </c>
      <c r="BN2" s="547" t="s">
        <v>1246</v>
      </c>
      <c r="BO2" s="544" t="s">
        <v>1247</v>
      </c>
    </row>
    <row r="3" spans="1:70" ht="12.6" customHeight="1">
      <c r="A3" s="1152" t="s">
        <v>1212</v>
      </c>
      <c r="B3" s="1154" t="s">
        <v>61</v>
      </c>
      <c r="C3" s="1154"/>
      <c r="D3" s="1221" t="str">
        <f>IFERROR(VLOOKUP(D4,BI3:BO204,4,FALSE),"")</f>
        <v/>
      </c>
      <c r="E3" s="1221"/>
      <c r="F3" s="1221"/>
      <c r="G3" s="1221"/>
      <c r="H3" s="1221"/>
      <c r="I3" s="1221"/>
      <c r="J3" s="1221"/>
      <c r="K3" s="1221"/>
      <c r="L3" s="1221"/>
      <c r="M3" s="1221"/>
      <c r="N3" s="1221"/>
      <c r="O3" s="1221"/>
      <c r="P3" s="1221"/>
      <c r="Q3" s="1221"/>
      <c r="R3" s="1221"/>
      <c r="S3" s="1221"/>
      <c r="T3" s="1221"/>
      <c r="U3" s="1221"/>
      <c r="V3" s="1221"/>
      <c r="W3" s="1221"/>
      <c r="X3" s="1221"/>
      <c r="Y3" s="1221"/>
      <c r="Z3" s="1222"/>
      <c r="AA3" s="1152" t="s">
        <v>65</v>
      </c>
      <c r="AB3" s="1154" t="s">
        <v>57</v>
      </c>
      <c r="AC3" s="1154"/>
      <c r="AD3" s="1154" t="s">
        <v>64</v>
      </c>
      <c r="AE3" s="1154"/>
      <c r="AF3" s="1154"/>
      <c r="AG3" s="1154"/>
      <c r="AH3" s="1154"/>
      <c r="AI3" s="1154"/>
      <c r="AJ3" s="1154"/>
      <c r="AK3" s="1154"/>
      <c r="AL3" s="1154"/>
      <c r="AM3" s="1154"/>
      <c r="AN3" s="1154"/>
      <c r="AO3" s="1154"/>
      <c r="AP3" s="1154"/>
      <c r="AQ3" s="1154"/>
      <c r="AR3" s="1154"/>
      <c r="AS3" s="1154"/>
      <c r="AT3" s="1154"/>
      <c r="AU3" s="1154"/>
      <c r="AV3" s="1154"/>
      <c r="AW3" s="1154"/>
      <c r="AX3" s="1154"/>
      <c r="AY3" s="1154"/>
      <c r="AZ3" s="1157"/>
      <c r="BA3" s="543">
        <v>3</v>
      </c>
      <c r="BB3" s="545">
        <v>640941</v>
      </c>
      <c r="BC3" s="543" t="str">
        <f t="shared" si="0"/>
        <v>札幌市中央区旭ケ丘</v>
      </c>
      <c r="BD3" s="543" t="s">
        <v>408</v>
      </c>
      <c r="BE3" s="544" t="s">
        <v>418</v>
      </c>
      <c r="BF3" s="544" t="s">
        <v>1665</v>
      </c>
      <c r="BG3" s="1230" t="s">
        <v>1242</v>
      </c>
      <c r="BH3" s="548">
        <v>1</v>
      </c>
      <c r="BI3" s="543" t="s">
        <v>1248</v>
      </c>
      <c r="BJ3" s="543" t="s">
        <v>1743</v>
      </c>
      <c r="BK3" s="543" t="s">
        <v>1744</v>
      </c>
      <c r="BL3" s="543" t="s">
        <v>1249</v>
      </c>
      <c r="BM3" s="549">
        <v>600041</v>
      </c>
      <c r="BN3" s="550" t="s">
        <v>1250</v>
      </c>
      <c r="BO3" s="543" t="s">
        <v>2129</v>
      </c>
    </row>
    <row r="4" spans="1:70" ht="37.5" customHeight="1">
      <c r="A4" s="1153"/>
      <c r="B4" s="1158" t="s">
        <v>1211</v>
      </c>
      <c r="C4" s="1158"/>
      <c r="D4" s="1223"/>
      <c r="E4" s="1223"/>
      <c r="F4" s="1223"/>
      <c r="G4" s="1223"/>
      <c r="H4" s="1223"/>
      <c r="I4" s="1223"/>
      <c r="J4" s="1223"/>
      <c r="K4" s="1223"/>
      <c r="L4" s="1223"/>
      <c r="M4" s="1223"/>
      <c r="N4" s="1223"/>
      <c r="O4" s="1223"/>
      <c r="P4" s="1223"/>
      <c r="Q4" s="1223"/>
      <c r="R4" s="1223"/>
      <c r="S4" s="1223"/>
      <c r="T4" s="1223"/>
      <c r="U4" s="1223"/>
      <c r="V4" s="1223"/>
      <c r="W4" s="1223"/>
      <c r="X4" s="1223"/>
      <c r="Y4" s="1223"/>
      <c r="Z4" s="1224"/>
      <c r="AA4" s="1153"/>
      <c r="AB4" s="1158" t="s">
        <v>63</v>
      </c>
      <c r="AC4" s="1158"/>
      <c r="AD4" s="1159" t="s">
        <v>62</v>
      </c>
      <c r="AE4" s="1159"/>
      <c r="AF4" s="1159"/>
      <c r="AG4" s="1159"/>
      <c r="AH4" s="1159"/>
      <c r="AI4" s="1159"/>
      <c r="AJ4" s="1159"/>
      <c r="AK4" s="1159"/>
      <c r="AL4" s="1159"/>
      <c r="AM4" s="1159"/>
      <c r="AN4" s="1159"/>
      <c r="AO4" s="1159"/>
      <c r="AP4" s="1159"/>
      <c r="AQ4" s="1159"/>
      <c r="AR4" s="1159"/>
      <c r="AS4" s="1159"/>
      <c r="AT4" s="1159"/>
      <c r="AU4" s="1159"/>
      <c r="AV4" s="1159"/>
      <c r="AW4" s="1159"/>
      <c r="AX4" s="1159"/>
      <c r="AY4" s="1159"/>
      <c r="AZ4" s="1160"/>
      <c r="BA4" s="543">
        <v>4</v>
      </c>
      <c r="BB4" s="545">
        <v>600041</v>
      </c>
      <c r="BC4" s="543" t="str">
        <f t="shared" si="0"/>
        <v>札幌市中央区大通東</v>
      </c>
      <c r="BD4" s="543" t="s">
        <v>408</v>
      </c>
      <c r="BE4" s="544" t="s">
        <v>419</v>
      </c>
      <c r="BF4" s="544" t="s">
        <v>1666</v>
      </c>
      <c r="BG4" s="1230"/>
      <c r="BH4" s="544">
        <v>2</v>
      </c>
      <c r="BI4" s="543" t="s">
        <v>1251</v>
      </c>
      <c r="BJ4" s="543" t="s">
        <v>1745</v>
      </c>
      <c r="BK4" s="543" t="s">
        <v>1746</v>
      </c>
      <c r="BL4" s="543" t="s">
        <v>1252</v>
      </c>
      <c r="BM4" s="549">
        <v>640914</v>
      </c>
      <c r="BN4" s="550" t="s">
        <v>1253</v>
      </c>
      <c r="BO4" s="551" t="s">
        <v>2130</v>
      </c>
      <c r="BQ4" s="521"/>
      <c r="BR4" s="521"/>
    </row>
    <row r="5" spans="1:70" ht="12.6" customHeight="1">
      <c r="A5" s="1162" t="s">
        <v>60</v>
      </c>
      <c r="B5" s="1161" t="s">
        <v>61</v>
      </c>
      <c r="C5" s="1161"/>
      <c r="D5" s="1155"/>
      <c r="E5" s="1155"/>
      <c r="F5" s="1155"/>
      <c r="G5" s="1155"/>
      <c r="H5" s="1155"/>
      <c r="I5" s="1155"/>
      <c r="J5" s="1155"/>
      <c r="K5" s="1155"/>
      <c r="L5" s="1155"/>
      <c r="M5" s="1156"/>
      <c r="N5" s="1174" t="s">
        <v>1213</v>
      </c>
      <c r="O5" s="1175"/>
      <c r="P5" s="1176"/>
      <c r="Q5" s="1161" t="s">
        <v>61</v>
      </c>
      <c r="R5" s="1161"/>
      <c r="S5" s="1155"/>
      <c r="T5" s="1155"/>
      <c r="U5" s="1155"/>
      <c r="V5" s="1155"/>
      <c r="W5" s="1155"/>
      <c r="X5" s="1155"/>
      <c r="Y5" s="1155"/>
      <c r="Z5" s="1156"/>
      <c r="AA5" s="1068" t="s">
        <v>60</v>
      </c>
      <c r="AB5" s="1161" t="s">
        <v>57</v>
      </c>
      <c r="AC5" s="1161"/>
      <c r="AD5" s="1161" t="s">
        <v>59</v>
      </c>
      <c r="AE5" s="1161"/>
      <c r="AF5" s="1161"/>
      <c r="AG5" s="1161"/>
      <c r="AH5" s="1161"/>
      <c r="AI5" s="1161"/>
      <c r="AJ5" s="1161"/>
      <c r="AK5" s="1161"/>
      <c r="AL5" s="1161"/>
      <c r="AM5" s="1170"/>
      <c r="AN5" s="1174" t="s">
        <v>58</v>
      </c>
      <c r="AO5" s="1175"/>
      <c r="AP5" s="1176"/>
      <c r="AQ5" s="1161" t="s">
        <v>57</v>
      </c>
      <c r="AR5" s="1161"/>
      <c r="AS5" s="1161" t="s">
        <v>56</v>
      </c>
      <c r="AT5" s="1161"/>
      <c r="AU5" s="1161"/>
      <c r="AV5" s="1161"/>
      <c r="AW5" s="1161"/>
      <c r="AX5" s="1161"/>
      <c r="AY5" s="1161"/>
      <c r="AZ5" s="1170"/>
      <c r="BA5" s="543">
        <v>5</v>
      </c>
      <c r="BB5" s="545">
        <v>600042</v>
      </c>
      <c r="BC5" s="543" t="str">
        <f t="shared" si="0"/>
        <v>札幌市中央区大通西</v>
      </c>
      <c r="BD5" s="543" t="s">
        <v>408</v>
      </c>
      <c r="BE5" s="544" t="s">
        <v>1194</v>
      </c>
      <c r="BF5" s="544" t="s">
        <v>1667</v>
      </c>
      <c r="BG5" s="1230"/>
      <c r="BH5" s="544">
        <v>3</v>
      </c>
      <c r="BI5" s="543" t="s">
        <v>1254</v>
      </c>
      <c r="BJ5" s="543" t="s">
        <v>1747</v>
      </c>
      <c r="BK5" s="543" t="s">
        <v>1748</v>
      </c>
      <c r="BL5" s="543" t="s">
        <v>1255</v>
      </c>
      <c r="BM5" s="549">
        <v>640810</v>
      </c>
      <c r="BN5" s="550" t="s">
        <v>1256</v>
      </c>
      <c r="BO5" s="551" t="s">
        <v>2131</v>
      </c>
      <c r="BQ5" s="521"/>
      <c r="BR5" s="521"/>
    </row>
    <row r="6" spans="1:70" ht="24.95" customHeight="1">
      <c r="A6" s="1068"/>
      <c r="B6" s="1186" t="s">
        <v>54</v>
      </c>
      <c r="C6" s="1186"/>
      <c r="D6" s="1164"/>
      <c r="E6" s="1164"/>
      <c r="F6" s="1164"/>
      <c r="G6" s="1164"/>
      <c r="H6" s="1164"/>
      <c r="I6" s="1164"/>
      <c r="J6" s="1164"/>
      <c r="K6" s="1164"/>
      <c r="L6" s="1164"/>
      <c r="M6" s="1169"/>
      <c r="N6" s="1177"/>
      <c r="O6" s="1177"/>
      <c r="P6" s="1178"/>
      <c r="Q6" s="1181" t="s">
        <v>54</v>
      </c>
      <c r="R6" s="1181"/>
      <c r="S6" s="1228"/>
      <c r="T6" s="1228"/>
      <c r="U6" s="1228"/>
      <c r="V6" s="1228"/>
      <c r="W6" s="1228"/>
      <c r="X6" s="1228"/>
      <c r="Y6" s="1228"/>
      <c r="Z6" s="1229"/>
      <c r="AA6" s="1068"/>
      <c r="AB6" s="1186" t="s">
        <v>54</v>
      </c>
      <c r="AC6" s="1186"/>
      <c r="AD6" s="1187" t="s">
        <v>55</v>
      </c>
      <c r="AE6" s="1187"/>
      <c r="AF6" s="1187"/>
      <c r="AG6" s="1187"/>
      <c r="AH6" s="1187"/>
      <c r="AI6" s="1187"/>
      <c r="AJ6" s="1187"/>
      <c r="AK6" s="1187"/>
      <c r="AL6" s="1187"/>
      <c r="AM6" s="1188"/>
      <c r="AN6" s="1177"/>
      <c r="AO6" s="1177"/>
      <c r="AP6" s="1178"/>
      <c r="AQ6" s="1181" t="s">
        <v>54</v>
      </c>
      <c r="AR6" s="1181"/>
      <c r="AS6" s="1172" t="s">
        <v>53</v>
      </c>
      <c r="AT6" s="1172"/>
      <c r="AU6" s="1172"/>
      <c r="AV6" s="1172"/>
      <c r="AW6" s="1172"/>
      <c r="AX6" s="1172"/>
      <c r="AY6" s="1172"/>
      <c r="AZ6" s="1173"/>
      <c r="BA6" s="543">
        <v>6</v>
      </c>
      <c r="BB6" s="545">
        <v>640820</v>
      </c>
      <c r="BC6" s="543" t="str">
        <f t="shared" si="0"/>
        <v>札幌市中央区大通西</v>
      </c>
      <c r="BD6" s="543" t="s">
        <v>408</v>
      </c>
      <c r="BE6" s="544" t="s">
        <v>1193</v>
      </c>
      <c r="BF6" s="544" t="s">
        <v>1668</v>
      </c>
      <c r="BG6" s="1230"/>
      <c r="BH6" s="544">
        <v>4</v>
      </c>
      <c r="BI6" s="543" t="s">
        <v>1257</v>
      </c>
      <c r="BJ6" s="543" t="s">
        <v>1749</v>
      </c>
      <c r="BK6" s="543" t="s">
        <v>1750</v>
      </c>
      <c r="BL6" s="543" t="s">
        <v>1258</v>
      </c>
      <c r="BM6" s="549">
        <v>600008</v>
      </c>
      <c r="BN6" s="550" t="s">
        <v>1259</v>
      </c>
      <c r="BO6" s="543" t="s">
        <v>2132</v>
      </c>
      <c r="BQ6" s="522"/>
      <c r="BR6" s="521"/>
    </row>
    <row r="7" spans="1:70" ht="24.95" customHeight="1">
      <c r="A7" s="1068"/>
      <c r="B7" s="1191" t="s">
        <v>52</v>
      </c>
      <c r="C7" s="1191"/>
      <c r="D7" s="160" t="s">
        <v>51</v>
      </c>
      <c r="E7" s="1163"/>
      <c r="F7" s="1163"/>
      <c r="G7" s="1163"/>
      <c r="H7" s="1163"/>
      <c r="I7" s="1163"/>
      <c r="J7" s="1163"/>
      <c r="K7" s="1163"/>
      <c r="L7" s="1165"/>
      <c r="M7" s="1165"/>
      <c r="N7" s="1165"/>
      <c r="O7" s="1165"/>
      <c r="P7" s="1165"/>
      <c r="Q7" s="1165"/>
      <c r="R7" s="1165"/>
      <c r="S7" s="1165"/>
      <c r="T7" s="1165"/>
      <c r="U7" s="1165"/>
      <c r="V7" s="1165"/>
      <c r="W7" s="1165"/>
      <c r="X7" s="1165"/>
      <c r="Y7" s="1165"/>
      <c r="Z7" s="1166"/>
      <c r="AA7" s="1068"/>
      <c r="AB7" s="1191" t="s">
        <v>52</v>
      </c>
      <c r="AC7" s="1191"/>
      <c r="AD7" s="160" t="s">
        <v>51</v>
      </c>
      <c r="AE7" s="1195">
        <v>50862</v>
      </c>
      <c r="AF7" s="1195"/>
      <c r="AG7" s="1195"/>
      <c r="AH7" s="1195"/>
      <c r="AI7" s="1195"/>
      <c r="AJ7" s="1195"/>
      <c r="AK7" s="1195"/>
      <c r="AL7" s="1196" t="s">
        <v>1664</v>
      </c>
      <c r="AM7" s="1196"/>
      <c r="AN7" s="1196"/>
      <c r="AO7" s="1196"/>
      <c r="AP7" s="1196"/>
      <c r="AQ7" s="1196"/>
      <c r="AR7" s="1196"/>
      <c r="AS7" s="1196"/>
      <c r="AT7" s="1196"/>
      <c r="AU7" s="1196"/>
      <c r="AV7" s="1196"/>
      <c r="AW7" s="1196"/>
      <c r="AX7" s="1196"/>
      <c r="AY7" s="1196"/>
      <c r="AZ7" s="1197"/>
      <c r="BA7" s="543">
        <v>7</v>
      </c>
      <c r="BB7" s="545">
        <v>600031</v>
      </c>
      <c r="BC7" s="543" t="str">
        <f t="shared" si="0"/>
        <v>札幌市中央区北一条東</v>
      </c>
      <c r="BD7" s="543" t="s">
        <v>408</v>
      </c>
      <c r="BE7" s="544" t="s">
        <v>420</v>
      </c>
      <c r="BF7" s="544" t="s">
        <v>1669</v>
      </c>
      <c r="BG7" s="1230"/>
      <c r="BH7" s="544">
        <v>5</v>
      </c>
      <c r="BI7" s="543" t="s">
        <v>1262</v>
      </c>
      <c r="BJ7" s="543" t="s">
        <v>1751</v>
      </c>
      <c r="BK7" s="543" t="s">
        <v>1753</v>
      </c>
      <c r="BL7" s="543" t="s">
        <v>1260</v>
      </c>
      <c r="BM7" s="549">
        <v>640921</v>
      </c>
      <c r="BN7" s="550" t="s">
        <v>1261</v>
      </c>
      <c r="BO7" s="543" t="s">
        <v>2133</v>
      </c>
      <c r="BQ7" s="521"/>
      <c r="BR7" s="521"/>
    </row>
    <row r="8" spans="1:70" ht="24.95" customHeight="1">
      <c r="A8" s="1068"/>
      <c r="B8" s="1186"/>
      <c r="C8" s="1186"/>
      <c r="D8" s="161" t="s">
        <v>1204</v>
      </c>
      <c r="E8" s="1164" t="str">
        <f>IFERROR(VLOOKUP(D4,BI3:BO204,2,FALSE),"")</f>
        <v/>
      </c>
      <c r="F8" s="1164"/>
      <c r="G8" s="1164"/>
      <c r="H8" s="1164"/>
      <c r="I8" s="1164"/>
      <c r="J8" s="1164"/>
      <c r="K8" s="1164"/>
      <c r="L8" s="1164"/>
      <c r="M8" s="1164"/>
      <c r="N8" s="1164"/>
      <c r="O8" s="1164"/>
      <c r="P8" s="1167" t="s">
        <v>1205</v>
      </c>
      <c r="Q8" s="1168"/>
      <c r="R8" s="1164" t="str">
        <f>IFERROR(VLOOKUP(D4,BI3:BO204,3,FALSE),"")</f>
        <v/>
      </c>
      <c r="S8" s="1164"/>
      <c r="T8" s="1164"/>
      <c r="U8" s="1164"/>
      <c r="V8" s="1164"/>
      <c r="W8" s="1164"/>
      <c r="X8" s="1164"/>
      <c r="Y8" s="1164"/>
      <c r="Z8" s="1169"/>
      <c r="AA8" s="1068"/>
      <c r="AB8" s="1186"/>
      <c r="AC8" s="1186"/>
      <c r="AD8" s="161" t="s">
        <v>1204</v>
      </c>
      <c r="AE8" s="1187" t="s">
        <v>2658</v>
      </c>
      <c r="AF8" s="1187"/>
      <c r="AG8" s="1187"/>
      <c r="AH8" s="1187"/>
      <c r="AI8" s="1187"/>
      <c r="AJ8" s="1187"/>
      <c r="AK8" s="1187"/>
      <c r="AL8" s="1187"/>
      <c r="AM8" s="1187"/>
      <c r="AN8" s="1187"/>
      <c r="AO8" s="1187"/>
      <c r="AP8" s="1167" t="s">
        <v>1205</v>
      </c>
      <c r="AQ8" s="1168"/>
      <c r="AR8" s="1187">
        <v>247</v>
      </c>
      <c r="AS8" s="1187"/>
      <c r="AT8" s="1187"/>
      <c r="AU8" s="1187"/>
      <c r="AV8" s="1187"/>
      <c r="AW8" s="1187"/>
      <c r="AX8" s="1187"/>
      <c r="AY8" s="1187"/>
      <c r="AZ8" s="1188"/>
      <c r="BA8" s="543">
        <v>8</v>
      </c>
      <c r="BB8" s="545">
        <v>600001</v>
      </c>
      <c r="BC8" s="543" t="str">
        <f t="shared" si="0"/>
        <v>札幌市中央区北一条西</v>
      </c>
      <c r="BD8" s="543" t="s">
        <v>408</v>
      </c>
      <c r="BE8" s="544" t="s">
        <v>1192</v>
      </c>
      <c r="BF8" s="544" t="s">
        <v>1670</v>
      </c>
      <c r="BG8" s="1230"/>
      <c r="BH8" s="544">
        <v>6</v>
      </c>
      <c r="BI8" s="551" t="s">
        <v>1264</v>
      </c>
      <c r="BJ8" s="543" t="s">
        <v>1754</v>
      </c>
      <c r="BK8" s="543" t="s">
        <v>1755</v>
      </c>
      <c r="BL8" s="543" t="s">
        <v>1265</v>
      </c>
      <c r="BM8" s="549">
        <v>640821</v>
      </c>
      <c r="BN8" s="550" t="s">
        <v>1263</v>
      </c>
      <c r="BO8" s="543" t="s">
        <v>2134</v>
      </c>
      <c r="BQ8" s="521"/>
      <c r="BR8" s="522"/>
    </row>
    <row r="9" spans="1:70" ht="24.95" customHeight="1">
      <c r="A9" s="1068"/>
      <c r="B9" s="1192" t="s">
        <v>49</v>
      </c>
      <c r="C9" s="1192"/>
      <c r="D9" s="1171" t="str">
        <f>IFERROR(VLOOKUP(D4,BI3:BO204,6,FALSE),"")</f>
        <v/>
      </c>
      <c r="E9" s="1171"/>
      <c r="F9" s="1171"/>
      <c r="G9" s="1171"/>
      <c r="H9" s="1171"/>
      <c r="I9" s="1171"/>
      <c r="J9" s="1171"/>
      <c r="K9" s="1171"/>
      <c r="L9" s="1171"/>
      <c r="M9" s="1171"/>
      <c r="N9" s="1171"/>
      <c r="O9" s="1211"/>
      <c r="P9" s="1211"/>
      <c r="Q9" s="1211"/>
      <c r="R9" s="1211"/>
      <c r="S9" s="1211"/>
      <c r="T9" s="1211"/>
      <c r="U9" s="1211"/>
      <c r="V9" s="1211"/>
      <c r="W9" s="1211"/>
      <c r="X9" s="1211"/>
      <c r="Y9" s="1211"/>
      <c r="Z9" s="1212"/>
      <c r="AA9" s="1068"/>
      <c r="AB9" s="1192" t="s">
        <v>47</v>
      </c>
      <c r="AC9" s="1192"/>
      <c r="AD9" s="1198" t="s">
        <v>2659</v>
      </c>
      <c r="AE9" s="1198"/>
      <c r="AF9" s="1198"/>
      <c r="AG9" s="1198"/>
      <c r="AH9" s="1198"/>
      <c r="AI9" s="1198"/>
      <c r="AJ9" s="1198"/>
      <c r="AK9" s="1198"/>
      <c r="AL9" s="1198"/>
      <c r="AM9" s="1198"/>
      <c r="AN9" s="1198"/>
      <c r="AO9" s="1189"/>
      <c r="AP9" s="1189"/>
      <c r="AQ9" s="1190"/>
      <c r="AR9" s="1190"/>
      <c r="AS9" s="162"/>
      <c r="AT9" s="165" t="b">
        <v>0</v>
      </c>
      <c r="AU9" s="166" t="b">
        <v>0</v>
      </c>
      <c r="AV9" s="166" t="b">
        <v>0</v>
      </c>
      <c r="AW9" s="166" t="b">
        <v>0</v>
      </c>
      <c r="AX9" s="163"/>
      <c r="AY9" s="1193" t="b">
        <v>0</v>
      </c>
      <c r="AZ9" s="1194"/>
      <c r="BA9" s="543">
        <v>9</v>
      </c>
      <c r="BB9" s="545">
        <v>640821</v>
      </c>
      <c r="BC9" s="543" t="str">
        <f t="shared" si="0"/>
        <v>札幌市中央区北一条西</v>
      </c>
      <c r="BD9" s="543" t="s">
        <v>408</v>
      </c>
      <c r="BE9" s="544" t="s">
        <v>1191</v>
      </c>
      <c r="BF9" s="544" t="s">
        <v>245</v>
      </c>
      <c r="BG9" s="1230"/>
      <c r="BH9" s="544">
        <v>7</v>
      </c>
      <c r="BI9" s="551" t="s">
        <v>1267</v>
      </c>
      <c r="BJ9" s="543" t="s">
        <v>1756</v>
      </c>
      <c r="BK9" s="543" t="s">
        <v>1757</v>
      </c>
      <c r="BL9" s="543" t="s">
        <v>1268</v>
      </c>
      <c r="BM9" s="549">
        <v>600062</v>
      </c>
      <c r="BN9" s="550" t="s">
        <v>1266</v>
      </c>
      <c r="BO9" s="543" t="s">
        <v>2135</v>
      </c>
      <c r="BQ9" s="521"/>
      <c r="BR9" s="521"/>
    </row>
    <row r="10" spans="1:70" ht="24.95" customHeight="1">
      <c r="A10" s="1068"/>
      <c r="B10" s="1192" t="s">
        <v>45</v>
      </c>
      <c r="C10" s="1192"/>
      <c r="D10" s="1171" t="str">
        <f>IFERROR(VLOOKUP(D4,BI3:BO204,7,FALSE),"")</f>
        <v/>
      </c>
      <c r="E10" s="1171"/>
      <c r="F10" s="1171"/>
      <c r="G10" s="1171"/>
      <c r="H10" s="1171"/>
      <c r="I10" s="1171"/>
      <c r="J10" s="1171"/>
      <c r="K10" s="1171"/>
      <c r="L10" s="1171"/>
      <c r="M10" s="1171"/>
      <c r="N10" s="1171"/>
      <c r="O10" s="1213"/>
      <c r="P10" s="1213"/>
      <c r="Q10" s="1213"/>
      <c r="R10" s="1213"/>
      <c r="S10" s="1213"/>
      <c r="T10" s="1213"/>
      <c r="U10" s="1213"/>
      <c r="V10" s="1213"/>
      <c r="W10" s="1213"/>
      <c r="X10" s="1213"/>
      <c r="Y10" s="1213"/>
      <c r="Z10" s="1214"/>
      <c r="AA10" s="1068"/>
      <c r="AB10" s="1192" t="s">
        <v>45</v>
      </c>
      <c r="AC10" s="1192"/>
      <c r="AD10" s="1198" t="s">
        <v>2660</v>
      </c>
      <c r="AE10" s="1198"/>
      <c r="AF10" s="1198"/>
      <c r="AG10" s="1198"/>
      <c r="AH10" s="1198"/>
      <c r="AI10" s="1198"/>
      <c r="AJ10" s="1198"/>
      <c r="AK10" s="1198"/>
      <c r="AL10" s="1198"/>
      <c r="AM10" s="1198"/>
      <c r="AN10" s="1198"/>
      <c r="AO10" s="164"/>
      <c r="AP10" s="164"/>
      <c r="AQ10" s="164"/>
      <c r="AR10" s="164"/>
      <c r="AS10" s="164"/>
      <c r="AT10" s="163"/>
      <c r="AU10" s="162"/>
      <c r="AV10" s="162"/>
      <c r="AW10" s="162"/>
      <c r="AX10" s="163"/>
      <c r="AY10" s="1125"/>
      <c r="AZ10" s="1126"/>
      <c r="BA10" s="543">
        <v>10</v>
      </c>
      <c r="BB10" s="545">
        <v>600032</v>
      </c>
      <c r="BC10" s="543" t="str">
        <f t="shared" si="0"/>
        <v>札幌市中央区北二条東</v>
      </c>
      <c r="BD10" s="543" t="s">
        <v>408</v>
      </c>
      <c r="BE10" s="544" t="s">
        <v>421</v>
      </c>
      <c r="BG10" s="1230"/>
      <c r="BH10" s="544">
        <v>8</v>
      </c>
      <c r="BI10" s="552" t="s">
        <v>1270</v>
      </c>
      <c r="BJ10" s="543" t="s">
        <v>1758</v>
      </c>
      <c r="BK10" s="543" t="s">
        <v>1759</v>
      </c>
      <c r="BL10" s="543" t="s">
        <v>1271</v>
      </c>
      <c r="BM10" s="549">
        <v>600008</v>
      </c>
      <c r="BN10" s="550" t="s">
        <v>1269</v>
      </c>
      <c r="BO10" s="543" t="s">
        <v>2136</v>
      </c>
      <c r="BQ10" s="521"/>
      <c r="BR10" s="521"/>
    </row>
    <row r="11" spans="1:70" ht="24.95" customHeight="1">
      <c r="A11" s="1069"/>
      <c r="B11" s="1181" t="s">
        <v>44</v>
      </c>
      <c r="C11" s="1181"/>
      <c r="D11" s="1226"/>
      <c r="E11" s="1226"/>
      <c r="F11" s="1226"/>
      <c r="G11" s="1226"/>
      <c r="H11" s="1226"/>
      <c r="I11" s="1226"/>
      <c r="J11" s="1226"/>
      <c r="K11" s="1226"/>
      <c r="L11" s="1226"/>
      <c r="M11" s="1226"/>
      <c r="N11" s="1226"/>
      <c r="O11" s="1226"/>
      <c r="P11" s="1226"/>
      <c r="Q11" s="1226"/>
      <c r="R11" s="1226"/>
      <c r="S11" s="1226"/>
      <c r="T11" s="1226"/>
      <c r="U11" s="1226"/>
      <c r="V11" s="1226"/>
      <c r="W11" s="1226"/>
      <c r="X11" s="1226"/>
      <c r="Y11" s="1226"/>
      <c r="Z11" s="1227"/>
      <c r="AA11" s="1069"/>
      <c r="AB11" s="1181" t="s">
        <v>43</v>
      </c>
      <c r="AC11" s="1181"/>
      <c r="AD11" s="1179" t="s">
        <v>42</v>
      </c>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80"/>
      <c r="BA11" s="543">
        <v>11</v>
      </c>
      <c r="BB11" s="545">
        <v>600002</v>
      </c>
      <c r="BC11" s="543" t="str">
        <f t="shared" si="0"/>
        <v>札幌市中央区北二条西</v>
      </c>
      <c r="BD11" s="543" t="s">
        <v>408</v>
      </c>
      <c r="BE11" s="544" t="s">
        <v>1190</v>
      </c>
      <c r="BG11" s="1230"/>
      <c r="BH11" s="544">
        <v>9</v>
      </c>
      <c r="BI11" s="551" t="s">
        <v>1274</v>
      </c>
      <c r="BJ11" s="543" t="s">
        <v>1760</v>
      </c>
      <c r="BK11" s="543" t="s">
        <v>1761</v>
      </c>
      <c r="BL11" s="543" t="s">
        <v>1273</v>
      </c>
      <c r="BM11" s="549">
        <v>640810</v>
      </c>
      <c r="BN11" s="553" t="s">
        <v>1272</v>
      </c>
      <c r="BO11" s="543" t="s">
        <v>2137</v>
      </c>
      <c r="BQ11" s="521"/>
      <c r="BR11" s="521"/>
    </row>
    <row r="12" spans="1:70" ht="20.100000000000001" customHeight="1">
      <c r="A12" s="1152" t="s">
        <v>41</v>
      </c>
      <c r="B12" s="1207" t="s">
        <v>2745</v>
      </c>
      <c r="C12" s="1208"/>
      <c r="D12" s="1208"/>
      <c r="E12" s="1208"/>
      <c r="F12" s="1248"/>
      <c r="G12" s="1248"/>
      <c r="H12" s="1219" t="s">
        <v>14</v>
      </c>
      <c r="I12" s="1219"/>
      <c r="J12" s="1219"/>
      <c r="K12" s="1220"/>
      <c r="L12" s="1098" t="s">
        <v>40</v>
      </c>
      <c r="M12" s="1099"/>
      <c r="N12" s="1099"/>
      <c r="O12" s="1099"/>
      <c r="P12" s="1099"/>
      <c r="Q12" s="1099"/>
      <c r="R12" s="1099"/>
      <c r="S12" s="1099"/>
      <c r="T12" s="1099"/>
      <c r="U12" s="1100"/>
      <c r="V12" s="1101" t="s">
        <v>39</v>
      </c>
      <c r="W12" s="1098"/>
      <c r="X12" s="1098"/>
      <c r="Y12" s="1098"/>
      <c r="Z12" s="1102"/>
      <c r="AA12" s="1152" t="s">
        <v>41</v>
      </c>
      <c r="AB12" s="1207" t="s">
        <v>3016</v>
      </c>
      <c r="AC12" s="1208"/>
      <c r="AD12" s="1208"/>
      <c r="AE12" s="1208"/>
      <c r="AF12" s="1208"/>
      <c r="AG12" s="1208"/>
      <c r="AH12" s="1219" t="s">
        <v>14</v>
      </c>
      <c r="AI12" s="1219"/>
      <c r="AJ12" s="1219"/>
      <c r="AK12" s="1220"/>
      <c r="AL12" s="1098" t="s">
        <v>40</v>
      </c>
      <c r="AM12" s="1099"/>
      <c r="AN12" s="1099"/>
      <c r="AO12" s="1099"/>
      <c r="AP12" s="1099"/>
      <c r="AQ12" s="1099"/>
      <c r="AR12" s="1099"/>
      <c r="AS12" s="1099"/>
      <c r="AT12" s="1099"/>
      <c r="AU12" s="1100"/>
      <c r="AV12" s="1101" t="s">
        <v>39</v>
      </c>
      <c r="AW12" s="1098"/>
      <c r="AX12" s="1098"/>
      <c r="AY12" s="1098"/>
      <c r="AZ12" s="1102"/>
      <c r="BA12" s="543">
        <v>12</v>
      </c>
      <c r="BB12" s="545">
        <v>640822</v>
      </c>
      <c r="BC12" s="543" t="str">
        <f t="shared" si="0"/>
        <v>札幌市中央区北二条西</v>
      </c>
      <c r="BD12" s="543" t="s">
        <v>408</v>
      </c>
      <c r="BE12" s="544" t="s">
        <v>1190</v>
      </c>
      <c r="BG12" s="1230"/>
      <c r="BH12" s="544">
        <v>10</v>
      </c>
      <c r="BI12" s="543" t="s">
        <v>1286</v>
      </c>
      <c r="BJ12" s="554" t="s">
        <v>1762</v>
      </c>
      <c r="BK12" s="554" t="s">
        <v>1763</v>
      </c>
      <c r="BL12" s="543" t="s">
        <v>1431</v>
      </c>
      <c r="BM12" s="555" t="s">
        <v>1426</v>
      </c>
      <c r="BN12" s="556" t="s">
        <v>2127</v>
      </c>
      <c r="BO12" s="543" t="s">
        <v>2128</v>
      </c>
      <c r="BQ12" s="521"/>
      <c r="BR12" s="521"/>
    </row>
    <row r="13" spans="1:70" ht="20.100000000000001" customHeight="1">
      <c r="A13" s="1235"/>
      <c r="B13" s="1209"/>
      <c r="C13" s="1210"/>
      <c r="D13" s="1210"/>
      <c r="E13" s="1210"/>
      <c r="F13" s="1249"/>
      <c r="G13" s="1249"/>
      <c r="H13" s="1139"/>
      <c r="I13" s="1139"/>
      <c r="J13" s="1139"/>
      <c r="K13" s="1104"/>
      <c r="L13" s="1236"/>
      <c r="M13" s="1237"/>
      <c r="N13" s="1237"/>
      <c r="O13" s="1139" t="s">
        <v>38</v>
      </c>
      <c r="P13" s="1139"/>
      <c r="Q13" s="1243"/>
      <c r="R13" s="1243"/>
      <c r="S13" s="1139" t="s">
        <v>12</v>
      </c>
      <c r="T13" s="1139"/>
      <c r="U13" s="167"/>
      <c r="V13" s="1215"/>
      <c r="W13" s="1216"/>
      <c r="X13" s="1216"/>
      <c r="Y13" s="1136" t="s">
        <v>12</v>
      </c>
      <c r="Z13" s="1137"/>
      <c r="AA13" s="1235"/>
      <c r="AB13" s="1209"/>
      <c r="AC13" s="1210"/>
      <c r="AD13" s="1210"/>
      <c r="AE13" s="1210"/>
      <c r="AF13" s="1210"/>
      <c r="AG13" s="1210"/>
      <c r="AH13" s="1139"/>
      <c r="AI13" s="1139"/>
      <c r="AJ13" s="1139"/>
      <c r="AK13" s="1104"/>
      <c r="AL13" s="1206">
        <v>1</v>
      </c>
      <c r="AM13" s="1190"/>
      <c r="AN13" s="1190"/>
      <c r="AO13" s="1139" t="s">
        <v>38</v>
      </c>
      <c r="AP13" s="1139"/>
      <c r="AQ13" s="1187">
        <v>2</v>
      </c>
      <c r="AR13" s="1187"/>
      <c r="AS13" s="1139" t="s">
        <v>12</v>
      </c>
      <c r="AT13" s="1139"/>
      <c r="AU13" s="167"/>
      <c r="AV13" s="1182"/>
      <c r="AW13" s="1183"/>
      <c r="AX13" s="1183"/>
      <c r="AY13" s="1136" t="s">
        <v>12</v>
      </c>
      <c r="AZ13" s="1137"/>
      <c r="BA13" s="543">
        <v>13</v>
      </c>
      <c r="BB13" s="545">
        <v>600033</v>
      </c>
      <c r="BC13" s="543" t="str">
        <f t="shared" si="0"/>
        <v>札幌市中央区北三条東</v>
      </c>
      <c r="BD13" s="543" t="s">
        <v>408</v>
      </c>
      <c r="BE13" s="544" t="s">
        <v>422</v>
      </c>
      <c r="BG13" s="1230"/>
      <c r="BH13" s="544">
        <v>11</v>
      </c>
      <c r="BI13" s="543" t="s">
        <v>1311</v>
      </c>
      <c r="BJ13" s="554" t="s">
        <v>1764</v>
      </c>
      <c r="BK13" s="554" t="s">
        <v>1765</v>
      </c>
      <c r="BL13" s="543" t="s">
        <v>1432</v>
      </c>
      <c r="BM13" s="557" t="s">
        <v>1427</v>
      </c>
      <c r="BN13" s="550" t="s">
        <v>2139</v>
      </c>
      <c r="BO13" s="543" t="s">
        <v>2138</v>
      </c>
      <c r="BQ13" s="521"/>
      <c r="BR13" s="521"/>
    </row>
    <row r="14" spans="1:70" ht="20.100000000000001" customHeight="1">
      <c r="A14" s="1235"/>
      <c r="B14" s="1184" t="s">
        <v>37</v>
      </c>
      <c r="C14" s="1244"/>
      <c r="D14" s="1245"/>
      <c r="E14" s="1138" t="s">
        <v>13</v>
      </c>
      <c r="F14" s="1245"/>
      <c r="G14" s="1245"/>
      <c r="H14" s="1138" t="s">
        <v>12</v>
      </c>
      <c r="I14" s="1138" t="s">
        <v>247</v>
      </c>
      <c r="J14" s="1232"/>
      <c r="K14" s="1103" t="s">
        <v>29</v>
      </c>
      <c r="L14" s="1127" t="s">
        <v>3155</v>
      </c>
      <c r="M14" s="1128"/>
      <c r="N14" s="1128"/>
      <c r="O14" s="1128"/>
      <c r="P14" s="1238"/>
      <c r="Q14" s="1127" t="s">
        <v>2733</v>
      </c>
      <c r="R14" s="1128"/>
      <c r="S14" s="1128"/>
      <c r="T14" s="1128"/>
      <c r="U14" s="1238"/>
      <c r="V14" s="1127" t="s">
        <v>2940</v>
      </c>
      <c r="W14" s="1128"/>
      <c r="X14" s="1128"/>
      <c r="Y14" s="1128"/>
      <c r="Z14" s="1129"/>
      <c r="AA14" s="1235"/>
      <c r="AB14" s="1184" t="s">
        <v>37</v>
      </c>
      <c r="AC14" s="1199" t="s">
        <v>31</v>
      </c>
      <c r="AD14" s="1199"/>
      <c r="AE14" s="1138" t="s">
        <v>13</v>
      </c>
      <c r="AF14" s="1199" t="s">
        <v>31</v>
      </c>
      <c r="AG14" s="1199"/>
      <c r="AH14" s="1138" t="s">
        <v>12</v>
      </c>
      <c r="AI14" s="1138" t="s">
        <v>36</v>
      </c>
      <c r="AJ14" s="1138" t="s">
        <v>248</v>
      </c>
      <c r="AK14" s="1103" t="s">
        <v>35</v>
      </c>
      <c r="AL14" s="1105" t="s">
        <v>3154</v>
      </c>
      <c r="AM14" s="1106"/>
      <c r="AN14" s="1106"/>
      <c r="AO14" s="1106"/>
      <c r="AP14" s="1107"/>
      <c r="AQ14" s="1127" t="s">
        <v>2734</v>
      </c>
      <c r="AR14" s="1128"/>
      <c r="AS14" s="1128"/>
      <c r="AT14" s="1128"/>
      <c r="AU14" s="1238"/>
      <c r="AV14" s="1127" t="s">
        <v>3156</v>
      </c>
      <c r="AW14" s="1128"/>
      <c r="AX14" s="1128"/>
      <c r="AY14" s="1128"/>
      <c r="AZ14" s="1129"/>
      <c r="BA14" s="543">
        <v>14</v>
      </c>
      <c r="BB14" s="545">
        <v>600003</v>
      </c>
      <c r="BC14" s="543" t="str">
        <f t="shared" si="0"/>
        <v>札幌市中央区北三条西</v>
      </c>
      <c r="BD14" s="543" t="s">
        <v>408</v>
      </c>
      <c r="BE14" s="544" t="s">
        <v>1189</v>
      </c>
      <c r="BG14" s="1230"/>
      <c r="BH14" s="544">
        <v>12</v>
      </c>
      <c r="BI14" s="558" t="s">
        <v>1409</v>
      </c>
      <c r="BJ14" s="554" t="s">
        <v>1766</v>
      </c>
      <c r="BK14" s="554" t="s">
        <v>1767</v>
      </c>
      <c r="BL14" s="543" t="s">
        <v>1433</v>
      </c>
      <c r="BM14" s="557" t="s">
        <v>1427</v>
      </c>
      <c r="BN14" s="550" t="s">
        <v>2140</v>
      </c>
      <c r="BO14" s="543" t="s">
        <v>2141</v>
      </c>
      <c r="BQ14" s="521"/>
      <c r="BR14" s="521"/>
    </row>
    <row r="15" spans="1:70" ht="20.100000000000001" customHeight="1">
      <c r="A15" s="1235"/>
      <c r="B15" s="1185"/>
      <c r="C15" s="1246"/>
      <c r="D15" s="1247"/>
      <c r="E15" s="1139"/>
      <c r="F15" s="1247"/>
      <c r="G15" s="1247"/>
      <c r="H15" s="1139"/>
      <c r="I15" s="1139"/>
      <c r="J15" s="1233"/>
      <c r="K15" s="1104"/>
      <c r="L15" s="1130"/>
      <c r="M15" s="1131"/>
      <c r="N15" s="1131"/>
      <c r="O15" s="1131"/>
      <c r="P15" s="1239"/>
      <c r="Q15" s="1130"/>
      <c r="R15" s="1131"/>
      <c r="S15" s="1131"/>
      <c r="T15" s="1131"/>
      <c r="U15" s="1239"/>
      <c r="V15" s="1130"/>
      <c r="W15" s="1131"/>
      <c r="X15" s="1131"/>
      <c r="Y15" s="1131"/>
      <c r="Z15" s="1132"/>
      <c r="AA15" s="1235"/>
      <c r="AB15" s="1185"/>
      <c r="AC15" s="1149"/>
      <c r="AD15" s="1149"/>
      <c r="AE15" s="1139"/>
      <c r="AF15" s="1149"/>
      <c r="AG15" s="1149"/>
      <c r="AH15" s="1139"/>
      <c r="AI15" s="1139"/>
      <c r="AJ15" s="1139"/>
      <c r="AK15" s="1104"/>
      <c r="AL15" s="1108"/>
      <c r="AM15" s="1109"/>
      <c r="AN15" s="1109"/>
      <c r="AO15" s="1109"/>
      <c r="AP15" s="1110"/>
      <c r="AQ15" s="1130"/>
      <c r="AR15" s="1131"/>
      <c r="AS15" s="1131"/>
      <c r="AT15" s="1131"/>
      <c r="AU15" s="1239"/>
      <c r="AV15" s="1130"/>
      <c r="AW15" s="1131"/>
      <c r="AX15" s="1131"/>
      <c r="AY15" s="1131"/>
      <c r="AZ15" s="1132"/>
      <c r="BA15" s="543">
        <v>15</v>
      </c>
      <c r="BB15" s="545">
        <v>640823</v>
      </c>
      <c r="BC15" s="543" t="str">
        <f t="shared" si="0"/>
        <v>札幌市中央区北三条西</v>
      </c>
      <c r="BD15" s="543" t="s">
        <v>408</v>
      </c>
      <c r="BE15" s="544" t="s">
        <v>1188</v>
      </c>
      <c r="BG15" s="1230"/>
      <c r="BH15" s="544">
        <v>13</v>
      </c>
      <c r="BI15" s="543" t="s">
        <v>1386</v>
      </c>
      <c r="BJ15" s="554" t="s">
        <v>1768</v>
      </c>
      <c r="BK15" s="554" t="s">
        <v>1769</v>
      </c>
      <c r="BL15" s="559" t="s">
        <v>1434</v>
      </c>
      <c r="BM15" s="557" t="s">
        <v>1428</v>
      </c>
      <c r="BN15" s="550" t="s">
        <v>2142</v>
      </c>
      <c r="BO15" s="543" t="s">
        <v>2143</v>
      </c>
      <c r="BQ15" s="521"/>
      <c r="BR15" s="521"/>
    </row>
    <row r="16" spans="1:70" ht="20.100000000000001" customHeight="1">
      <c r="A16" s="1235"/>
      <c r="B16" s="1145" t="s">
        <v>32</v>
      </c>
      <c r="C16" s="1244"/>
      <c r="D16" s="1245"/>
      <c r="E16" s="1138" t="s">
        <v>13</v>
      </c>
      <c r="F16" s="1245"/>
      <c r="G16" s="1245"/>
      <c r="H16" s="1138" t="s">
        <v>12</v>
      </c>
      <c r="I16" s="1138" t="s">
        <v>247</v>
      </c>
      <c r="J16" s="1232"/>
      <c r="K16" s="1103" t="s">
        <v>29</v>
      </c>
      <c r="L16" s="1133"/>
      <c r="M16" s="1134"/>
      <c r="N16" s="1134"/>
      <c r="O16" s="1134"/>
      <c r="P16" s="1240"/>
      <c r="Q16" s="1133"/>
      <c r="R16" s="1134"/>
      <c r="S16" s="1134"/>
      <c r="T16" s="1134"/>
      <c r="U16" s="1240"/>
      <c r="V16" s="1133"/>
      <c r="W16" s="1134"/>
      <c r="X16" s="1134"/>
      <c r="Y16" s="1134"/>
      <c r="Z16" s="1135"/>
      <c r="AA16" s="1235"/>
      <c r="AB16" s="1145" t="s">
        <v>32</v>
      </c>
      <c r="AC16" s="1148" t="s">
        <v>31</v>
      </c>
      <c r="AD16" s="1148"/>
      <c r="AE16" s="1147" t="s">
        <v>13</v>
      </c>
      <c r="AF16" s="1148" t="s">
        <v>3157</v>
      </c>
      <c r="AG16" s="1148"/>
      <c r="AH16" s="1147" t="s">
        <v>12</v>
      </c>
      <c r="AI16" s="1147" t="s">
        <v>30</v>
      </c>
      <c r="AJ16" s="1147" t="s">
        <v>2663</v>
      </c>
      <c r="AK16" s="1150" t="s">
        <v>29</v>
      </c>
      <c r="AL16" s="1111"/>
      <c r="AM16" s="1112"/>
      <c r="AN16" s="1112"/>
      <c r="AO16" s="1112"/>
      <c r="AP16" s="1113"/>
      <c r="AQ16" s="1133"/>
      <c r="AR16" s="1134"/>
      <c r="AS16" s="1134"/>
      <c r="AT16" s="1134"/>
      <c r="AU16" s="1240"/>
      <c r="AV16" s="1133"/>
      <c r="AW16" s="1134"/>
      <c r="AX16" s="1134"/>
      <c r="AY16" s="1134"/>
      <c r="AZ16" s="1135"/>
      <c r="BA16" s="543">
        <v>16</v>
      </c>
      <c r="BB16" s="545">
        <v>600034</v>
      </c>
      <c r="BC16" s="543" t="str">
        <f t="shared" si="0"/>
        <v>札幌市中央区北四条東</v>
      </c>
      <c r="BD16" s="543" t="s">
        <v>408</v>
      </c>
      <c r="BE16" s="544" t="s">
        <v>1162</v>
      </c>
      <c r="BG16" s="1230"/>
      <c r="BH16" s="544">
        <v>14</v>
      </c>
      <c r="BI16" s="543" t="s">
        <v>1418</v>
      </c>
      <c r="BJ16" s="554" t="s">
        <v>1770</v>
      </c>
      <c r="BK16" s="554" t="s">
        <v>1771</v>
      </c>
      <c r="BL16" s="559" t="s">
        <v>1435</v>
      </c>
      <c r="BM16" s="557" t="s">
        <v>1429</v>
      </c>
      <c r="BN16" s="550" t="s">
        <v>2144</v>
      </c>
      <c r="BO16" s="543" t="s">
        <v>2145</v>
      </c>
      <c r="BQ16" s="521"/>
      <c r="BR16" s="521"/>
    </row>
    <row r="17" spans="1:75" s="1" customFormat="1" ht="20.100000000000001" customHeight="1">
      <c r="A17" s="1235"/>
      <c r="B17" s="1146"/>
      <c r="C17" s="1246"/>
      <c r="D17" s="1247"/>
      <c r="E17" s="1139"/>
      <c r="F17" s="1247"/>
      <c r="G17" s="1247"/>
      <c r="H17" s="1139"/>
      <c r="I17" s="1139"/>
      <c r="J17" s="1233"/>
      <c r="K17" s="1104"/>
      <c r="L17" s="1241" t="s">
        <v>1726</v>
      </c>
      <c r="M17" s="1140"/>
      <c r="N17" s="1140"/>
      <c r="O17" s="1140"/>
      <c r="P17" s="1140"/>
      <c r="Q17" s="1140"/>
      <c r="R17" s="1140"/>
      <c r="S17" s="1140"/>
      <c r="T17" s="1234">
        <v>10</v>
      </c>
      <c r="U17" s="1234"/>
      <c r="V17" s="168" t="s">
        <v>26</v>
      </c>
      <c r="W17" s="168" t="s">
        <v>27</v>
      </c>
      <c r="X17" s="1234"/>
      <c r="Y17" s="1234"/>
      <c r="Z17" s="169" t="s">
        <v>26</v>
      </c>
      <c r="AA17" s="1235"/>
      <c r="AB17" s="1146"/>
      <c r="AC17" s="1149"/>
      <c r="AD17" s="1149"/>
      <c r="AE17" s="1139"/>
      <c r="AF17" s="1149"/>
      <c r="AG17" s="1149"/>
      <c r="AH17" s="1139"/>
      <c r="AI17" s="1139"/>
      <c r="AJ17" s="1139"/>
      <c r="AK17" s="1104"/>
      <c r="AL17" s="174"/>
      <c r="AM17" s="1140" t="s">
        <v>28</v>
      </c>
      <c r="AN17" s="1140"/>
      <c r="AO17" s="1140"/>
      <c r="AP17" s="1140"/>
      <c r="AQ17" s="1140"/>
      <c r="AR17" s="1140"/>
      <c r="AS17" s="1140"/>
      <c r="AT17" s="1140"/>
      <c r="AU17" s="1140"/>
      <c r="AV17" s="168" t="s">
        <v>26</v>
      </c>
      <c r="AW17" s="168" t="s">
        <v>27</v>
      </c>
      <c r="AX17" s="1140"/>
      <c r="AY17" s="1140"/>
      <c r="AZ17" s="169" t="s">
        <v>26</v>
      </c>
      <c r="BA17" s="543">
        <v>17</v>
      </c>
      <c r="BB17" s="545">
        <v>600004</v>
      </c>
      <c r="BC17" s="543" t="str">
        <f t="shared" si="0"/>
        <v>札幌市中央区北四条西</v>
      </c>
      <c r="BD17" s="543" t="s">
        <v>408</v>
      </c>
      <c r="BE17" s="544" t="s">
        <v>1187</v>
      </c>
      <c r="BF17" s="560"/>
      <c r="BG17" s="1230"/>
      <c r="BH17" s="544">
        <v>15</v>
      </c>
      <c r="BI17" s="543" t="s">
        <v>1313</v>
      </c>
      <c r="BJ17" s="554" t="s">
        <v>1772</v>
      </c>
      <c r="BK17" s="554" t="s">
        <v>1773</v>
      </c>
      <c r="BL17" s="559" t="s">
        <v>1436</v>
      </c>
      <c r="BM17" s="557" t="s">
        <v>1430</v>
      </c>
      <c r="BN17" s="561" t="s">
        <v>2146</v>
      </c>
      <c r="BO17" s="551" t="s">
        <v>2147</v>
      </c>
      <c r="BP17" s="560"/>
      <c r="BQ17" s="521"/>
      <c r="BR17" s="521"/>
      <c r="BS17" s="523"/>
      <c r="BT17" s="523"/>
      <c r="BU17" s="523"/>
      <c r="BV17" s="523"/>
      <c r="BW17" s="523"/>
    </row>
    <row r="18" spans="1:75" s="1" customFormat="1" ht="20.100000000000001" customHeight="1">
      <c r="A18" s="1068" t="s">
        <v>25</v>
      </c>
      <c r="B18" s="1256"/>
      <c r="C18" s="1256"/>
      <c r="D18" s="1256"/>
      <c r="E18" s="1119" t="s">
        <v>24</v>
      </c>
      <c r="F18" s="1120"/>
      <c r="G18" s="1202"/>
      <c r="H18" s="1203"/>
      <c r="I18" s="1203"/>
      <c r="J18" s="1203"/>
      <c r="K18" s="1203"/>
      <c r="L18" s="1203"/>
      <c r="M18" s="1203"/>
      <c r="N18" s="1203"/>
      <c r="O18" s="1203"/>
      <c r="P18" s="1204"/>
      <c r="Q18" s="1141" t="s">
        <v>23</v>
      </c>
      <c r="R18" s="1142"/>
      <c r="S18" s="1142"/>
      <c r="T18" s="1142"/>
      <c r="U18" s="1142"/>
      <c r="V18" s="1142"/>
      <c r="W18" s="1203" t="s">
        <v>1728</v>
      </c>
      <c r="X18" s="1203"/>
      <c r="Y18" s="1203"/>
      <c r="Z18" s="1204"/>
      <c r="AA18" s="1068" t="s">
        <v>25</v>
      </c>
      <c r="AB18" s="1217">
        <v>111</v>
      </c>
      <c r="AC18" s="1217"/>
      <c r="AD18" s="1217"/>
      <c r="AE18" s="1119" t="s">
        <v>24</v>
      </c>
      <c r="AF18" s="1120"/>
      <c r="AG18" s="1202"/>
      <c r="AH18" s="1203"/>
      <c r="AI18" s="1203"/>
      <c r="AJ18" s="1203"/>
      <c r="AK18" s="1203"/>
      <c r="AL18" s="1203"/>
      <c r="AM18" s="1203"/>
      <c r="AN18" s="1203"/>
      <c r="AO18" s="1203"/>
      <c r="AP18" s="1204"/>
      <c r="AQ18" s="1141" t="s">
        <v>23</v>
      </c>
      <c r="AR18" s="1142"/>
      <c r="AS18" s="1142"/>
      <c r="AT18" s="1142"/>
      <c r="AU18" s="1142"/>
      <c r="AV18" s="1142"/>
      <c r="AW18" s="175"/>
      <c r="AX18" s="1088" t="s">
        <v>22</v>
      </c>
      <c r="AY18" s="1088"/>
      <c r="AZ18" s="1124"/>
      <c r="BA18" s="543">
        <v>18</v>
      </c>
      <c r="BB18" s="545">
        <v>640825</v>
      </c>
      <c r="BC18" s="543" t="str">
        <f t="shared" si="0"/>
        <v>札幌市中央区北五条西</v>
      </c>
      <c r="BD18" s="543" t="s">
        <v>408</v>
      </c>
      <c r="BE18" s="544" t="s">
        <v>1186</v>
      </c>
      <c r="BF18" s="560"/>
      <c r="BG18" s="1230"/>
      <c r="BH18" s="544">
        <v>19</v>
      </c>
      <c r="BI18" s="543" t="s">
        <v>1417</v>
      </c>
      <c r="BJ18" s="543" t="s">
        <v>1775</v>
      </c>
      <c r="BK18" s="543" t="s">
        <v>1776</v>
      </c>
      <c r="BL18" s="559" t="s">
        <v>1438</v>
      </c>
      <c r="BM18" s="549">
        <v>630001</v>
      </c>
      <c r="BN18" s="562" t="s">
        <v>2208</v>
      </c>
      <c r="BO18" s="562" t="s">
        <v>2209</v>
      </c>
      <c r="BP18" s="560"/>
      <c r="BQ18" s="523"/>
      <c r="BR18" s="523"/>
      <c r="BS18" s="523"/>
      <c r="BT18" s="523"/>
      <c r="BU18" s="523"/>
      <c r="BV18" s="523"/>
      <c r="BW18" s="523"/>
    </row>
    <row r="19" spans="1:75" s="1" customFormat="1" ht="20.100000000000001" customHeight="1">
      <c r="A19" s="1069"/>
      <c r="B19" s="1257"/>
      <c r="C19" s="1257"/>
      <c r="D19" s="1257"/>
      <c r="E19" s="1121"/>
      <c r="F19" s="1122"/>
      <c r="G19" s="1143"/>
      <c r="H19" s="1144"/>
      <c r="I19" s="1144"/>
      <c r="J19" s="1144"/>
      <c r="K19" s="1144"/>
      <c r="L19" s="1144"/>
      <c r="M19" s="1144"/>
      <c r="N19" s="1144"/>
      <c r="O19" s="1144"/>
      <c r="P19" s="1205"/>
      <c r="Q19" s="1143"/>
      <c r="R19" s="1144"/>
      <c r="S19" s="1144"/>
      <c r="T19" s="1144"/>
      <c r="U19" s="1144"/>
      <c r="V19" s="1144"/>
      <c r="W19" s="1258" t="s">
        <v>1727</v>
      </c>
      <c r="X19" s="1258"/>
      <c r="Y19" s="1258"/>
      <c r="Z19" s="1259"/>
      <c r="AA19" s="1069"/>
      <c r="AB19" s="1218"/>
      <c r="AC19" s="1218"/>
      <c r="AD19" s="1218"/>
      <c r="AE19" s="1121"/>
      <c r="AF19" s="1122"/>
      <c r="AG19" s="1143"/>
      <c r="AH19" s="1144"/>
      <c r="AI19" s="1144"/>
      <c r="AJ19" s="1144"/>
      <c r="AK19" s="1144"/>
      <c r="AL19" s="1144"/>
      <c r="AM19" s="1144"/>
      <c r="AN19" s="1144"/>
      <c r="AO19" s="1144"/>
      <c r="AP19" s="1205"/>
      <c r="AQ19" s="1143"/>
      <c r="AR19" s="1144"/>
      <c r="AS19" s="1144"/>
      <c r="AT19" s="1144"/>
      <c r="AU19" s="1144"/>
      <c r="AV19" s="1144"/>
      <c r="AW19" s="176"/>
      <c r="AX19" s="1116" t="s">
        <v>21</v>
      </c>
      <c r="AY19" s="1116"/>
      <c r="AZ19" s="1123"/>
      <c r="BA19" s="543">
        <v>19</v>
      </c>
      <c r="BB19" s="545">
        <v>600006</v>
      </c>
      <c r="BC19" s="543" t="str">
        <f t="shared" si="0"/>
        <v>札幌市中央区北六条西</v>
      </c>
      <c r="BD19" s="543" t="s">
        <v>408</v>
      </c>
      <c r="BE19" s="544" t="s">
        <v>1185</v>
      </c>
      <c r="BF19" s="560"/>
      <c r="BG19" s="1230"/>
      <c r="BH19" s="544">
        <v>20</v>
      </c>
      <c r="BI19" s="543" t="s">
        <v>1416</v>
      </c>
      <c r="BJ19" s="543" t="s">
        <v>1777</v>
      </c>
      <c r="BK19" s="543" t="s">
        <v>1778</v>
      </c>
      <c r="BL19" s="559" t="s">
        <v>1439</v>
      </c>
      <c r="BM19" s="549">
        <v>630005</v>
      </c>
      <c r="BN19" s="562" t="s">
        <v>2184</v>
      </c>
      <c r="BO19" s="562" t="s">
        <v>2185</v>
      </c>
      <c r="BP19" s="560"/>
      <c r="BQ19" s="523"/>
      <c r="BR19" s="523"/>
      <c r="BS19" s="523"/>
      <c r="BT19" s="523"/>
      <c r="BU19" s="523"/>
      <c r="BV19" s="523"/>
      <c r="BW19" s="523"/>
    </row>
    <row r="20" spans="1:75" s="1" customFormat="1" ht="21" customHeight="1">
      <c r="A20" s="1114" t="s">
        <v>20</v>
      </c>
      <c r="B20" s="170"/>
      <c r="C20" s="1200" t="s">
        <v>19</v>
      </c>
      <c r="D20" s="1200"/>
      <c r="E20" s="1200"/>
      <c r="F20" s="1200"/>
      <c r="G20" s="1200"/>
      <c r="H20" s="1200"/>
      <c r="I20" s="1200"/>
      <c r="J20" s="1200"/>
      <c r="K20" s="1200"/>
      <c r="L20" s="1200"/>
      <c r="M20" s="1200"/>
      <c r="N20" s="1201"/>
      <c r="O20" s="1079" t="s">
        <v>2908</v>
      </c>
      <c r="P20" s="1080"/>
      <c r="Q20" s="1080"/>
      <c r="R20" s="1080"/>
      <c r="S20" s="1080"/>
      <c r="T20" s="1080"/>
      <c r="U20" s="1080"/>
      <c r="V20" s="1080"/>
      <c r="W20" s="1080"/>
      <c r="X20" s="1080"/>
      <c r="Y20" s="1080"/>
      <c r="Z20" s="1081"/>
      <c r="AA20" s="1114" t="s">
        <v>20</v>
      </c>
      <c r="AB20" s="170"/>
      <c r="AC20" s="1200" t="s">
        <v>19</v>
      </c>
      <c r="AD20" s="1200"/>
      <c r="AE20" s="1200"/>
      <c r="AF20" s="1200"/>
      <c r="AG20" s="1200"/>
      <c r="AH20" s="1200"/>
      <c r="AI20" s="1200"/>
      <c r="AJ20" s="1200"/>
      <c r="AK20" s="1200"/>
      <c r="AL20" s="1200"/>
      <c r="AM20" s="1200"/>
      <c r="AN20" s="1201"/>
      <c r="AO20" s="1079" t="s">
        <v>2908</v>
      </c>
      <c r="AP20" s="1080"/>
      <c r="AQ20" s="1080"/>
      <c r="AR20" s="1080"/>
      <c r="AS20" s="1080"/>
      <c r="AT20" s="1080"/>
      <c r="AU20" s="1080"/>
      <c r="AV20" s="1080"/>
      <c r="AW20" s="1080"/>
      <c r="AX20" s="1080"/>
      <c r="AY20" s="1080"/>
      <c r="AZ20" s="1081"/>
      <c r="BA20" s="543">
        <v>20</v>
      </c>
      <c r="BB20" s="545">
        <v>640826</v>
      </c>
      <c r="BC20" s="543" t="str">
        <f t="shared" si="0"/>
        <v>札幌市中央区北六条西</v>
      </c>
      <c r="BD20" s="543" t="s">
        <v>408</v>
      </c>
      <c r="BE20" s="544" t="s">
        <v>1185</v>
      </c>
      <c r="BF20" s="560"/>
      <c r="BG20" s="1230"/>
      <c r="BH20" s="544">
        <v>21</v>
      </c>
      <c r="BI20" s="543" t="s">
        <v>1424</v>
      </c>
      <c r="BJ20" s="543" t="s">
        <v>1779</v>
      </c>
      <c r="BK20" s="543" t="s">
        <v>1780</v>
      </c>
      <c r="BL20" s="559" t="s">
        <v>1440</v>
      </c>
      <c r="BM20" s="549">
        <v>630005</v>
      </c>
      <c r="BN20" s="563"/>
      <c r="BO20" s="560"/>
      <c r="BP20" s="560"/>
      <c r="BQ20" s="523"/>
      <c r="BR20" s="523"/>
      <c r="BS20" s="523"/>
      <c r="BT20" s="523"/>
      <c r="BU20" s="523"/>
      <c r="BV20" s="523"/>
      <c r="BW20" s="523"/>
    </row>
    <row r="21" spans="1:75" s="1" customFormat="1" ht="21" customHeight="1">
      <c r="A21" s="1114"/>
      <c r="B21" s="171"/>
      <c r="C21" s="1088" t="s">
        <v>18</v>
      </c>
      <c r="D21" s="1088"/>
      <c r="E21" s="1088"/>
      <c r="F21" s="1088"/>
      <c r="G21" s="1088"/>
      <c r="H21" s="1088"/>
      <c r="I21" s="1088"/>
      <c r="J21" s="1088"/>
      <c r="K21" s="1088"/>
      <c r="L21" s="1088"/>
      <c r="M21" s="1088"/>
      <c r="N21" s="1089"/>
      <c r="O21" s="1082"/>
      <c r="P21" s="1083"/>
      <c r="Q21" s="1083"/>
      <c r="R21" s="1083"/>
      <c r="S21" s="1083"/>
      <c r="T21" s="1083"/>
      <c r="U21" s="1083"/>
      <c r="V21" s="1083"/>
      <c r="W21" s="1083"/>
      <c r="X21" s="1083"/>
      <c r="Y21" s="1083"/>
      <c r="Z21" s="1084"/>
      <c r="AA21" s="1114"/>
      <c r="AB21" s="171"/>
      <c r="AC21" s="1088" t="s">
        <v>18</v>
      </c>
      <c r="AD21" s="1088"/>
      <c r="AE21" s="1088"/>
      <c r="AF21" s="1088"/>
      <c r="AG21" s="1088"/>
      <c r="AH21" s="1088"/>
      <c r="AI21" s="1088"/>
      <c r="AJ21" s="1088"/>
      <c r="AK21" s="1088"/>
      <c r="AL21" s="1088"/>
      <c r="AM21" s="1088"/>
      <c r="AN21" s="1089"/>
      <c r="AO21" s="1082"/>
      <c r="AP21" s="1083"/>
      <c r="AQ21" s="1083"/>
      <c r="AR21" s="1083"/>
      <c r="AS21" s="1083"/>
      <c r="AT21" s="1083"/>
      <c r="AU21" s="1083"/>
      <c r="AV21" s="1083"/>
      <c r="AW21" s="1083"/>
      <c r="AX21" s="1083"/>
      <c r="AY21" s="1083"/>
      <c r="AZ21" s="1084"/>
      <c r="BA21" s="543">
        <v>21</v>
      </c>
      <c r="BB21" s="545">
        <v>600007</v>
      </c>
      <c r="BC21" s="543" t="str">
        <f t="shared" si="0"/>
        <v>札幌市中央区北七条西</v>
      </c>
      <c r="BD21" s="543" t="s">
        <v>408</v>
      </c>
      <c r="BE21" s="544" t="s">
        <v>423</v>
      </c>
      <c r="BF21" s="560"/>
      <c r="BG21" s="1230"/>
      <c r="BH21" s="544">
        <v>22</v>
      </c>
      <c r="BI21" s="543" t="s">
        <v>1327</v>
      </c>
      <c r="BJ21" s="543" t="s">
        <v>1781</v>
      </c>
      <c r="BK21" s="543" t="s">
        <v>1782</v>
      </c>
      <c r="BL21" s="559" t="s">
        <v>1441</v>
      </c>
      <c r="BM21" s="549">
        <v>630031</v>
      </c>
      <c r="BN21" s="562" t="s">
        <v>2210</v>
      </c>
      <c r="BO21" s="562" t="s">
        <v>2211</v>
      </c>
      <c r="BP21" s="560"/>
      <c r="BQ21" s="523"/>
      <c r="BR21" s="523"/>
      <c r="BS21" s="523"/>
      <c r="BT21" s="523"/>
      <c r="BU21" s="523"/>
      <c r="BV21" s="523"/>
      <c r="BW21" s="523"/>
    </row>
    <row r="22" spans="1:75" s="1" customFormat="1" ht="21" customHeight="1">
      <c r="A22" s="1114"/>
      <c r="B22" s="171"/>
      <c r="C22" s="1088"/>
      <c r="D22" s="1088"/>
      <c r="E22" s="1088"/>
      <c r="F22" s="1088"/>
      <c r="G22" s="1088"/>
      <c r="H22" s="1088"/>
      <c r="I22" s="1088"/>
      <c r="J22" s="1088"/>
      <c r="K22" s="1088"/>
      <c r="L22" s="1088"/>
      <c r="M22" s="1088"/>
      <c r="N22" s="1089"/>
      <c r="O22" s="1082"/>
      <c r="P22" s="1083"/>
      <c r="Q22" s="1083"/>
      <c r="R22" s="1083"/>
      <c r="S22" s="1083"/>
      <c r="T22" s="1083"/>
      <c r="U22" s="1083"/>
      <c r="V22" s="1083"/>
      <c r="W22" s="1083"/>
      <c r="X22" s="1083"/>
      <c r="Y22" s="1083"/>
      <c r="Z22" s="1084"/>
      <c r="AA22" s="1114"/>
      <c r="AB22" s="171"/>
      <c r="AC22" s="1088"/>
      <c r="AD22" s="1088"/>
      <c r="AE22" s="1088"/>
      <c r="AF22" s="1088"/>
      <c r="AG22" s="1088"/>
      <c r="AH22" s="1088"/>
      <c r="AI22" s="1088"/>
      <c r="AJ22" s="1088"/>
      <c r="AK22" s="1088"/>
      <c r="AL22" s="1088"/>
      <c r="AM22" s="1088"/>
      <c r="AN22" s="1089"/>
      <c r="AO22" s="1082"/>
      <c r="AP22" s="1083"/>
      <c r="AQ22" s="1083"/>
      <c r="AR22" s="1083"/>
      <c r="AS22" s="1083"/>
      <c r="AT22" s="1083"/>
      <c r="AU22" s="1083"/>
      <c r="AV22" s="1083"/>
      <c r="AW22" s="1083"/>
      <c r="AX22" s="1083"/>
      <c r="AY22" s="1083"/>
      <c r="AZ22" s="1084"/>
      <c r="BA22" s="543">
        <v>22</v>
      </c>
      <c r="BB22" s="545">
        <v>600008</v>
      </c>
      <c r="BC22" s="543" t="str">
        <f t="shared" si="0"/>
        <v>札幌市中央区北八条西</v>
      </c>
      <c r="BD22" s="543" t="s">
        <v>408</v>
      </c>
      <c r="BE22" s="544" t="s">
        <v>424</v>
      </c>
      <c r="BF22" s="560"/>
      <c r="BG22" s="1230"/>
      <c r="BH22" s="544">
        <v>23</v>
      </c>
      <c r="BI22" s="558" t="s">
        <v>1335</v>
      </c>
      <c r="BJ22" s="543" t="s">
        <v>1783</v>
      </c>
      <c r="BK22" s="543" t="s">
        <v>1784</v>
      </c>
      <c r="BL22" s="559" t="s">
        <v>1442</v>
      </c>
      <c r="BM22" s="549">
        <v>630034</v>
      </c>
      <c r="BN22" s="562" t="s">
        <v>2186</v>
      </c>
      <c r="BO22" s="562" t="s">
        <v>2187</v>
      </c>
      <c r="BP22" s="560"/>
      <c r="BQ22" s="523"/>
      <c r="BR22" s="523"/>
      <c r="BS22" s="523"/>
      <c r="BT22" s="523"/>
      <c r="BU22" s="523"/>
      <c r="BV22" s="523"/>
      <c r="BW22" s="523"/>
    </row>
    <row r="23" spans="1:75" s="1" customFormat="1" ht="21" customHeight="1">
      <c r="A23" s="1114"/>
      <c r="B23" s="170"/>
      <c r="C23" s="1088" t="s">
        <v>2735</v>
      </c>
      <c r="D23" s="1088"/>
      <c r="E23" s="1088"/>
      <c r="F23" s="1088"/>
      <c r="G23" s="1088"/>
      <c r="H23" s="1088"/>
      <c r="I23" s="1088"/>
      <c r="J23" s="1088"/>
      <c r="K23" s="1088"/>
      <c r="L23" s="1088"/>
      <c r="M23" s="1088"/>
      <c r="N23" s="1089"/>
      <c r="O23" s="1082"/>
      <c r="P23" s="1083"/>
      <c r="Q23" s="1083"/>
      <c r="R23" s="1083"/>
      <c r="S23" s="1083"/>
      <c r="T23" s="1083"/>
      <c r="U23" s="1083"/>
      <c r="V23" s="1083"/>
      <c r="W23" s="1083"/>
      <c r="X23" s="1083"/>
      <c r="Y23" s="1083"/>
      <c r="Z23" s="1084"/>
      <c r="AA23" s="1114"/>
      <c r="AB23" s="170"/>
      <c r="AC23" s="1088" t="s">
        <v>2735</v>
      </c>
      <c r="AD23" s="1088"/>
      <c r="AE23" s="1088"/>
      <c r="AF23" s="1088"/>
      <c r="AG23" s="1088"/>
      <c r="AH23" s="1088"/>
      <c r="AI23" s="1088"/>
      <c r="AJ23" s="1088"/>
      <c r="AK23" s="1088"/>
      <c r="AL23" s="1088"/>
      <c r="AM23" s="1088"/>
      <c r="AN23" s="1089"/>
      <c r="AO23" s="1082"/>
      <c r="AP23" s="1083"/>
      <c r="AQ23" s="1083"/>
      <c r="AR23" s="1083"/>
      <c r="AS23" s="1083"/>
      <c r="AT23" s="1083"/>
      <c r="AU23" s="1083"/>
      <c r="AV23" s="1083"/>
      <c r="AW23" s="1083"/>
      <c r="AX23" s="1083"/>
      <c r="AY23" s="1083"/>
      <c r="AZ23" s="1084"/>
      <c r="BA23" s="543">
        <v>23</v>
      </c>
      <c r="BB23" s="545">
        <v>600009</v>
      </c>
      <c r="BC23" s="543" t="str">
        <f t="shared" si="0"/>
        <v>札幌市中央区北九条西</v>
      </c>
      <c r="BD23" s="543" t="s">
        <v>408</v>
      </c>
      <c r="BE23" s="544" t="s">
        <v>425</v>
      </c>
      <c r="BF23" s="560"/>
      <c r="BG23" s="1230"/>
      <c r="BH23" s="544">
        <v>24</v>
      </c>
      <c r="BI23" s="543" t="s">
        <v>1354</v>
      </c>
      <c r="BJ23" s="543" t="s">
        <v>1785</v>
      </c>
      <c r="BK23" s="543" t="s">
        <v>1786</v>
      </c>
      <c r="BL23" s="559" t="s">
        <v>1443</v>
      </c>
      <c r="BM23" s="549">
        <v>630038</v>
      </c>
      <c r="BN23" s="562" t="s">
        <v>2198</v>
      </c>
      <c r="BO23" s="562" t="s">
        <v>2199</v>
      </c>
      <c r="BP23" s="560"/>
      <c r="BQ23" s="523"/>
      <c r="BR23" s="523"/>
      <c r="BS23" s="523"/>
      <c r="BT23" s="523"/>
      <c r="BU23" s="523"/>
      <c r="BV23" s="523"/>
      <c r="BW23" s="523"/>
    </row>
    <row r="24" spans="1:75" s="1" customFormat="1" ht="21" customHeight="1">
      <c r="A24" s="1114"/>
      <c r="B24" s="172"/>
      <c r="C24" s="1088" t="s">
        <v>17</v>
      </c>
      <c r="D24" s="1088"/>
      <c r="E24" s="1088"/>
      <c r="F24" s="1088"/>
      <c r="G24" s="1088"/>
      <c r="H24" s="1088"/>
      <c r="I24" s="1088"/>
      <c r="J24" s="1088"/>
      <c r="K24" s="1088"/>
      <c r="L24" s="1088"/>
      <c r="M24" s="1088"/>
      <c r="N24" s="1089"/>
      <c r="O24" s="1082"/>
      <c r="P24" s="1083"/>
      <c r="Q24" s="1083"/>
      <c r="R24" s="1083"/>
      <c r="S24" s="1083"/>
      <c r="T24" s="1083"/>
      <c r="U24" s="1083"/>
      <c r="V24" s="1083"/>
      <c r="W24" s="1083"/>
      <c r="X24" s="1083"/>
      <c r="Y24" s="1083"/>
      <c r="Z24" s="1084"/>
      <c r="AA24" s="1114"/>
      <c r="AB24" s="172"/>
      <c r="AC24" s="1088" t="s">
        <v>17</v>
      </c>
      <c r="AD24" s="1088"/>
      <c r="AE24" s="1088"/>
      <c r="AF24" s="1088"/>
      <c r="AG24" s="1088"/>
      <c r="AH24" s="1088"/>
      <c r="AI24" s="1088"/>
      <c r="AJ24" s="1088"/>
      <c r="AK24" s="1088"/>
      <c r="AL24" s="1088"/>
      <c r="AM24" s="1088"/>
      <c r="AN24" s="1089"/>
      <c r="AO24" s="1082"/>
      <c r="AP24" s="1083"/>
      <c r="AQ24" s="1083"/>
      <c r="AR24" s="1083"/>
      <c r="AS24" s="1083"/>
      <c r="AT24" s="1083"/>
      <c r="AU24" s="1083"/>
      <c r="AV24" s="1083"/>
      <c r="AW24" s="1083"/>
      <c r="AX24" s="1083"/>
      <c r="AY24" s="1083"/>
      <c r="AZ24" s="1084"/>
      <c r="BA24" s="543">
        <v>24</v>
      </c>
      <c r="BB24" s="545">
        <v>600010</v>
      </c>
      <c r="BC24" s="543" t="str">
        <f t="shared" si="0"/>
        <v>札幌市中央区北十条西</v>
      </c>
      <c r="BD24" s="543" t="s">
        <v>408</v>
      </c>
      <c r="BE24" s="544" t="s">
        <v>426</v>
      </c>
      <c r="BF24" s="560"/>
      <c r="BG24" s="1230"/>
      <c r="BH24" s="544">
        <v>25</v>
      </c>
      <c r="BI24" s="543" t="s">
        <v>1355</v>
      </c>
      <c r="BJ24" s="543" t="s">
        <v>1785</v>
      </c>
      <c r="BK24" s="543" t="s">
        <v>1787</v>
      </c>
      <c r="BL24" s="559" t="s">
        <v>1444</v>
      </c>
      <c r="BM24" s="549">
        <v>630038</v>
      </c>
      <c r="BN24" s="562" t="s">
        <v>2202</v>
      </c>
      <c r="BO24" s="562" t="s">
        <v>2203</v>
      </c>
      <c r="BP24" s="560"/>
      <c r="BQ24" s="523"/>
      <c r="BR24" s="523"/>
      <c r="BS24" s="523"/>
      <c r="BT24" s="523"/>
      <c r="BU24" s="523"/>
      <c r="BV24" s="523"/>
      <c r="BW24" s="523"/>
    </row>
    <row r="25" spans="1:75" s="1" customFormat="1" ht="21" customHeight="1">
      <c r="A25" s="1114"/>
      <c r="B25" s="172"/>
      <c r="C25" s="1088" t="s">
        <v>16</v>
      </c>
      <c r="D25" s="1088"/>
      <c r="E25" s="1088"/>
      <c r="F25" s="1088"/>
      <c r="G25" s="1088"/>
      <c r="H25" s="1088"/>
      <c r="I25" s="1088"/>
      <c r="J25" s="1088"/>
      <c r="K25" s="1088"/>
      <c r="L25" s="1088"/>
      <c r="M25" s="1088"/>
      <c r="N25" s="1089"/>
      <c r="O25" s="1082"/>
      <c r="P25" s="1083"/>
      <c r="Q25" s="1083"/>
      <c r="R25" s="1083"/>
      <c r="S25" s="1083"/>
      <c r="T25" s="1083"/>
      <c r="U25" s="1083"/>
      <c r="V25" s="1083"/>
      <c r="W25" s="1083"/>
      <c r="X25" s="1083"/>
      <c r="Y25" s="1083"/>
      <c r="Z25" s="1084"/>
      <c r="AA25" s="1114"/>
      <c r="AB25" s="172"/>
      <c r="AC25" s="1088" t="s">
        <v>16</v>
      </c>
      <c r="AD25" s="1088"/>
      <c r="AE25" s="1088"/>
      <c r="AF25" s="1088"/>
      <c r="AG25" s="1088"/>
      <c r="AH25" s="1088"/>
      <c r="AI25" s="1088"/>
      <c r="AJ25" s="1088"/>
      <c r="AK25" s="1088"/>
      <c r="AL25" s="1088"/>
      <c r="AM25" s="1088"/>
      <c r="AN25" s="1089"/>
      <c r="AO25" s="1082"/>
      <c r="AP25" s="1083"/>
      <c r="AQ25" s="1083"/>
      <c r="AR25" s="1083"/>
      <c r="AS25" s="1083"/>
      <c r="AT25" s="1083"/>
      <c r="AU25" s="1083"/>
      <c r="AV25" s="1083"/>
      <c r="AW25" s="1083"/>
      <c r="AX25" s="1083"/>
      <c r="AY25" s="1083"/>
      <c r="AZ25" s="1084"/>
      <c r="BA25" s="543">
        <v>25</v>
      </c>
      <c r="BB25" s="545">
        <v>600011</v>
      </c>
      <c r="BC25" s="543" t="str">
        <f t="shared" si="0"/>
        <v>札幌市中央区北十一条西</v>
      </c>
      <c r="BD25" s="543" t="s">
        <v>408</v>
      </c>
      <c r="BE25" s="544" t="s">
        <v>427</v>
      </c>
      <c r="BF25" s="560"/>
      <c r="BG25" s="1230"/>
      <c r="BH25" s="544">
        <v>26</v>
      </c>
      <c r="BI25" s="543" t="s">
        <v>1356</v>
      </c>
      <c r="BJ25" s="543" t="s">
        <v>1788</v>
      </c>
      <c r="BK25" s="543" t="s">
        <v>1789</v>
      </c>
      <c r="BL25" s="559" t="s">
        <v>1445</v>
      </c>
      <c r="BM25" s="549">
        <v>630802</v>
      </c>
      <c r="BN25" s="562" t="s">
        <v>2192</v>
      </c>
      <c r="BO25" s="562" t="s">
        <v>2193</v>
      </c>
      <c r="BP25" s="560"/>
      <c r="BQ25" s="523"/>
      <c r="BR25" s="523"/>
      <c r="BS25" s="523"/>
      <c r="BT25" s="523"/>
      <c r="BU25" s="523"/>
      <c r="BV25" s="523"/>
      <c r="BW25" s="523"/>
    </row>
    <row r="26" spans="1:75" s="1" customFormat="1" ht="21" customHeight="1">
      <c r="A26" s="1114"/>
      <c r="B26" s="172"/>
      <c r="C26" s="1088" t="s">
        <v>2912</v>
      </c>
      <c r="D26" s="1088"/>
      <c r="E26" s="1088"/>
      <c r="F26" s="1088"/>
      <c r="G26" s="1088"/>
      <c r="H26" s="1088"/>
      <c r="I26" s="1088"/>
      <c r="J26" s="1088"/>
      <c r="K26" s="1088"/>
      <c r="L26" s="1088"/>
      <c r="M26" s="1088"/>
      <c r="N26" s="1089"/>
      <c r="O26" s="1082"/>
      <c r="P26" s="1083"/>
      <c r="Q26" s="1083"/>
      <c r="R26" s="1083"/>
      <c r="S26" s="1083"/>
      <c r="T26" s="1083"/>
      <c r="U26" s="1083"/>
      <c r="V26" s="1083"/>
      <c r="W26" s="1083"/>
      <c r="X26" s="1083"/>
      <c r="Y26" s="1083"/>
      <c r="Z26" s="1084"/>
      <c r="AA26" s="1114"/>
      <c r="AB26" s="172"/>
      <c r="AC26" s="1088" t="s">
        <v>2912</v>
      </c>
      <c r="AD26" s="1088"/>
      <c r="AE26" s="1088"/>
      <c r="AF26" s="1088"/>
      <c r="AG26" s="1088"/>
      <c r="AH26" s="1088"/>
      <c r="AI26" s="1088"/>
      <c r="AJ26" s="1088"/>
      <c r="AK26" s="1088"/>
      <c r="AL26" s="1088"/>
      <c r="AM26" s="1088"/>
      <c r="AN26" s="1089"/>
      <c r="AO26" s="1082"/>
      <c r="AP26" s="1083"/>
      <c r="AQ26" s="1083"/>
      <c r="AR26" s="1083"/>
      <c r="AS26" s="1083"/>
      <c r="AT26" s="1083"/>
      <c r="AU26" s="1083"/>
      <c r="AV26" s="1083"/>
      <c r="AW26" s="1083"/>
      <c r="AX26" s="1083"/>
      <c r="AY26" s="1083"/>
      <c r="AZ26" s="1084"/>
      <c r="BA26" s="543">
        <v>26</v>
      </c>
      <c r="BB26" s="545">
        <v>600012</v>
      </c>
      <c r="BC26" s="543" t="str">
        <f t="shared" si="0"/>
        <v>札幌市中央区北十二条西</v>
      </c>
      <c r="BD26" s="543" t="s">
        <v>408</v>
      </c>
      <c r="BE26" s="544" t="s">
        <v>428</v>
      </c>
      <c r="BF26" s="560"/>
      <c r="BG26" s="1230"/>
      <c r="BH26" s="544">
        <v>27</v>
      </c>
      <c r="BI26" s="543" t="s">
        <v>1359</v>
      </c>
      <c r="BJ26" s="543" t="s">
        <v>1790</v>
      </c>
      <c r="BK26" s="543" t="s">
        <v>1791</v>
      </c>
      <c r="BL26" s="559" t="s">
        <v>1446</v>
      </c>
      <c r="BM26" s="549">
        <v>630843</v>
      </c>
      <c r="BN26" s="562" t="s">
        <v>2204</v>
      </c>
      <c r="BO26" s="562" t="s">
        <v>2205</v>
      </c>
      <c r="BP26" s="560"/>
      <c r="BQ26" s="523"/>
      <c r="BR26" s="523"/>
      <c r="BS26" s="523"/>
      <c r="BT26" s="523"/>
      <c r="BU26" s="523"/>
      <c r="BV26" s="523"/>
      <c r="BW26" s="523"/>
    </row>
    <row r="27" spans="1:75" s="1" customFormat="1" ht="21" customHeight="1">
      <c r="A27" s="1114"/>
      <c r="B27" s="172"/>
      <c r="C27" s="1088" t="s">
        <v>15</v>
      </c>
      <c r="D27" s="1088"/>
      <c r="E27" s="1088"/>
      <c r="F27" s="1088"/>
      <c r="G27" s="1088"/>
      <c r="H27" s="1088"/>
      <c r="I27" s="1088"/>
      <c r="J27" s="1088"/>
      <c r="K27" s="1088"/>
      <c r="L27" s="1088"/>
      <c r="M27" s="1088"/>
      <c r="N27" s="1089"/>
      <c r="O27" s="1082"/>
      <c r="P27" s="1083"/>
      <c r="Q27" s="1083"/>
      <c r="R27" s="1083"/>
      <c r="S27" s="1083"/>
      <c r="T27" s="1083"/>
      <c r="U27" s="1083"/>
      <c r="V27" s="1083"/>
      <c r="W27" s="1083"/>
      <c r="X27" s="1083"/>
      <c r="Y27" s="1083"/>
      <c r="Z27" s="1084"/>
      <c r="AA27" s="1114"/>
      <c r="AB27" s="172"/>
      <c r="AC27" s="1088" t="s">
        <v>15</v>
      </c>
      <c r="AD27" s="1088"/>
      <c r="AE27" s="1088"/>
      <c r="AF27" s="1088"/>
      <c r="AG27" s="1088"/>
      <c r="AH27" s="1088"/>
      <c r="AI27" s="1088"/>
      <c r="AJ27" s="1088"/>
      <c r="AK27" s="1088"/>
      <c r="AL27" s="1088"/>
      <c r="AM27" s="1088"/>
      <c r="AN27" s="1089"/>
      <c r="AO27" s="1082"/>
      <c r="AP27" s="1083"/>
      <c r="AQ27" s="1083"/>
      <c r="AR27" s="1083"/>
      <c r="AS27" s="1083"/>
      <c r="AT27" s="1083"/>
      <c r="AU27" s="1083"/>
      <c r="AV27" s="1083"/>
      <c r="AW27" s="1083"/>
      <c r="AX27" s="1083"/>
      <c r="AY27" s="1083"/>
      <c r="AZ27" s="1084"/>
      <c r="BA27" s="543">
        <v>27</v>
      </c>
      <c r="BB27" s="545">
        <v>600013</v>
      </c>
      <c r="BC27" s="543" t="str">
        <f t="shared" si="0"/>
        <v>札幌市中央区北十三条西</v>
      </c>
      <c r="BD27" s="543" t="s">
        <v>408</v>
      </c>
      <c r="BE27" s="544" t="s">
        <v>429</v>
      </c>
      <c r="BF27" s="560"/>
      <c r="BG27" s="1230"/>
      <c r="BH27" s="544">
        <v>28</v>
      </c>
      <c r="BI27" s="543" t="s">
        <v>1357</v>
      </c>
      <c r="BJ27" s="543" t="s">
        <v>1792</v>
      </c>
      <c r="BK27" s="543" t="s">
        <v>1793</v>
      </c>
      <c r="BL27" s="559" t="s">
        <v>1447</v>
      </c>
      <c r="BM27" s="549">
        <v>630844</v>
      </c>
      <c r="BN27" s="562" t="s">
        <v>2190</v>
      </c>
      <c r="BO27" s="562" t="s">
        <v>2191</v>
      </c>
      <c r="BP27" s="560"/>
      <c r="BQ27" s="523"/>
      <c r="BR27" s="523"/>
      <c r="BS27" s="523"/>
      <c r="BT27" s="523"/>
      <c r="BU27" s="523"/>
      <c r="BV27" s="523"/>
      <c r="BW27" s="523"/>
    </row>
    <row r="28" spans="1:75" s="1" customFormat="1" ht="21" customHeight="1">
      <c r="A28" s="1114"/>
      <c r="B28" s="172"/>
      <c r="C28" s="1088" t="s">
        <v>2739</v>
      </c>
      <c r="D28" s="1088"/>
      <c r="E28" s="1088"/>
      <c r="F28" s="1088"/>
      <c r="G28" s="1088"/>
      <c r="H28" s="1088"/>
      <c r="I28" s="1088"/>
      <c r="J28" s="1088"/>
      <c r="K28" s="1088"/>
      <c r="L28" s="1088"/>
      <c r="M28" s="1088"/>
      <c r="N28" s="1089"/>
      <c r="O28" s="1082"/>
      <c r="P28" s="1083"/>
      <c r="Q28" s="1083"/>
      <c r="R28" s="1083"/>
      <c r="S28" s="1083"/>
      <c r="T28" s="1083"/>
      <c r="U28" s="1083"/>
      <c r="V28" s="1083"/>
      <c r="W28" s="1083"/>
      <c r="X28" s="1083"/>
      <c r="Y28" s="1083"/>
      <c r="Z28" s="1084"/>
      <c r="AA28" s="1114"/>
      <c r="AB28" s="172"/>
      <c r="AC28" s="1088" t="s">
        <v>2739</v>
      </c>
      <c r="AD28" s="1088"/>
      <c r="AE28" s="1088"/>
      <c r="AF28" s="1088"/>
      <c r="AG28" s="1088"/>
      <c r="AH28" s="1088"/>
      <c r="AI28" s="1088"/>
      <c r="AJ28" s="1088"/>
      <c r="AK28" s="1088"/>
      <c r="AL28" s="1088"/>
      <c r="AM28" s="1088"/>
      <c r="AN28" s="1089"/>
      <c r="AO28" s="1082"/>
      <c r="AP28" s="1083"/>
      <c r="AQ28" s="1083"/>
      <c r="AR28" s="1083"/>
      <c r="AS28" s="1083"/>
      <c r="AT28" s="1083"/>
      <c r="AU28" s="1083"/>
      <c r="AV28" s="1083"/>
      <c r="AW28" s="1083"/>
      <c r="AX28" s="1083"/>
      <c r="AY28" s="1083"/>
      <c r="AZ28" s="1084"/>
      <c r="BA28" s="543">
        <v>28</v>
      </c>
      <c r="BB28" s="545">
        <v>600014</v>
      </c>
      <c r="BC28" s="543" t="str">
        <f t="shared" si="0"/>
        <v>札幌市中央区北十四条西</v>
      </c>
      <c r="BD28" s="543" t="s">
        <v>408</v>
      </c>
      <c r="BE28" s="544" t="s">
        <v>430</v>
      </c>
      <c r="BF28" s="560"/>
      <c r="BG28" s="1230"/>
      <c r="BH28" s="544">
        <v>29</v>
      </c>
      <c r="BI28" s="543" t="s">
        <v>1306</v>
      </c>
      <c r="BJ28" s="543" t="s">
        <v>1794</v>
      </c>
      <c r="BK28" s="543" t="s">
        <v>1795</v>
      </c>
      <c r="BL28" s="559" t="s">
        <v>1448</v>
      </c>
      <c r="BM28" s="549">
        <v>630867</v>
      </c>
      <c r="BN28" s="562" t="s">
        <v>2180</v>
      </c>
      <c r="BO28" s="562" t="s">
        <v>2181</v>
      </c>
      <c r="BP28" s="560"/>
      <c r="BQ28" s="523"/>
      <c r="BR28" s="523"/>
      <c r="BS28" s="523"/>
      <c r="BT28" s="523"/>
      <c r="BU28" s="523"/>
      <c r="BV28" s="523"/>
      <c r="BW28" s="523"/>
    </row>
    <row r="29" spans="1:75" s="1" customFormat="1" ht="21" customHeight="1">
      <c r="A29" s="1114"/>
      <c r="B29" s="1250"/>
      <c r="C29" s="1251"/>
      <c r="D29" s="1251"/>
      <c r="E29" s="1251"/>
      <c r="F29" s="1251"/>
      <c r="G29" s="1251"/>
      <c r="H29" s="1251"/>
      <c r="I29" s="1251"/>
      <c r="J29" s="1251"/>
      <c r="K29" s="1251"/>
      <c r="L29" s="1251"/>
      <c r="M29" s="1251"/>
      <c r="N29" s="1252"/>
      <c r="O29" s="1082"/>
      <c r="P29" s="1083"/>
      <c r="Q29" s="1083"/>
      <c r="R29" s="1083"/>
      <c r="S29" s="1083"/>
      <c r="T29" s="1083"/>
      <c r="U29" s="1083"/>
      <c r="V29" s="1083"/>
      <c r="W29" s="1083"/>
      <c r="X29" s="1083"/>
      <c r="Y29" s="1083"/>
      <c r="Z29" s="1084"/>
      <c r="AA29" s="1114"/>
      <c r="AB29" s="172"/>
      <c r="AC29" s="1117" t="s">
        <v>2930</v>
      </c>
      <c r="AD29" s="1117"/>
      <c r="AE29" s="1117"/>
      <c r="AF29" s="1117"/>
      <c r="AG29" s="1117"/>
      <c r="AH29" s="1117"/>
      <c r="AI29" s="1117"/>
      <c r="AJ29" s="1117"/>
      <c r="AK29" s="1117"/>
      <c r="AL29" s="1117"/>
      <c r="AM29" s="1117"/>
      <c r="AN29" s="1118"/>
      <c r="AO29" s="1082"/>
      <c r="AP29" s="1083"/>
      <c r="AQ29" s="1083"/>
      <c r="AR29" s="1083"/>
      <c r="AS29" s="1083"/>
      <c r="AT29" s="1083"/>
      <c r="AU29" s="1083"/>
      <c r="AV29" s="1083"/>
      <c r="AW29" s="1083"/>
      <c r="AX29" s="1083"/>
      <c r="AY29" s="1083"/>
      <c r="AZ29" s="1084"/>
      <c r="BA29" s="543">
        <v>29</v>
      </c>
      <c r="BB29" s="545">
        <v>600015</v>
      </c>
      <c r="BC29" s="543" t="str">
        <f t="shared" si="0"/>
        <v>札幌市中央区北十五条西</v>
      </c>
      <c r="BD29" s="543" t="s">
        <v>408</v>
      </c>
      <c r="BE29" s="544" t="s">
        <v>431</v>
      </c>
      <c r="BF29" s="560"/>
      <c r="BG29" s="1230"/>
      <c r="BH29" s="544">
        <v>30</v>
      </c>
      <c r="BI29" s="543" t="s">
        <v>1358</v>
      </c>
      <c r="BJ29" s="543" t="s">
        <v>1796</v>
      </c>
      <c r="BK29" s="543" t="s">
        <v>1767</v>
      </c>
      <c r="BL29" s="559" t="s">
        <v>1449</v>
      </c>
      <c r="BM29" s="549">
        <v>630848</v>
      </c>
      <c r="BN29" s="562" t="s">
        <v>2212</v>
      </c>
      <c r="BO29" s="562" t="s">
        <v>2213</v>
      </c>
      <c r="BP29" s="560"/>
      <c r="BQ29" s="523"/>
      <c r="BR29" s="523"/>
      <c r="BS29" s="523"/>
      <c r="BT29" s="523"/>
      <c r="BU29" s="523"/>
      <c r="BV29" s="523"/>
      <c r="BW29" s="523"/>
    </row>
    <row r="30" spans="1:75" s="1" customFormat="1" ht="21" customHeight="1">
      <c r="A30" s="1115"/>
      <c r="B30" s="1253"/>
      <c r="C30" s="1254"/>
      <c r="D30" s="1254"/>
      <c r="E30" s="1254"/>
      <c r="F30" s="1254"/>
      <c r="G30" s="1254"/>
      <c r="H30" s="1254"/>
      <c r="I30" s="1254"/>
      <c r="J30" s="1254"/>
      <c r="K30" s="1254"/>
      <c r="L30" s="1254"/>
      <c r="M30" s="1254"/>
      <c r="N30" s="1255"/>
      <c r="O30" s="1085"/>
      <c r="P30" s="1086"/>
      <c r="Q30" s="1086"/>
      <c r="R30" s="1086"/>
      <c r="S30" s="1086"/>
      <c r="T30" s="1086"/>
      <c r="U30" s="1086"/>
      <c r="V30" s="1086"/>
      <c r="W30" s="1086"/>
      <c r="X30" s="1086"/>
      <c r="Y30" s="1086"/>
      <c r="Z30" s="1087"/>
      <c r="AA30" s="1115"/>
      <c r="AB30" s="177"/>
      <c r="AC30" s="1116" t="s">
        <v>2909</v>
      </c>
      <c r="AD30" s="1116"/>
      <c r="AE30" s="1116"/>
      <c r="AF30" s="687" t="s">
        <v>2910</v>
      </c>
      <c r="AG30" s="1116"/>
      <c r="AH30" s="1116"/>
      <c r="AI30" s="1116"/>
      <c r="AJ30" s="1116"/>
      <c r="AK30" s="1116"/>
      <c r="AL30" s="1116"/>
      <c r="AM30" s="1116"/>
      <c r="AN30" s="693" t="s">
        <v>2911</v>
      </c>
      <c r="AO30" s="1085"/>
      <c r="AP30" s="1086"/>
      <c r="AQ30" s="1086"/>
      <c r="AR30" s="1086"/>
      <c r="AS30" s="1086"/>
      <c r="AT30" s="1086"/>
      <c r="AU30" s="1086"/>
      <c r="AV30" s="1086"/>
      <c r="AW30" s="1086"/>
      <c r="AX30" s="1086"/>
      <c r="AY30" s="1086"/>
      <c r="AZ30" s="1087"/>
      <c r="BA30" s="543">
        <v>30</v>
      </c>
      <c r="BB30" s="545">
        <v>600016</v>
      </c>
      <c r="BC30" s="543" t="str">
        <f t="shared" si="0"/>
        <v>札幌市中央区北十六条西</v>
      </c>
      <c r="BD30" s="543" t="s">
        <v>408</v>
      </c>
      <c r="BE30" s="544" t="s">
        <v>432</v>
      </c>
      <c r="BF30" s="560"/>
      <c r="BG30" s="1230"/>
      <c r="BH30" s="544">
        <v>31</v>
      </c>
      <c r="BI30" s="543" t="s">
        <v>1360</v>
      </c>
      <c r="BJ30" s="543" t="s">
        <v>1797</v>
      </c>
      <c r="BK30" s="543" t="s">
        <v>1798</v>
      </c>
      <c r="BL30" s="559" t="s">
        <v>1450</v>
      </c>
      <c r="BM30" s="549">
        <v>630830</v>
      </c>
      <c r="BN30" s="562" t="s">
        <v>2182</v>
      </c>
      <c r="BO30" s="562" t="s">
        <v>2183</v>
      </c>
      <c r="BP30" s="560"/>
      <c r="BQ30" s="523"/>
      <c r="BR30" s="523"/>
      <c r="BS30" s="523"/>
      <c r="BT30" s="523"/>
      <c r="BU30" s="523"/>
      <c r="BV30" s="523"/>
      <c r="BW30" s="523"/>
    </row>
    <row r="31" spans="1:75" s="1" customFormat="1" ht="24.95" customHeight="1">
      <c r="A31" s="1093"/>
      <c r="B31" s="1093"/>
      <c r="C31" s="1093"/>
      <c r="D31" s="1093"/>
      <c r="E31" s="1093"/>
      <c r="F31" s="1093"/>
      <c r="G31" s="1093"/>
      <c r="H31" s="1093"/>
      <c r="I31" s="1093"/>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543">
        <v>31</v>
      </c>
      <c r="BB31" s="545">
        <v>600017</v>
      </c>
      <c r="BC31" s="543" t="str">
        <f t="shared" si="0"/>
        <v>札幌市中央区北十七条西</v>
      </c>
      <c r="BD31" s="543" t="s">
        <v>408</v>
      </c>
      <c r="BE31" s="544" t="s">
        <v>433</v>
      </c>
      <c r="BF31" s="560"/>
      <c r="BG31" s="1230"/>
      <c r="BH31" s="544">
        <v>32</v>
      </c>
      <c r="BI31" s="543" t="s">
        <v>1423</v>
      </c>
      <c r="BJ31" s="543" t="s">
        <v>1799</v>
      </c>
      <c r="BK31" s="543" t="s">
        <v>1800</v>
      </c>
      <c r="BL31" s="559" t="s">
        <v>1451</v>
      </c>
      <c r="BM31" s="549">
        <v>630831</v>
      </c>
      <c r="BN31" s="563"/>
      <c r="BO31" s="560"/>
      <c r="BP31" s="560"/>
      <c r="BQ31" s="523"/>
      <c r="BR31" s="523"/>
      <c r="BS31" s="523"/>
      <c r="BT31" s="523"/>
      <c r="BU31" s="523"/>
      <c r="BV31" s="523"/>
      <c r="BW31" s="523"/>
    </row>
    <row r="32" spans="1:75" s="1" customFormat="1" ht="24.95" customHeight="1">
      <c r="A32" s="1093"/>
      <c r="B32" s="1093"/>
      <c r="C32" s="1093"/>
      <c r="D32" s="1093"/>
      <c r="E32" s="1093"/>
      <c r="F32" s="1093"/>
      <c r="G32" s="1093"/>
      <c r="H32" s="1093"/>
      <c r="I32" s="1093"/>
      <c r="J32" s="1093"/>
      <c r="K32" s="1093"/>
      <c r="L32" s="1093"/>
      <c r="M32" s="1093"/>
      <c r="N32" s="1093"/>
      <c r="O32" s="1093"/>
      <c r="P32" s="1093"/>
      <c r="Q32" s="1093"/>
      <c r="R32" s="530" t="s">
        <v>2745</v>
      </c>
      <c r="S32" s="497"/>
      <c r="T32" s="531" t="s">
        <v>14</v>
      </c>
      <c r="U32" s="1242"/>
      <c r="V32" s="1242"/>
      <c r="W32" s="531" t="s">
        <v>13</v>
      </c>
      <c r="X32" s="1242"/>
      <c r="Y32" s="1242"/>
      <c r="Z32" s="531" t="s">
        <v>12</v>
      </c>
      <c r="AA32" s="1093"/>
      <c r="AB32" s="1093"/>
      <c r="AC32" s="1093"/>
      <c r="AD32" s="1093"/>
      <c r="AE32" s="1093"/>
      <c r="AF32" s="1093"/>
      <c r="AG32" s="1093"/>
      <c r="AH32" s="1093"/>
      <c r="AI32" s="1093"/>
      <c r="AJ32" s="1093"/>
      <c r="AK32" s="1093"/>
      <c r="AL32" s="1093"/>
      <c r="AM32" s="1093"/>
      <c r="AN32" s="1093"/>
      <c r="AO32" s="1093"/>
      <c r="AP32" s="1093"/>
      <c r="AQ32" s="1093"/>
      <c r="AR32" s="1094" t="s">
        <v>2937</v>
      </c>
      <c r="AS32" s="1094"/>
      <c r="AT32" s="173" t="s">
        <v>14</v>
      </c>
      <c r="AU32" s="1095">
        <v>9</v>
      </c>
      <c r="AV32" s="1095"/>
      <c r="AW32" s="173" t="s">
        <v>13</v>
      </c>
      <c r="AX32" s="1095">
        <v>8</v>
      </c>
      <c r="AY32" s="1095"/>
      <c r="AZ32" s="173" t="s">
        <v>12</v>
      </c>
      <c r="BA32" s="560"/>
      <c r="BB32" s="545">
        <v>600018</v>
      </c>
      <c r="BC32" s="543" t="str">
        <f t="shared" si="0"/>
        <v>札幌市中央区北十八条西</v>
      </c>
      <c r="BD32" s="543" t="s">
        <v>408</v>
      </c>
      <c r="BE32" s="544" t="s">
        <v>434</v>
      </c>
      <c r="BF32" s="560"/>
      <c r="BG32" s="1230"/>
      <c r="BH32" s="544">
        <v>33</v>
      </c>
      <c r="BI32" s="543" t="s">
        <v>1362</v>
      </c>
      <c r="BJ32" s="543" t="s">
        <v>1801</v>
      </c>
      <c r="BK32" s="543" t="s">
        <v>1802</v>
      </c>
      <c r="BL32" s="559" t="s">
        <v>1453</v>
      </c>
      <c r="BM32" s="549">
        <v>630835</v>
      </c>
      <c r="BN32" s="562" t="s">
        <v>2200</v>
      </c>
      <c r="BO32" s="562" t="s">
        <v>2201</v>
      </c>
      <c r="BP32" s="560"/>
      <c r="BQ32" s="523"/>
      <c r="BR32" s="523"/>
      <c r="BS32" s="523"/>
      <c r="BT32" s="523"/>
      <c r="BU32" s="523"/>
      <c r="BV32" s="523"/>
      <c r="BW32" s="523"/>
    </row>
    <row r="33" spans="1:75" s="1" customFormat="1" ht="24.95" customHeight="1">
      <c r="A33" s="1070" t="s">
        <v>10</v>
      </c>
      <c r="B33" s="1070"/>
      <c r="C33" s="1078" t="s">
        <v>11</v>
      </c>
      <c r="D33" s="1078"/>
      <c r="E33" s="1078"/>
      <c r="F33" s="1078"/>
      <c r="G33" s="1078"/>
      <c r="H33" s="1078"/>
      <c r="I33" s="1078"/>
      <c r="J33" s="1078"/>
      <c r="K33" s="1078"/>
      <c r="L33" s="1078"/>
      <c r="M33" s="1078"/>
      <c r="N33" s="1078"/>
      <c r="O33" s="1078"/>
      <c r="P33" s="1078"/>
      <c r="Q33" s="1078"/>
      <c r="R33" s="1093"/>
      <c r="S33" s="1093"/>
      <c r="T33" s="1093"/>
      <c r="U33" s="1093"/>
      <c r="V33" s="1093"/>
      <c r="W33" s="1093"/>
      <c r="X33" s="1093"/>
      <c r="Y33" s="1093"/>
      <c r="Z33" s="1093"/>
      <c r="AA33" s="1070" t="s">
        <v>10</v>
      </c>
      <c r="AB33" s="1070"/>
      <c r="AC33" s="1078" t="s">
        <v>9</v>
      </c>
      <c r="AD33" s="1078"/>
      <c r="AE33" s="1078"/>
      <c r="AF33" s="1078"/>
      <c r="AG33" s="1078"/>
      <c r="AH33" s="1078"/>
      <c r="AI33" s="1078"/>
      <c r="AJ33" s="1078"/>
      <c r="AK33" s="1078"/>
      <c r="AL33" s="1078"/>
      <c r="AM33" s="1078"/>
      <c r="AN33" s="1078"/>
      <c r="AO33" s="1078"/>
      <c r="AP33" s="1078"/>
      <c r="AQ33" s="1078"/>
      <c r="AR33" s="1093"/>
      <c r="AS33" s="1093"/>
      <c r="AT33" s="1093"/>
      <c r="AU33" s="1093"/>
      <c r="AV33" s="1093"/>
      <c r="AW33" s="1093"/>
      <c r="AX33" s="1093"/>
      <c r="AY33" s="1093"/>
      <c r="AZ33" s="1093"/>
      <c r="BA33" s="560"/>
      <c r="BB33" s="545">
        <v>600020</v>
      </c>
      <c r="BC33" s="543" t="str">
        <f t="shared" si="0"/>
        <v>札幌市中央区北二十条西</v>
      </c>
      <c r="BD33" s="543" t="s">
        <v>408</v>
      </c>
      <c r="BE33" s="544" t="s">
        <v>435</v>
      </c>
      <c r="BF33" s="560"/>
      <c r="BG33" s="1230"/>
      <c r="BH33" s="544">
        <v>34</v>
      </c>
      <c r="BI33" s="543" t="s">
        <v>1363</v>
      </c>
      <c r="BJ33" s="543" t="s">
        <v>1803</v>
      </c>
      <c r="BK33" s="543" t="s">
        <v>1804</v>
      </c>
      <c r="BL33" s="559" t="s">
        <v>1454</v>
      </c>
      <c r="BM33" s="549">
        <v>630822</v>
      </c>
      <c r="BN33" s="562" t="s">
        <v>2194</v>
      </c>
      <c r="BO33" s="562" t="s">
        <v>2195</v>
      </c>
      <c r="BP33" s="560"/>
      <c r="BQ33" s="523"/>
      <c r="BR33" s="523"/>
      <c r="BS33" s="523"/>
      <c r="BT33" s="523"/>
      <c r="BU33" s="523"/>
      <c r="BV33" s="523"/>
      <c r="BW33" s="523"/>
    </row>
    <row r="34" spans="1:75" s="1" customFormat="1" ht="24.95" customHeight="1">
      <c r="A34" s="1070"/>
      <c r="B34" s="1070"/>
      <c r="C34" s="1078" t="s">
        <v>8</v>
      </c>
      <c r="D34" s="1078"/>
      <c r="E34" s="1078"/>
      <c r="F34" s="1078"/>
      <c r="G34" s="1078"/>
      <c r="H34" s="1078"/>
      <c r="I34" s="1078"/>
      <c r="J34" s="1078"/>
      <c r="K34" s="1078"/>
      <c r="L34" s="1078"/>
      <c r="M34" s="1078"/>
      <c r="N34" s="1078"/>
      <c r="O34" s="1078"/>
      <c r="P34" s="1078"/>
      <c r="Q34" s="1078"/>
      <c r="R34" s="1064"/>
      <c r="S34" s="1064"/>
      <c r="T34" s="1064"/>
      <c r="U34" s="1064"/>
      <c r="V34" s="1064"/>
      <c r="W34" s="1065"/>
      <c r="X34" s="1090" t="s">
        <v>2744</v>
      </c>
      <c r="Y34" s="1091"/>
      <c r="Z34" s="1092"/>
      <c r="AA34" s="1070"/>
      <c r="AB34" s="1070"/>
      <c r="AC34" s="1078" t="s">
        <v>8</v>
      </c>
      <c r="AD34" s="1078"/>
      <c r="AE34" s="1078"/>
      <c r="AF34" s="1078"/>
      <c r="AG34" s="1078"/>
      <c r="AH34" s="1078"/>
      <c r="AI34" s="1078"/>
      <c r="AJ34" s="1078"/>
      <c r="AK34" s="1078"/>
      <c r="AL34" s="1078"/>
      <c r="AM34" s="1078"/>
      <c r="AN34" s="1078"/>
      <c r="AO34" s="1078"/>
      <c r="AP34" s="1078"/>
      <c r="AQ34" s="1078"/>
      <c r="AR34" s="1064"/>
      <c r="AS34" s="1064"/>
      <c r="AT34" s="1064"/>
      <c r="AU34" s="1064"/>
      <c r="AV34" s="1064"/>
      <c r="AW34" s="1064"/>
      <c r="AX34" s="1090" t="s">
        <v>2744</v>
      </c>
      <c r="AY34" s="1091"/>
      <c r="AZ34" s="1092"/>
      <c r="BA34" s="560"/>
      <c r="BB34" s="545">
        <v>600021</v>
      </c>
      <c r="BC34" s="543" t="str">
        <f t="shared" si="0"/>
        <v>札幌市中央区北二十一条西</v>
      </c>
      <c r="BD34" s="543" t="s">
        <v>408</v>
      </c>
      <c r="BE34" s="544" t="s">
        <v>436</v>
      </c>
      <c r="BF34" s="560"/>
      <c r="BG34" s="1230"/>
      <c r="BH34" s="544">
        <v>35</v>
      </c>
      <c r="BI34" s="543" t="s">
        <v>1361</v>
      </c>
      <c r="BJ34" s="543" t="s">
        <v>1805</v>
      </c>
      <c r="BK34" s="543" t="s">
        <v>1806</v>
      </c>
      <c r="BL34" s="559" t="s">
        <v>1455</v>
      </c>
      <c r="BM34" s="549">
        <v>630825</v>
      </c>
      <c r="BN34" s="562" t="s">
        <v>2188</v>
      </c>
      <c r="BO34" s="562" t="s">
        <v>2189</v>
      </c>
      <c r="BP34" s="560"/>
      <c r="BQ34" s="523"/>
      <c r="BR34" s="523"/>
      <c r="BS34" s="523"/>
      <c r="BT34" s="523"/>
      <c r="BU34" s="523"/>
      <c r="BV34" s="523"/>
      <c r="BW34" s="523"/>
    </row>
    <row r="35" spans="1:75" s="1" customFormat="1" ht="24.95" customHeight="1">
      <c r="A35" s="1070"/>
      <c r="B35" s="1070"/>
      <c r="C35" s="1070"/>
      <c r="D35" s="1070"/>
      <c r="E35" s="1070"/>
      <c r="F35" s="1070"/>
      <c r="G35" s="1070"/>
      <c r="H35" s="1070"/>
      <c r="I35" s="1070"/>
      <c r="J35" s="1070"/>
      <c r="K35" s="1070"/>
      <c r="L35" s="1070"/>
      <c r="M35" s="1070"/>
      <c r="N35" s="1070"/>
      <c r="O35" s="1070"/>
      <c r="P35" s="1070"/>
      <c r="Q35" s="1070"/>
      <c r="R35" s="1064"/>
      <c r="S35" s="1064"/>
      <c r="T35" s="1064"/>
      <c r="U35" s="1064"/>
      <c r="V35" s="1064"/>
      <c r="W35" s="1065"/>
      <c r="X35" s="1072"/>
      <c r="Y35" s="1073"/>
      <c r="Z35" s="1074"/>
      <c r="AA35" s="1070"/>
      <c r="AB35" s="1070"/>
      <c r="AC35" s="1070"/>
      <c r="AD35" s="1070"/>
      <c r="AE35" s="1070"/>
      <c r="AF35" s="1070"/>
      <c r="AG35" s="1070"/>
      <c r="AH35" s="1070"/>
      <c r="AI35" s="1070"/>
      <c r="AJ35" s="1070"/>
      <c r="AK35" s="1070"/>
      <c r="AL35" s="1070"/>
      <c r="AM35" s="1070"/>
      <c r="AN35" s="1070"/>
      <c r="AO35" s="1070"/>
      <c r="AP35" s="1070"/>
      <c r="AQ35" s="1070"/>
      <c r="AR35" s="1071"/>
      <c r="AS35" s="1071"/>
      <c r="AT35" s="1071"/>
      <c r="AU35" s="1071"/>
      <c r="AV35" s="1071"/>
      <c r="AW35" s="1071"/>
      <c r="AX35" s="1072"/>
      <c r="AY35" s="1073"/>
      <c r="AZ35" s="1074"/>
      <c r="BA35" s="560"/>
      <c r="BB35" s="545">
        <v>600022</v>
      </c>
      <c r="BC35" s="543" t="str">
        <f t="shared" si="0"/>
        <v>札幌市中央区北二十二条西</v>
      </c>
      <c r="BD35" s="543" t="s">
        <v>408</v>
      </c>
      <c r="BE35" s="544" t="s">
        <v>437</v>
      </c>
      <c r="BF35" s="560"/>
      <c r="BG35" s="1230"/>
      <c r="BH35" s="544">
        <v>36</v>
      </c>
      <c r="BI35" s="543" t="s">
        <v>1349</v>
      </c>
      <c r="BJ35" s="543" t="s">
        <v>1807</v>
      </c>
      <c r="BK35" s="543" t="s">
        <v>1808</v>
      </c>
      <c r="BL35" s="559" t="s">
        <v>1456</v>
      </c>
      <c r="BM35" s="549">
        <v>630827</v>
      </c>
      <c r="BN35" s="562" t="s">
        <v>2196</v>
      </c>
      <c r="BO35" s="562" t="s">
        <v>2197</v>
      </c>
      <c r="BP35" s="560"/>
      <c r="BQ35" s="523"/>
      <c r="BR35" s="523"/>
      <c r="BS35" s="523"/>
      <c r="BT35" s="523"/>
      <c r="BU35" s="523"/>
      <c r="BV35" s="523"/>
      <c r="BW35" s="523"/>
    </row>
    <row r="36" spans="1:75" s="1" customFormat="1" ht="24.95" customHeight="1">
      <c r="A36" s="1070"/>
      <c r="B36" s="1070"/>
      <c r="C36" s="1070"/>
      <c r="D36" s="1070"/>
      <c r="E36" s="1070"/>
      <c r="F36" s="1070"/>
      <c r="G36" s="1070"/>
      <c r="H36" s="1070"/>
      <c r="I36" s="1070"/>
      <c r="J36" s="1070"/>
      <c r="K36" s="1070"/>
      <c r="L36" s="1070"/>
      <c r="M36" s="1070"/>
      <c r="N36" s="1070"/>
      <c r="O36" s="1070"/>
      <c r="P36" s="1070"/>
      <c r="Q36" s="1070"/>
      <c r="R36" s="1064"/>
      <c r="S36" s="1064"/>
      <c r="T36" s="1064"/>
      <c r="U36" s="1064"/>
      <c r="V36" s="1064"/>
      <c r="W36" s="1065"/>
      <c r="X36" s="1075"/>
      <c r="Y36" s="1076"/>
      <c r="Z36" s="1077"/>
      <c r="AA36" s="1070"/>
      <c r="AB36" s="1070"/>
      <c r="AC36" s="1070"/>
      <c r="AD36" s="1070"/>
      <c r="AE36" s="1070"/>
      <c r="AF36" s="1070"/>
      <c r="AG36" s="1070"/>
      <c r="AH36" s="1070"/>
      <c r="AI36" s="1070"/>
      <c r="AJ36" s="1070"/>
      <c r="AK36" s="1070"/>
      <c r="AL36" s="1070"/>
      <c r="AM36" s="1070"/>
      <c r="AN36" s="1070"/>
      <c r="AO36" s="1070"/>
      <c r="AP36" s="1070"/>
      <c r="AQ36" s="1070"/>
      <c r="AR36" s="1071"/>
      <c r="AS36" s="1071"/>
      <c r="AT36" s="1071"/>
      <c r="AU36" s="1071"/>
      <c r="AV36" s="1071"/>
      <c r="AW36" s="1071"/>
      <c r="AX36" s="1075"/>
      <c r="AY36" s="1076"/>
      <c r="AZ36" s="1077"/>
      <c r="BA36" s="560"/>
      <c r="BB36" s="545">
        <v>640943</v>
      </c>
      <c r="BC36" s="543" t="str">
        <f t="shared" si="0"/>
        <v>札幌市中央区界川</v>
      </c>
      <c r="BD36" s="543" t="s">
        <v>408</v>
      </c>
      <c r="BE36" s="544" t="s">
        <v>438</v>
      </c>
      <c r="BF36" s="560"/>
      <c r="BG36" s="1230"/>
      <c r="BH36" s="544">
        <v>37</v>
      </c>
      <c r="BI36" s="543" t="s">
        <v>1379</v>
      </c>
      <c r="BJ36" s="543" t="s">
        <v>1809</v>
      </c>
      <c r="BK36" s="543" t="s">
        <v>1810</v>
      </c>
      <c r="BL36" s="559" t="s">
        <v>1457</v>
      </c>
      <c r="BM36" s="549">
        <v>630012</v>
      </c>
      <c r="BN36" s="562" t="s">
        <v>2206</v>
      </c>
      <c r="BO36" s="562" t="s">
        <v>2207</v>
      </c>
      <c r="BP36" s="560"/>
      <c r="BQ36" s="523"/>
      <c r="BR36" s="523"/>
      <c r="BS36" s="523"/>
      <c r="BT36" s="523"/>
      <c r="BU36" s="523"/>
      <c r="BV36" s="523"/>
      <c r="BW36" s="523"/>
    </row>
    <row r="37" spans="1:75" ht="13.5" hidden="1" customHeight="1">
      <c r="A37" s="1022"/>
      <c r="B37" s="1022"/>
      <c r="C37" s="520"/>
      <c r="D37" s="520"/>
      <c r="E37" s="520"/>
      <c r="O37" t="s">
        <v>3136</v>
      </c>
      <c r="U37" t="s">
        <v>3137</v>
      </c>
      <c r="BB37" s="545">
        <v>640931</v>
      </c>
      <c r="BC37" s="543" t="str">
        <f t="shared" si="0"/>
        <v>札幌市中央区中島公園</v>
      </c>
      <c r="BD37" s="543" t="s">
        <v>408</v>
      </c>
      <c r="BE37" s="544" t="s">
        <v>439</v>
      </c>
      <c r="BG37" s="1230"/>
      <c r="BH37" s="544">
        <v>38</v>
      </c>
      <c r="BI37" s="543" t="s">
        <v>1387</v>
      </c>
      <c r="BJ37" s="543" t="s">
        <v>1811</v>
      </c>
      <c r="BK37" s="543" t="s">
        <v>1812</v>
      </c>
      <c r="BL37" s="543" t="s">
        <v>1458</v>
      </c>
      <c r="BM37" s="549">
        <v>630023</v>
      </c>
      <c r="BN37" s="562" t="s">
        <v>2214</v>
      </c>
      <c r="BO37" s="562" t="s">
        <v>2215</v>
      </c>
    </row>
    <row r="38" spans="1:75" ht="13.5" hidden="1" customHeight="1">
      <c r="A38" s="1023">
        <v>1</v>
      </c>
      <c r="B38" s="1022"/>
      <c r="C38" s="520"/>
      <c r="D38" s="520"/>
      <c r="E38" s="520"/>
      <c r="M38" t="s">
        <v>3131</v>
      </c>
      <c r="N38" t="s">
        <v>3132</v>
      </c>
      <c r="O38" s="1061">
        <f>DATE(F12+2018, C14, F14)</f>
        <v>43069</v>
      </c>
      <c r="P38" s="1061"/>
      <c r="Q38" s="1061"/>
      <c r="R38" s="1061"/>
      <c r="S38" s="127"/>
      <c r="T38" s="127"/>
      <c r="U38" s="127" t="str">
        <f>TEXT(DATE(F12+2018, C14, F14), "ggge年m月d日")</f>
        <v>平成29年11月30日</v>
      </c>
      <c r="V38" s="127"/>
      <c r="W38" s="127"/>
      <c r="X38" s="1225" t="b">
        <v>0</v>
      </c>
      <c r="Y38" s="1225"/>
      <c r="Z38" s="127"/>
      <c r="BB38" s="545">
        <v>640945</v>
      </c>
      <c r="BC38" s="543" t="str">
        <f t="shared" si="0"/>
        <v>札幌市中央区盤渓</v>
      </c>
      <c r="BD38" s="543" t="s">
        <v>408</v>
      </c>
      <c r="BE38" s="544" t="s">
        <v>440</v>
      </c>
      <c r="BG38" s="1230" t="s">
        <v>1459</v>
      </c>
      <c r="BH38" s="544">
        <v>39</v>
      </c>
      <c r="BI38" s="543" t="s">
        <v>1300</v>
      </c>
      <c r="BJ38" s="554" t="s">
        <v>1813</v>
      </c>
      <c r="BK38" s="554" t="s">
        <v>1814</v>
      </c>
      <c r="BL38" s="543" t="s">
        <v>1460</v>
      </c>
      <c r="BM38" s="564">
        <v>40841</v>
      </c>
      <c r="BN38" s="562" t="s">
        <v>2262</v>
      </c>
      <c r="BO38" s="562" t="s">
        <v>2263</v>
      </c>
      <c r="BQ38" s="525"/>
      <c r="BR38" s="524"/>
      <c r="BU38" s="524"/>
      <c r="BV38" s="524"/>
    </row>
    <row r="39" spans="1:75" ht="13.5" hidden="1" customHeight="1">
      <c r="A39" s="1023">
        <v>2</v>
      </c>
      <c r="B39" s="1022"/>
      <c r="C39" s="520"/>
      <c r="D39" s="520"/>
      <c r="E39" s="520"/>
      <c r="N39" t="s">
        <v>3133</v>
      </c>
      <c r="O39" s="1061">
        <f>DATE(F12+2018, C16, F16)</f>
        <v>43069</v>
      </c>
      <c r="P39" s="1061"/>
      <c r="Q39" s="1061"/>
      <c r="R39" s="1061"/>
      <c r="S39" s="128"/>
      <c r="T39" s="128"/>
      <c r="U39" s="1062" t="str">
        <f>TEXT(DATE(F12+2018, C16, F16), "ggge年m月d日")</f>
        <v>平成29年11月30日</v>
      </c>
      <c r="V39" s="1062"/>
      <c r="W39" s="1062"/>
      <c r="X39" s="127"/>
      <c r="Y39" s="127"/>
      <c r="Z39" s="127"/>
      <c r="BB39" s="545">
        <v>640942</v>
      </c>
      <c r="BC39" s="543" t="str">
        <f t="shared" si="0"/>
        <v>札幌市中央区伏見</v>
      </c>
      <c r="BD39" s="543" t="s">
        <v>408</v>
      </c>
      <c r="BE39" s="544" t="s">
        <v>441</v>
      </c>
      <c r="BG39" s="1230"/>
      <c r="BH39" s="544">
        <v>40</v>
      </c>
      <c r="BI39" s="543" t="s">
        <v>1302</v>
      </c>
      <c r="BJ39" s="543" t="s">
        <v>1817</v>
      </c>
      <c r="BK39" s="543" t="s">
        <v>1818</v>
      </c>
      <c r="BL39" s="543" t="s">
        <v>1461</v>
      </c>
      <c r="BM39" s="565">
        <v>40845</v>
      </c>
      <c r="BN39" s="562" t="s">
        <v>2270</v>
      </c>
      <c r="BO39" s="562" t="s">
        <v>2271</v>
      </c>
      <c r="BQ39" s="525"/>
      <c r="BR39" s="524"/>
      <c r="BU39" s="524"/>
      <c r="BV39" s="524"/>
    </row>
    <row r="40" spans="1:75" ht="13.5" hidden="1" customHeight="1">
      <c r="A40" s="1023">
        <v>3</v>
      </c>
      <c r="B40" s="520"/>
      <c r="C40" s="520"/>
      <c r="D40" s="520"/>
      <c r="E40" s="520"/>
      <c r="Q40" s="27"/>
      <c r="R40" s="129" t="b">
        <v>0</v>
      </c>
      <c r="S40" s="130" t="b">
        <v>0</v>
      </c>
      <c r="T40" s="130" t="b">
        <v>0</v>
      </c>
      <c r="U40" s="130" t="b">
        <v>0</v>
      </c>
      <c r="V40" s="128"/>
      <c r="W40" s="127"/>
      <c r="X40" s="127"/>
      <c r="Y40" s="127"/>
      <c r="Z40" s="127"/>
      <c r="BB40" s="545">
        <v>640946</v>
      </c>
      <c r="BC40" s="543" t="str">
        <f t="shared" si="0"/>
        <v>札幌市中央区双子山</v>
      </c>
      <c r="BD40" s="543" t="s">
        <v>408</v>
      </c>
      <c r="BE40" s="544" t="s">
        <v>442</v>
      </c>
      <c r="BG40" s="1230"/>
      <c r="BH40" s="544">
        <v>41</v>
      </c>
      <c r="BI40" s="543" t="s">
        <v>1301</v>
      </c>
      <c r="BJ40" s="543" t="s">
        <v>1819</v>
      </c>
      <c r="BK40" s="543" t="s">
        <v>1820</v>
      </c>
      <c r="BL40" s="543" t="s">
        <v>1462</v>
      </c>
      <c r="BM40" s="565">
        <v>40847</v>
      </c>
      <c r="BN40" s="562" t="s">
        <v>2276</v>
      </c>
      <c r="BO40" s="562" t="s">
        <v>2277</v>
      </c>
      <c r="BQ40" s="525"/>
      <c r="BR40" s="524"/>
      <c r="BU40" s="524"/>
      <c r="BV40" s="524"/>
    </row>
    <row r="41" spans="1:75" ht="13.5" hidden="1" customHeight="1">
      <c r="A41" s="1023">
        <v>4</v>
      </c>
      <c r="B41" s="520"/>
      <c r="C41" s="520"/>
      <c r="D41" s="520"/>
      <c r="E41" s="520"/>
      <c r="Q41" s="27"/>
      <c r="R41" s="128"/>
      <c r="S41" s="128"/>
      <c r="T41" s="128"/>
      <c r="U41" s="128"/>
      <c r="V41" s="128"/>
      <c r="W41" s="127"/>
      <c r="X41" s="127"/>
      <c r="Y41" s="127"/>
      <c r="Z41" s="127"/>
      <c r="BB41" s="545">
        <v>640944</v>
      </c>
      <c r="BC41" s="543" t="str">
        <f t="shared" si="0"/>
        <v>札幌市中央区円山西町</v>
      </c>
      <c r="BD41" s="543" t="s">
        <v>408</v>
      </c>
      <c r="BE41" s="544" t="s">
        <v>443</v>
      </c>
      <c r="BG41" s="1230"/>
      <c r="BH41" s="544">
        <v>42</v>
      </c>
      <c r="BI41" s="558" t="s">
        <v>1318</v>
      </c>
      <c r="BJ41" s="543" t="s">
        <v>1821</v>
      </c>
      <c r="BK41" s="543" t="s">
        <v>1822</v>
      </c>
      <c r="BL41" s="543" t="s">
        <v>1463</v>
      </c>
      <c r="BM41" s="565">
        <v>40811</v>
      </c>
      <c r="BN41" s="562" t="s">
        <v>2280</v>
      </c>
      <c r="BO41" s="562" t="s">
        <v>2281</v>
      </c>
      <c r="BQ41" s="525"/>
      <c r="BR41" s="524"/>
      <c r="BU41" s="524"/>
      <c r="BV41" s="524"/>
    </row>
    <row r="42" spans="1:75" ht="13.5" hidden="1" customHeight="1">
      <c r="A42" s="1023">
        <v>5</v>
      </c>
      <c r="R42" s="127"/>
      <c r="S42" s="127"/>
      <c r="T42" s="127"/>
      <c r="U42" s="127"/>
      <c r="V42" s="127"/>
      <c r="W42" s="127"/>
      <c r="X42" s="127"/>
      <c r="Y42" s="127"/>
      <c r="Z42" s="127"/>
      <c r="BB42" s="545">
        <v>600051</v>
      </c>
      <c r="BC42" s="543" t="str">
        <f t="shared" si="0"/>
        <v>札幌市中央区南一条東</v>
      </c>
      <c r="BD42" s="543" t="s">
        <v>408</v>
      </c>
      <c r="BE42" s="544" t="s">
        <v>444</v>
      </c>
      <c r="BG42" s="1230"/>
      <c r="BH42" s="544">
        <v>43</v>
      </c>
      <c r="BI42" s="543" t="s">
        <v>1285</v>
      </c>
      <c r="BJ42" s="543" t="s">
        <v>1823</v>
      </c>
      <c r="BK42" s="543" t="s">
        <v>1824</v>
      </c>
      <c r="BL42" s="543" t="s">
        <v>1464</v>
      </c>
      <c r="BM42" s="565">
        <v>40812</v>
      </c>
      <c r="BN42" s="562" t="s">
        <v>2286</v>
      </c>
      <c r="BO42" s="562" t="s">
        <v>2287</v>
      </c>
      <c r="BQ42" s="525"/>
      <c r="BR42" s="524"/>
      <c r="BU42" s="524"/>
      <c r="BV42" s="524"/>
    </row>
    <row r="43" spans="1:75" ht="13.5" hidden="1" customHeight="1">
      <c r="A43" s="1023">
        <v>6</v>
      </c>
      <c r="BB43" s="545">
        <v>600061</v>
      </c>
      <c r="BC43" s="543" t="str">
        <f t="shared" si="0"/>
        <v>札幌市中央区南一条西</v>
      </c>
      <c r="BD43" s="543" t="s">
        <v>408</v>
      </c>
      <c r="BE43" s="544" t="s">
        <v>1184</v>
      </c>
      <c r="BG43" s="1230"/>
      <c r="BH43" s="544">
        <v>44</v>
      </c>
      <c r="BI43" s="558" t="s">
        <v>1465</v>
      </c>
      <c r="BJ43" s="543" t="s">
        <v>1825</v>
      </c>
      <c r="BK43" s="543" t="s">
        <v>1826</v>
      </c>
      <c r="BL43" s="543" t="s">
        <v>1466</v>
      </c>
      <c r="BM43" s="565">
        <v>40814</v>
      </c>
      <c r="BN43" s="562" t="s">
        <v>2290</v>
      </c>
      <c r="BO43" s="562" t="s">
        <v>2291</v>
      </c>
      <c r="BQ43" s="525"/>
      <c r="BR43" s="524"/>
      <c r="BU43" s="524"/>
      <c r="BV43" s="524"/>
    </row>
    <row r="44" spans="1:75" ht="13.5" hidden="1" customHeight="1">
      <c r="A44" s="1023">
        <v>7</v>
      </c>
      <c r="BB44" s="545">
        <v>640801</v>
      </c>
      <c r="BC44" s="543" t="str">
        <f t="shared" si="0"/>
        <v>札幌市中央区南一条西</v>
      </c>
      <c r="BD44" s="543" t="s">
        <v>408</v>
      </c>
      <c r="BE44" s="544" t="s">
        <v>1184</v>
      </c>
      <c r="BG44" s="1230"/>
      <c r="BH44" s="544">
        <v>45</v>
      </c>
      <c r="BI44" s="543" t="s">
        <v>1374</v>
      </c>
      <c r="BJ44" s="543" t="s">
        <v>1827</v>
      </c>
      <c r="BK44" s="543" t="s">
        <v>1828</v>
      </c>
      <c r="BL44" s="543" t="s">
        <v>1467</v>
      </c>
      <c r="BM44" s="565">
        <v>40872</v>
      </c>
      <c r="BN44" s="562" t="s">
        <v>2282</v>
      </c>
      <c r="BO44" s="562" t="s">
        <v>2283</v>
      </c>
      <c r="BQ44" s="525"/>
      <c r="BR44" s="524"/>
      <c r="BU44" s="524"/>
      <c r="BV44" s="524"/>
    </row>
    <row r="45" spans="1:75" ht="13.5" hidden="1" customHeight="1">
      <c r="A45" s="1023">
        <v>8</v>
      </c>
      <c r="BB45" s="545">
        <v>600052</v>
      </c>
      <c r="BC45" s="543" t="str">
        <f t="shared" si="0"/>
        <v>札幌市中央区南二条東</v>
      </c>
      <c r="BD45" s="543" t="s">
        <v>408</v>
      </c>
      <c r="BE45" s="544" t="s">
        <v>445</v>
      </c>
      <c r="BG45" s="1230"/>
      <c r="BH45" s="544">
        <v>46</v>
      </c>
      <c r="BI45" s="543" t="s">
        <v>1373</v>
      </c>
      <c r="BJ45" s="543" t="s">
        <v>1829</v>
      </c>
      <c r="BK45" s="543" t="s">
        <v>1830</v>
      </c>
      <c r="BL45" s="543" t="s">
        <v>1468</v>
      </c>
      <c r="BM45" s="565">
        <v>40875</v>
      </c>
      <c r="BN45" s="562" t="s">
        <v>2284</v>
      </c>
      <c r="BO45" s="562" t="s">
        <v>2285</v>
      </c>
      <c r="BQ45" s="525"/>
      <c r="BR45" s="524"/>
      <c r="BU45" s="524"/>
      <c r="BV45" s="524"/>
    </row>
    <row r="46" spans="1:75" ht="13.5" hidden="1" customHeight="1">
      <c r="A46" s="1023">
        <v>9</v>
      </c>
      <c r="BB46" s="545">
        <v>600062</v>
      </c>
      <c r="BC46" s="543" t="str">
        <f t="shared" si="0"/>
        <v>札幌市中央区南二条西</v>
      </c>
      <c r="BD46" s="543" t="s">
        <v>408</v>
      </c>
      <c r="BE46" s="544" t="s">
        <v>1183</v>
      </c>
      <c r="BG46" s="1230"/>
      <c r="BH46" s="544">
        <v>47</v>
      </c>
      <c r="BI46" s="558" t="s">
        <v>1371</v>
      </c>
      <c r="BJ46" s="543" t="s">
        <v>1831</v>
      </c>
      <c r="BK46" s="543" t="s">
        <v>1832</v>
      </c>
      <c r="BL46" s="543" t="s">
        <v>1469</v>
      </c>
      <c r="BM46" s="565">
        <v>40879</v>
      </c>
      <c r="BN46" s="562" t="s">
        <v>2278</v>
      </c>
      <c r="BO46" s="562" t="s">
        <v>2279</v>
      </c>
      <c r="BQ46" s="525"/>
      <c r="BR46" s="524"/>
      <c r="BU46" s="524"/>
      <c r="BV46" s="524"/>
    </row>
    <row r="47" spans="1:75" ht="13.5" hidden="1" customHeight="1">
      <c r="A47" s="1023">
        <v>10</v>
      </c>
      <c r="BB47" s="545">
        <v>640802</v>
      </c>
      <c r="BC47" s="543" t="str">
        <f t="shared" si="0"/>
        <v>札幌市中央区南二条西</v>
      </c>
      <c r="BD47" s="543" t="s">
        <v>408</v>
      </c>
      <c r="BE47" s="544" t="s">
        <v>1183</v>
      </c>
      <c r="BG47" s="1230"/>
      <c r="BH47" s="544">
        <v>48</v>
      </c>
      <c r="BI47" s="543" t="s">
        <v>1372</v>
      </c>
      <c r="BJ47" s="543" t="s">
        <v>1833</v>
      </c>
      <c r="BK47" s="543" t="s">
        <v>1834</v>
      </c>
      <c r="BL47" s="543" t="s">
        <v>1470</v>
      </c>
      <c r="BM47" s="565">
        <v>40882</v>
      </c>
      <c r="BN47" s="562" t="s">
        <v>2288</v>
      </c>
      <c r="BO47" s="562" t="s">
        <v>2289</v>
      </c>
      <c r="BQ47" s="525"/>
      <c r="BR47" s="524"/>
      <c r="BU47" s="524"/>
      <c r="BV47" s="524"/>
    </row>
    <row r="48" spans="1:75" ht="13.5" hidden="1" customHeight="1">
      <c r="A48" s="1023">
        <v>11</v>
      </c>
      <c r="BB48" s="545">
        <v>600053</v>
      </c>
      <c r="BC48" s="543" t="str">
        <f t="shared" si="0"/>
        <v>札幌市中央区南三条東</v>
      </c>
      <c r="BD48" s="543" t="s">
        <v>408</v>
      </c>
      <c r="BE48" s="544" t="s">
        <v>446</v>
      </c>
      <c r="BG48" s="1230"/>
      <c r="BH48" s="544">
        <v>49</v>
      </c>
      <c r="BI48" s="543" t="s">
        <v>1299</v>
      </c>
      <c r="BJ48" s="543" t="s">
        <v>1835</v>
      </c>
      <c r="BK48" s="543" t="s">
        <v>1784</v>
      </c>
      <c r="BL48" s="543" t="s">
        <v>1471</v>
      </c>
      <c r="BM48" s="565">
        <v>40862</v>
      </c>
      <c r="BN48" s="562" t="s">
        <v>2274</v>
      </c>
      <c r="BO48" s="562" t="s">
        <v>2275</v>
      </c>
      <c r="BQ48" s="525"/>
      <c r="BR48" s="524"/>
      <c r="BU48" s="524"/>
      <c r="BV48" s="524"/>
    </row>
    <row r="49" spans="1:74" ht="13.5" hidden="1" customHeight="1">
      <c r="A49" s="1023">
        <v>12</v>
      </c>
      <c r="BB49" s="545">
        <v>600063</v>
      </c>
      <c r="BC49" s="543" t="str">
        <f t="shared" si="0"/>
        <v>札幌市中央区南三条西</v>
      </c>
      <c r="BD49" s="543" t="s">
        <v>408</v>
      </c>
      <c r="BE49" s="544" t="s">
        <v>1182</v>
      </c>
      <c r="BG49" s="1230"/>
      <c r="BH49" s="544">
        <v>50</v>
      </c>
      <c r="BI49" s="558" t="s">
        <v>1297</v>
      </c>
      <c r="BJ49" s="543" t="s">
        <v>2007</v>
      </c>
      <c r="BK49" s="543" t="s">
        <v>2008</v>
      </c>
      <c r="BL49" s="543" t="s">
        <v>1472</v>
      </c>
      <c r="BM49" s="565">
        <v>40863</v>
      </c>
      <c r="BN49" s="562" t="s">
        <v>2268</v>
      </c>
      <c r="BO49" s="562" t="s">
        <v>2269</v>
      </c>
      <c r="BQ49" s="525"/>
      <c r="BR49" s="524"/>
      <c r="BU49" s="524"/>
      <c r="BV49" s="524"/>
    </row>
    <row r="50" spans="1:74" ht="13.5" hidden="1" customHeight="1">
      <c r="A50" s="1023">
        <v>13</v>
      </c>
      <c r="BB50" s="545">
        <v>640803</v>
      </c>
      <c r="BC50" s="543" t="str">
        <f t="shared" si="0"/>
        <v>札幌市中央区南三条西</v>
      </c>
      <c r="BD50" s="543" t="s">
        <v>408</v>
      </c>
      <c r="BE50" s="544" t="s">
        <v>1182</v>
      </c>
      <c r="BG50" s="1230"/>
      <c r="BH50" s="544">
        <v>51</v>
      </c>
      <c r="BI50" s="543" t="s">
        <v>1298</v>
      </c>
      <c r="BJ50" s="543" t="s">
        <v>2009</v>
      </c>
      <c r="BK50" s="543" t="s">
        <v>2010</v>
      </c>
      <c r="BL50" s="543" t="s">
        <v>1473</v>
      </c>
      <c r="BM50" s="565">
        <v>40864</v>
      </c>
      <c r="BN50" s="562" t="s">
        <v>2272</v>
      </c>
      <c r="BO50" s="562" t="s">
        <v>2273</v>
      </c>
      <c r="BQ50" s="525"/>
      <c r="BR50" s="524"/>
      <c r="BU50" s="524"/>
      <c r="BV50" s="524"/>
    </row>
    <row r="51" spans="1:74" ht="13.5" hidden="1" customHeight="1">
      <c r="A51" s="1023">
        <v>14</v>
      </c>
      <c r="BB51" s="545">
        <v>600054</v>
      </c>
      <c r="BC51" s="543" t="str">
        <f t="shared" si="0"/>
        <v>札幌市中央区南四条東</v>
      </c>
      <c r="BD51" s="543" t="s">
        <v>408</v>
      </c>
      <c r="BE51" s="544" t="s">
        <v>447</v>
      </c>
      <c r="BG51" s="1230"/>
      <c r="BH51" s="544">
        <v>52</v>
      </c>
      <c r="BI51" s="543" t="s">
        <v>1281</v>
      </c>
      <c r="BJ51" s="543" t="s">
        <v>2011</v>
      </c>
      <c r="BK51" s="543" t="s">
        <v>2012</v>
      </c>
      <c r="BL51" s="543" t="s">
        <v>1474</v>
      </c>
      <c r="BM51" s="565">
        <v>40821</v>
      </c>
      <c r="BN51" s="562" t="s">
        <v>2264</v>
      </c>
      <c r="BO51" s="562" t="s">
        <v>2265</v>
      </c>
      <c r="BQ51" s="525"/>
      <c r="BR51" s="524"/>
      <c r="BU51" s="524"/>
      <c r="BV51" s="524"/>
    </row>
    <row r="52" spans="1:74" ht="13.5" customHeight="1">
      <c r="BB52" s="545">
        <v>640804</v>
      </c>
      <c r="BC52" s="543" t="str">
        <f t="shared" si="0"/>
        <v>札幌市中央区南四条西</v>
      </c>
      <c r="BD52" s="543" t="s">
        <v>408</v>
      </c>
      <c r="BE52" s="544" t="s">
        <v>448</v>
      </c>
      <c r="BG52" s="1230"/>
      <c r="BH52" s="544">
        <v>53</v>
      </c>
      <c r="BI52" s="543" t="s">
        <v>1312</v>
      </c>
      <c r="BJ52" s="543" t="s">
        <v>2013</v>
      </c>
      <c r="BK52" s="543" t="s">
        <v>2014</v>
      </c>
      <c r="BL52" s="543" t="s">
        <v>1475</v>
      </c>
      <c r="BM52" s="565">
        <v>40802</v>
      </c>
      <c r="BN52" s="562" t="s">
        <v>2266</v>
      </c>
      <c r="BO52" s="562" t="s">
        <v>2267</v>
      </c>
      <c r="BQ52" s="525"/>
      <c r="BR52" s="524"/>
      <c r="BU52" s="524"/>
      <c r="BV52" s="524"/>
    </row>
    <row r="53" spans="1:74" ht="13.5" customHeight="1">
      <c r="BB53" s="545">
        <v>600055</v>
      </c>
      <c r="BC53" s="543" t="str">
        <f t="shared" si="0"/>
        <v>札幌市中央区南五条東</v>
      </c>
      <c r="BD53" s="543" t="s">
        <v>408</v>
      </c>
      <c r="BE53" s="544" t="s">
        <v>449</v>
      </c>
      <c r="BG53" s="1230" t="s">
        <v>1480</v>
      </c>
      <c r="BH53" s="544">
        <v>54</v>
      </c>
      <c r="BI53" s="558" t="s">
        <v>1334</v>
      </c>
      <c r="BJ53" s="554" t="s">
        <v>2015</v>
      </c>
      <c r="BK53" s="554" t="s">
        <v>2016</v>
      </c>
      <c r="BL53" s="543" t="s">
        <v>1481</v>
      </c>
      <c r="BM53" s="564">
        <v>60043</v>
      </c>
      <c r="BN53" s="562" t="s">
        <v>2150</v>
      </c>
      <c r="BO53" s="562" t="s">
        <v>2151</v>
      </c>
    </row>
    <row r="54" spans="1:74" ht="13.5" customHeight="1">
      <c r="BB54" s="545">
        <v>640805</v>
      </c>
      <c r="BC54" s="543" t="str">
        <f t="shared" si="0"/>
        <v>札幌市中央区南五条西</v>
      </c>
      <c r="BD54" s="543" t="s">
        <v>408</v>
      </c>
      <c r="BE54" s="544" t="s">
        <v>450</v>
      </c>
      <c r="BG54" s="1230"/>
      <c r="BH54" s="544">
        <v>55</v>
      </c>
      <c r="BI54" s="543" t="s">
        <v>1284</v>
      </c>
      <c r="BJ54" s="543" t="s">
        <v>2017</v>
      </c>
      <c r="BK54" s="543" t="s">
        <v>2018</v>
      </c>
      <c r="BL54" s="543" t="s">
        <v>1482</v>
      </c>
      <c r="BM54" s="565">
        <v>60034</v>
      </c>
      <c r="BN54" s="562" t="s">
        <v>2166</v>
      </c>
      <c r="BO54" s="562" t="s">
        <v>2167</v>
      </c>
    </row>
    <row r="55" spans="1:74" ht="13.5" customHeight="1">
      <c r="BB55" s="545">
        <v>600056</v>
      </c>
      <c r="BC55" s="543" t="str">
        <f t="shared" si="0"/>
        <v>札幌市中央区南六条東</v>
      </c>
      <c r="BD55" s="543" t="s">
        <v>408</v>
      </c>
      <c r="BE55" s="544" t="s">
        <v>451</v>
      </c>
      <c r="BG55" s="1230"/>
      <c r="BH55" s="544">
        <v>56</v>
      </c>
      <c r="BI55" s="543" t="s">
        <v>1476</v>
      </c>
      <c r="BJ55" s="543" t="s">
        <v>2019</v>
      </c>
      <c r="BK55" s="543" t="s">
        <v>2020</v>
      </c>
      <c r="BL55" s="543" t="s">
        <v>1483</v>
      </c>
      <c r="BM55" s="565">
        <v>60860</v>
      </c>
      <c r="BN55" s="562" t="s">
        <v>2152</v>
      </c>
      <c r="BO55" s="562" t="s">
        <v>2153</v>
      </c>
    </row>
    <row r="56" spans="1:74" ht="13.5" customHeight="1">
      <c r="BB56" s="545">
        <v>640806</v>
      </c>
      <c r="BC56" s="543" t="str">
        <f t="shared" si="0"/>
        <v>札幌市中央区南六条西</v>
      </c>
      <c r="BD56" s="543" t="s">
        <v>408</v>
      </c>
      <c r="BE56" s="544" t="s">
        <v>452</v>
      </c>
      <c r="BG56" s="1230"/>
      <c r="BH56" s="544">
        <v>57</v>
      </c>
      <c r="BI56" s="558" t="s">
        <v>1333</v>
      </c>
      <c r="BJ56" s="543" t="s">
        <v>2021</v>
      </c>
      <c r="BK56" s="543" t="s">
        <v>2022</v>
      </c>
      <c r="BL56" s="543" t="s">
        <v>1484</v>
      </c>
      <c r="BM56" s="565">
        <v>60812</v>
      </c>
      <c r="BN56" s="562" t="s">
        <v>2154</v>
      </c>
      <c r="BO56" s="562" t="s">
        <v>2155</v>
      </c>
    </row>
    <row r="57" spans="1:74" ht="13.5" customHeight="1">
      <c r="BB57" s="545">
        <v>600057</v>
      </c>
      <c r="BC57" s="543" t="str">
        <f t="shared" si="0"/>
        <v>札幌市中央区南七条東</v>
      </c>
      <c r="BD57" s="543" t="s">
        <v>408</v>
      </c>
      <c r="BE57" s="544" t="s">
        <v>453</v>
      </c>
      <c r="BG57" s="1230"/>
      <c r="BH57" s="544">
        <v>58</v>
      </c>
      <c r="BI57" s="558" t="s">
        <v>1477</v>
      </c>
      <c r="BJ57" s="543" t="s">
        <v>2023</v>
      </c>
      <c r="BK57" s="543" t="s">
        <v>2024</v>
      </c>
      <c r="BL57" s="543" t="s">
        <v>1485</v>
      </c>
      <c r="BM57" s="565">
        <v>60023</v>
      </c>
      <c r="BN57" s="562" t="s">
        <v>2148</v>
      </c>
      <c r="BO57" s="562" t="s">
        <v>2149</v>
      </c>
    </row>
    <row r="58" spans="1:74" ht="13.5" customHeight="1">
      <c r="BB58" s="545">
        <v>640807</v>
      </c>
      <c r="BC58" s="543" t="str">
        <f t="shared" si="0"/>
        <v>札幌市中央区南七条西</v>
      </c>
      <c r="BD58" s="543" t="s">
        <v>408</v>
      </c>
      <c r="BE58" s="544" t="s">
        <v>454</v>
      </c>
      <c r="BG58" s="1230"/>
      <c r="BH58" s="544">
        <v>59</v>
      </c>
      <c r="BI58" s="558" t="s">
        <v>1478</v>
      </c>
      <c r="BJ58" s="543" t="s">
        <v>2025</v>
      </c>
      <c r="BK58" s="543" t="s">
        <v>2026</v>
      </c>
      <c r="BL58" s="543" t="s">
        <v>1486</v>
      </c>
      <c r="BM58" s="565">
        <v>60841</v>
      </c>
      <c r="BN58" s="562" t="s">
        <v>2156</v>
      </c>
      <c r="BO58" s="562" t="s">
        <v>2157</v>
      </c>
    </row>
    <row r="59" spans="1:74" ht="13.5" customHeight="1">
      <c r="BB59" s="545">
        <v>640808</v>
      </c>
      <c r="BC59" s="543" t="str">
        <f t="shared" si="0"/>
        <v>札幌市中央区南八条西</v>
      </c>
      <c r="BD59" s="543" t="s">
        <v>408</v>
      </c>
      <c r="BE59" s="544" t="s">
        <v>455</v>
      </c>
      <c r="BG59" s="1230"/>
      <c r="BH59" s="544">
        <v>60</v>
      </c>
      <c r="BI59" s="543" t="s">
        <v>1321</v>
      </c>
      <c r="BJ59" s="543" t="s">
        <v>2027</v>
      </c>
      <c r="BK59" s="543" t="s">
        <v>2028</v>
      </c>
      <c r="BL59" s="543" t="s">
        <v>1487</v>
      </c>
      <c r="BM59" s="565">
        <v>60802</v>
      </c>
      <c r="BN59" s="562" t="s">
        <v>2172</v>
      </c>
      <c r="BO59" s="562" t="s">
        <v>2173</v>
      </c>
    </row>
    <row r="60" spans="1:74" ht="13.5" customHeight="1">
      <c r="BB60" s="545">
        <v>640809</v>
      </c>
      <c r="BC60" s="543" t="str">
        <f t="shared" si="0"/>
        <v>札幌市中央区南九条西</v>
      </c>
      <c r="BD60" s="543" t="s">
        <v>408</v>
      </c>
      <c r="BE60" s="544" t="s">
        <v>456</v>
      </c>
      <c r="BG60" s="1230"/>
      <c r="BH60" s="544">
        <v>61</v>
      </c>
      <c r="BI60" s="543" t="s">
        <v>1324</v>
      </c>
      <c r="BJ60" s="543" t="s">
        <v>2029</v>
      </c>
      <c r="BK60" s="543" t="s">
        <v>2030</v>
      </c>
      <c r="BL60" s="543" t="s">
        <v>1488</v>
      </c>
      <c r="BM60" s="565">
        <v>60805</v>
      </c>
      <c r="BN60" s="562" t="s">
        <v>2177</v>
      </c>
      <c r="BO60" s="562" t="s">
        <v>2176</v>
      </c>
    </row>
    <row r="61" spans="1:74" ht="13.5" customHeight="1">
      <c r="BB61" s="545">
        <v>640810</v>
      </c>
      <c r="BC61" s="543" t="str">
        <f t="shared" si="0"/>
        <v>札幌市中央区南十条西</v>
      </c>
      <c r="BD61" s="543" t="s">
        <v>408</v>
      </c>
      <c r="BE61" s="544" t="s">
        <v>457</v>
      </c>
      <c r="BG61" s="1230"/>
      <c r="BH61" s="544">
        <v>62</v>
      </c>
      <c r="BI61" s="543" t="s">
        <v>1323</v>
      </c>
      <c r="BJ61" s="543" t="s">
        <v>2031</v>
      </c>
      <c r="BK61" s="543" t="s">
        <v>2032</v>
      </c>
      <c r="BL61" s="543" t="s">
        <v>1489</v>
      </c>
      <c r="BM61" s="565">
        <v>60806</v>
      </c>
      <c r="BN61" s="562" t="s">
        <v>2164</v>
      </c>
      <c r="BO61" s="562" t="s">
        <v>2165</v>
      </c>
    </row>
    <row r="62" spans="1:74" ht="13.5" customHeight="1">
      <c r="BB62" s="545">
        <v>640811</v>
      </c>
      <c r="BC62" s="543" t="str">
        <f t="shared" si="0"/>
        <v>札幌市中央区南十一条西</v>
      </c>
      <c r="BD62" s="543" t="s">
        <v>408</v>
      </c>
      <c r="BE62" s="544" t="s">
        <v>458</v>
      </c>
      <c r="BG62" s="1230"/>
      <c r="BH62" s="544">
        <v>63</v>
      </c>
      <c r="BI62" s="543" t="s">
        <v>1391</v>
      </c>
      <c r="BJ62" s="543" t="s">
        <v>2033</v>
      </c>
      <c r="BK62" s="543" t="s">
        <v>2034</v>
      </c>
      <c r="BL62" s="543" t="s">
        <v>1490</v>
      </c>
      <c r="BM62" s="565">
        <v>60852</v>
      </c>
      <c r="BN62" s="562" t="s">
        <v>2178</v>
      </c>
      <c r="BO62" s="562" t="s">
        <v>2179</v>
      </c>
    </row>
    <row r="63" spans="1:74" ht="13.5" customHeight="1">
      <c r="BB63" s="545">
        <v>640912</v>
      </c>
      <c r="BC63" s="543" t="str">
        <f t="shared" ref="BC63:BC126" si="1">BD63&amp;BE63</f>
        <v>札幌市中央区南十二条西</v>
      </c>
      <c r="BD63" s="543" t="s">
        <v>408</v>
      </c>
      <c r="BE63" s="544" t="s">
        <v>459</v>
      </c>
      <c r="BG63" s="1230"/>
      <c r="BH63" s="544">
        <v>64</v>
      </c>
      <c r="BI63" s="543" t="s">
        <v>1479</v>
      </c>
      <c r="BJ63" s="543" t="s">
        <v>2035</v>
      </c>
      <c r="BK63" s="543" t="s">
        <v>2036</v>
      </c>
      <c r="BL63" s="543" t="s">
        <v>1491</v>
      </c>
      <c r="BM63" s="565">
        <v>60002</v>
      </c>
      <c r="BN63" s="562" t="s">
        <v>2174</v>
      </c>
      <c r="BO63" s="562" t="s">
        <v>2175</v>
      </c>
    </row>
    <row r="64" spans="1:74" ht="13.5" customHeight="1">
      <c r="BB64" s="545">
        <v>640913</v>
      </c>
      <c r="BC64" s="543" t="str">
        <f t="shared" si="1"/>
        <v>札幌市中央区南十三条西</v>
      </c>
      <c r="BD64" s="543" t="s">
        <v>408</v>
      </c>
      <c r="BE64" s="544" t="s">
        <v>460</v>
      </c>
      <c r="BG64" s="1230"/>
      <c r="BH64" s="544">
        <v>65</v>
      </c>
      <c r="BI64" s="543" t="s">
        <v>1397</v>
      </c>
      <c r="BJ64" s="543" t="s">
        <v>2037</v>
      </c>
      <c r="BK64" s="543" t="s">
        <v>2038</v>
      </c>
      <c r="BL64" s="543" t="s">
        <v>1492</v>
      </c>
      <c r="BM64" s="565">
        <v>60852</v>
      </c>
      <c r="BN64" s="562" t="s">
        <v>2162</v>
      </c>
      <c r="BO64" s="562" t="s">
        <v>2163</v>
      </c>
    </row>
    <row r="65" spans="54:74" ht="13.5" customHeight="1">
      <c r="BB65" s="545">
        <v>640914</v>
      </c>
      <c r="BC65" s="543" t="str">
        <f t="shared" si="1"/>
        <v>札幌市中央区南十四条西</v>
      </c>
      <c r="BD65" s="543" t="s">
        <v>408</v>
      </c>
      <c r="BE65" s="544" t="s">
        <v>461</v>
      </c>
      <c r="BG65" s="1230"/>
      <c r="BH65" s="544">
        <v>66</v>
      </c>
      <c r="BI65" s="543" t="s">
        <v>1283</v>
      </c>
      <c r="BJ65" s="543" t="s">
        <v>2039</v>
      </c>
      <c r="BK65" s="543" t="s">
        <v>1787</v>
      </c>
      <c r="BL65" s="543" t="s">
        <v>1493</v>
      </c>
      <c r="BM65" s="565">
        <v>60815</v>
      </c>
      <c r="BN65" s="562" t="s">
        <v>2170</v>
      </c>
      <c r="BO65" s="562" t="s">
        <v>2171</v>
      </c>
    </row>
    <row r="66" spans="54:74" ht="13.5" customHeight="1">
      <c r="BB66" s="545">
        <v>640915</v>
      </c>
      <c r="BC66" s="543" t="str">
        <f t="shared" si="1"/>
        <v>札幌市中央区南十五条西</v>
      </c>
      <c r="BD66" s="543" t="s">
        <v>408</v>
      </c>
      <c r="BE66" s="544" t="s">
        <v>462</v>
      </c>
      <c r="BG66" s="1230"/>
      <c r="BH66" s="544">
        <v>67</v>
      </c>
      <c r="BI66" s="543" t="s">
        <v>1396</v>
      </c>
      <c r="BJ66" s="543" t="s">
        <v>2040</v>
      </c>
      <c r="BK66" s="543" t="s">
        <v>2041</v>
      </c>
      <c r="BL66" s="543" t="s">
        <v>1494</v>
      </c>
      <c r="BM66" s="565">
        <v>60816</v>
      </c>
      <c r="BN66" s="562" t="s">
        <v>2160</v>
      </c>
      <c r="BO66" s="562" t="s">
        <v>2161</v>
      </c>
    </row>
    <row r="67" spans="54:74" ht="13.5" customHeight="1">
      <c r="BB67" s="545">
        <v>640916</v>
      </c>
      <c r="BC67" s="543" t="str">
        <f t="shared" si="1"/>
        <v>札幌市中央区南十六条西</v>
      </c>
      <c r="BD67" s="543" t="s">
        <v>408</v>
      </c>
      <c r="BE67" s="544" t="s">
        <v>463</v>
      </c>
      <c r="BG67" s="1230"/>
      <c r="BH67" s="544">
        <v>68</v>
      </c>
      <c r="BI67" s="543" t="s">
        <v>1398</v>
      </c>
      <c r="BJ67" s="543" t="s">
        <v>2042</v>
      </c>
      <c r="BK67" s="543" t="s">
        <v>2043</v>
      </c>
      <c r="BL67" s="543" t="s">
        <v>1495</v>
      </c>
      <c r="BM67" s="565">
        <v>60818</v>
      </c>
      <c r="BN67" s="562" t="s">
        <v>2168</v>
      </c>
      <c r="BO67" s="562" t="s">
        <v>2169</v>
      </c>
    </row>
    <row r="68" spans="54:74" ht="13.5" customHeight="1">
      <c r="BB68" s="545">
        <v>640917</v>
      </c>
      <c r="BC68" s="543" t="str">
        <f t="shared" si="1"/>
        <v>札幌市中央区南十七条西</v>
      </c>
      <c r="BD68" s="543" t="s">
        <v>408</v>
      </c>
      <c r="BE68" s="544" t="s">
        <v>464</v>
      </c>
      <c r="BG68" s="1230"/>
      <c r="BH68" s="544">
        <v>69</v>
      </c>
      <c r="BI68" s="543" t="s">
        <v>1339</v>
      </c>
      <c r="BJ68" s="543" t="s">
        <v>2044</v>
      </c>
      <c r="BK68" s="543" t="s">
        <v>2045</v>
      </c>
      <c r="BL68" s="543" t="s">
        <v>1496</v>
      </c>
      <c r="BM68" s="565">
        <v>60011</v>
      </c>
      <c r="BN68" s="562" t="s">
        <v>2158</v>
      </c>
      <c r="BO68" s="562" t="s">
        <v>2159</v>
      </c>
    </row>
    <row r="69" spans="54:74" ht="13.5" customHeight="1">
      <c r="BB69" s="545">
        <v>640918</v>
      </c>
      <c r="BC69" s="543" t="str">
        <f t="shared" si="1"/>
        <v>札幌市中央区南十八条西</v>
      </c>
      <c r="BD69" s="543" t="s">
        <v>408</v>
      </c>
      <c r="BE69" s="544" t="s">
        <v>465</v>
      </c>
      <c r="BG69" s="1230" t="s">
        <v>1502</v>
      </c>
      <c r="BH69" s="544">
        <v>70</v>
      </c>
      <c r="BI69" s="543" t="s">
        <v>1415</v>
      </c>
      <c r="BJ69" s="554" t="s">
        <v>2096</v>
      </c>
      <c r="BK69" s="554" t="s">
        <v>2097</v>
      </c>
      <c r="BL69" s="543" t="s">
        <v>1503</v>
      </c>
      <c r="BM69" s="566">
        <v>40013</v>
      </c>
      <c r="BN69" s="562" t="s">
        <v>2312</v>
      </c>
      <c r="BO69" s="562" t="s">
        <v>2313</v>
      </c>
      <c r="BQ69" s="525"/>
      <c r="BR69" s="524"/>
      <c r="BS69" s="524"/>
      <c r="BT69" s="524"/>
      <c r="BU69" s="524"/>
      <c r="BV69" s="524"/>
    </row>
    <row r="70" spans="54:74" ht="13.5" customHeight="1">
      <c r="BB70" s="545">
        <v>640919</v>
      </c>
      <c r="BC70" s="543" t="str">
        <f t="shared" si="1"/>
        <v>札幌市中央区南十九条西</v>
      </c>
      <c r="BD70" s="543" t="s">
        <v>408</v>
      </c>
      <c r="BE70" s="544" t="s">
        <v>466</v>
      </c>
      <c r="BG70" s="1230"/>
      <c r="BH70" s="544">
        <v>71</v>
      </c>
      <c r="BI70" s="543" t="s">
        <v>1414</v>
      </c>
      <c r="BJ70" s="554" t="s">
        <v>2098</v>
      </c>
      <c r="BK70" s="554" t="s">
        <v>2099</v>
      </c>
      <c r="BL70" s="543" t="s">
        <v>1504</v>
      </c>
      <c r="BM70" s="566">
        <v>40011</v>
      </c>
      <c r="BN70" s="562" t="s">
        <v>2310</v>
      </c>
      <c r="BO70" s="562" t="s">
        <v>2311</v>
      </c>
      <c r="BQ70" s="525"/>
      <c r="BR70" s="524"/>
      <c r="BS70" s="524"/>
      <c r="BT70" s="524"/>
      <c r="BU70" s="524"/>
      <c r="BV70" s="524"/>
    </row>
    <row r="71" spans="54:74" ht="13.5" customHeight="1">
      <c r="BB71" s="545">
        <v>640920</v>
      </c>
      <c r="BC71" s="543" t="str">
        <f t="shared" si="1"/>
        <v>札幌市中央区南二十条西</v>
      </c>
      <c r="BD71" s="543" t="s">
        <v>408</v>
      </c>
      <c r="BE71" s="544" t="s">
        <v>467</v>
      </c>
      <c r="BG71" s="1230"/>
      <c r="BH71" s="544">
        <v>72</v>
      </c>
      <c r="BI71" s="558" t="s">
        <v>1497</v>
      </c>
      <c r="BJ71" s="554" t="s">
        <v>2100</v>
      </c>
      <c r="BK71" s="554" t="s">
        <v>2101</v>
      </c>
      <c r="BL71" s="543" t="s">
        <v>1505</v>
      </c>
      <c r="BM71" s="566">
        <v>40063</v>
      </c>
      <c r="BN71" s="562" t="s">
        <v>2300</v>
      </c>
      <c r="BO71" s="562" t="s">
        <v>2301</v>
      </c>
      <c r="BQ71" s="525"/>
      <c r="BR71" s="524"/>
      <c r="BS71" s="524"/>
      <c r="BT71" s="524"/>
      <c r="BU71" s="524"/>
      <c r="BV71" s="524"/>
    </row>
    <row r="72" spans="54:74" ht="13.5" customHeight="1">
      <c r="BB72" s="545">
        <v>640921</v>
      </c>
      <c r="BC72" s="543" t="str">
        <f t="shared" si="1"/>
        <v>札幌市中央区南二十一条西</v>
      </c>
      <c r="BD72" s="543" t="s">
        <v>408</v>
      </c>
      <c r="BE72" s="544" t="s">
        <v>468</v>
      </c>
      <c r="BG72" s="1230"/>
      <c r="BH72" s="544">
        <v>73</v>
      </c>
      <c r="BI72" s="558" t="s">
        <v>1277</v>
      </c>
      <c r="BJ72" s="554" t="s">
        <v>2102</v>
      </c>
      <c r="BK72" s="554" t="s">
        <v>2103</v>
      </c>
      <c r="BL72" s="543" t="s">
        <v>1506</v>
      </c>
      <c r="BM72" s="566">
        <v>40064</v>
      </c>
      <c r="BN72" s="562" t="s">
        <v>2306</v>
      </c>
      <c r="BO72" s="562" t="s">
        <v>2307</v>
      </c>
      <c r="BQ72" s="525"/>
      <c r="BR72" s="524"/>
      <c r="BU72" s="524"/>
      <c r="BV72" s="524"/>
    </row>
    <row r="73" spans="54:74" ht="13.5" customHeight="1">
      <c r="BB73" s="545">
        <v>640922</v>
      </c>
      <c r="BC73" s="543" t="str">
        <f t="shared" si="1"/>
        <v>札幌市中央区南二十二条西</v>
      </c>
      <c r="BD73" s="543" t="s">
        <v>408</v>
      </c>
      <c r="BE73" s="544" t="s">
        <v>469</v>
      </c>
      <c r="BG73" s="1230"/>
      <c r="BH73" s="544">
        <v>74</v>
      </c>
      <c r="BI73" s="558" t="s">
        <v>1498</v>
      </c>
      <c r="BJ73" s="554" t="s">
        <v>2104</v>
      </c>
      <c r="BK73" s="554" t="s">
        <v>2105</v>
      </c>
      <c r="BL73" s="543" t="s">
        <v>1507</v>
      </c>
      <c r="BM73" s="566">
        <v>40052</v>
      </c>
      <c r="BN73" s="562" t="s">
        <v>2298</v>
      </c>
      <c r="BO73" s="562" t="s">
        <v>2299</v>
      </c>
      <c r="BQ73" s="525"/>
      <c r="BR73" s="524"/>
      <c r="BU73" s="524"/>
      <c r="BV73" s="524"/>
    </row>
    <row r="74" spans="54:74" ht="13.5" customHeight="1">
      <c r="BB74" s="545">
        <v>640923</v>
      </c>
      <c r="BC74" s="543" t="str">
        <f t="shared" si="1"/>
        <v>札幌市中央区南二十三条西</v>
      </c>
      <c r="BD74" s="543" t="s">
        <v>408</v>
      </c>
      <c r="BE74" s="544" t="s">
        <v>470</v>
      </c>
      <c r="BG74" s="1230"/>
      <c r="BH74" s="544">
        <v>75</v>
      </c>
      <c r="BI74" s="543" t="s">
        <v>1314</v>
      </c>
      <c r="BJ74" s="554" t="s">
        <v>2106</v>
      </c>
      <c r="BK74" s="554" t="s">
        <v>2107</v>
      </c>
      <c r="BL74" s="543" t="s">
        <v>1508</v>
      </c>
      <c r="BM74" s="566">
        <v>40054</v>
      </c>
      <c r="BN74" s="562" t="s">
        <v>2292</v>
      </c>
      <c r="BO74" s="562" t="s">
        <v>2293</v>
      </c>
      <c r="BQ74" s="525"/>
      <c r="BR74" s="524"/>
      <c r="BU74" s="524"/>
      <c r="BV74" s="524"/>
    </row>
    <row r="75" spans="54:74" ht="13.5" customHeight="1">
      <c r="BB75" s="545">
        <v>640924</v>
      </c>
      <c r="BC75" s="543" t="str">
        <f t="shared" si="1"/>
        <v>札幌市中央区南二十四条西</v>
      </c>
      <c r="BD75" s="543" t="s">
        <v>408</v>
      </c>
      <c r="BE75" s="544" t="s">
        <v>471</v>
      </c>
      <c r="BG75" s="1230"/>
      <c r="BH75" s="544">
        <v>76</v>
      </c>
      <c r="BI75" s="543" t="s">
        <v>1499</v>
      </c>
      <c r="BJ75" s="554" t="s">
        <v>2108</v>
      </c>
      <c r="BK75" s="554" t="s">
        <v>2109</v>
      </c>
      <c r="BL75" s="543" t="s">
        <v>1509</v>
      </c>
      <c r="BM75" s="566">
        <v>40002</v>
      </c>
      <c r="BN75" s="562" t="s">
        <v>2294</v>
      </c>
      <c r="BO75" s="562" t="s">
        <v>2295</v>
      </c>
      <c r="BQ75" s="525"/>
      <c r="BR75" s="524"/>
      <c r="BU75" s="524"/>
      <c r="BV75" s="524"/>
    </row>
    <row r="76" spans="54:74" ht="13.5" customHeight="1">
      <c r="BB76" s="545">
        <v>640925</v>
      </c>
      <c r="BC76" s="543" t="str">
        <f t="shared" si="1"/>
        <v>札幌市中央区南二十五条西</v>
      </c>
      <c r="BD76" s="543" t="s">
        <v>408</v>
      </c>
      <c r="BE76" s="544" t="s">
        <v>472</v>
      </c>
      <c r="BG76" s="1230"/>
      <c r="BH76" s="544">
        <v>77</v>
      </c>
      <c r="BI76" s="558" t="s">
        <v>1278</v>
      </c>
      <c r="BJ76" s="554" t="s">
        <v>2110</v>
      </c>
      <c r="BK76" s="554" t="s">
        <v>2111</v>
      </c>
      <c r="BL76" s="543" t="s">
        <v>1510</v>
      </c>
      <c r="BM76" s="566">
        <v>40004</v>
      </c>
      <c r="BN76" s="562" t="s">
        <v>2308</v>
      </c>
      <c r="BO76" s="562" t="s">
        <v>2309</v>
      </c>
      <c r="BQ76" s="525"/>
      <c r="BR76" s="524"/>
      <c r="BU76" s="524"/>
      <c r="BV76" s="524"/>
    </row>
    <row r="77" spans="54:74" ht="13.5" customHeight="1">
      <c r="BB77" s="545">
        <v>640926</v>
      </c>
      <c r="BC77" s="543" t="str">
        <f t="shared" si="1"/>
        <v>札幌市中央区南二十六条西</v>
      </c>
      <c r="BD77" s="543" t="s">
        <v>408</v>
      </c>
      <c r="BE77" s="544" t="s">
        <v>473</v>
      </c>
      <c r="BG77" s="1230"/>
      <c r="BH77" s="544">
        <v>78</v>
      </c>
      <c r="BI77" s="543" t="s">
        <v>1500</v>
      </c>
      <c r="BJ77" s="554" t="s">
        <v>2112</v>
      </c>
      <c r="BK77" s="554" t="s">
        <v>2113</v>
      </c>
      <c r="BL77" s="543" t="s">
        <v>1511</v>
      </c>
      <c r="BM77" s="566">
        <v>40022</v>
      </c>
      <c r="BN77" s="562" t="s">
        <v>2296</v>
      </c>
      <c r="BO77" s="562" t="s">
        <v>2297</v>
      </c>
      <c r="BQ77" s="525"/>
      <c r="BR77" s="524"/>
      <c r="BU77" s="524"/>
      <c r="BV77" s="524"/>
    </row>
    <row r="78" spans="54:74" ht="13.5" customHeight="1">
      <c r="BB78" s="545">
        <v>640927</v>
      </c>
      <c r="BC78" s="543" t="str">
        <f t="shared" si="1"/>
        <v>札幌市中央区南二十七条西</v>
      </c>
      <c r="BD78" s="543" t="s">
        <v>408</v>
      </c>
      <c r="BE78" s="544" t="s">
        <v>474</v>
      </c>
      <c r="BG78" s="1230"/>
      <c r="BH78" s="544">
        <v>79</v>
      </c>
      <c r="BI78" s="558"/>
      <c r="BJ78" s="554"/>
      <c r="BK78" s="554"/>
      <c r="BM78" s="566"/>
      <c r="BQ78" s="525"/>
      <c r="BR78" s="524"/>
      <c r="BU78" s="524"/>
      <c r="BV78" s="524"/>
    </row>
    <row r="79" spans="54:74" ht="13.5" customHeight="1">
      <c r="BB79" s="545">
        <v>640928</v>
      </c>
      <c r="BC79" s="543" t="str">
        <f t="shared" si="1"/>
        <v>札幌市中央区南二十八条西</v>
      </c>
      <c r="BD79" s="543" t="s">
        <v>408</v>
      </c>
      <c r="BE79" s="544" t="s">
        <v>475</v>
      </c>
      <c r="BG79" s="1230"/>
      <c r="BH79" s="544">
        <v>80</v>
      </c>
      <c r="BI79" s="543" t="s">
        <v>1501</v>
      </c>
      <c r="BJ79" s="554" t="s">
        <v>2114</v>
      </c>
      <c r="BK79" s="554" t="s">
        <v>2115</v>
      </c>
      <c r="BL79" s="543" t="s">
        <v>1512</v>
      </c>
      <c r="BM79" s="566">
        <v>40072</v>
      </c>
      <c r="BN79" s="562" t="s">
        <v>2302</v>
      </c>
      <c r="BO79" s="562" t="s">
        <v>2303</v>
      </c>
      <c r="BQ79" s="525"/>
      <c r="BR79" s="524"/>
      <c r="BU79" s="524"/>
      <c r="BV79" s="524"/>
    </row>
    <row r="80" spans="54:74" ht="13.5" customHeight="1">
      <c r="BB80" s="545">
        <v>640929</v>
      </c>
      <c r="BC80" s="543" t="str">
        <f t="shared" si="1"/>
        <v>札幌市中央区南二十九条西</v>
      </c>
      <c r="BD80" s="543" t="s">
        <v>408</v>
      </c>
      <c r="BE80" s="544" t="s">
        <v>476</v>
      </c>
      <c r="BG80" s="1230"/>
      <c r="BH80" s="544">
        <v>81</v>
      </c>
      <c r="BI80" s="558" t="s">
        <v>2318</v>
      </c>
      <c r="BJ80" s="554" t="s">
        <v>2321</v>
      </c>
      <c r="BK80" s="554" t="s">
        <v>2320</v>
      </c>
      <c r="BL80" s="543" t="s">
        <v>2319</v>
      </c>
      <c r="BM80" s="566">
        <v>40032</v>
      </c>
      <c r="BN80" s="562" t="s">
        <v>2314</v>
      </c>
      <c r="BO80" s="562" t="s">
        <v>2315</v>
      </c>
      <c r="BQ80" s="525"/>
      <c r="BR80" s="524"/>
      <c r="BU80" s="524"/>
      <c r="BV80" s="524"/>
    </row>
    <row r="81" spans="54:74" ht="13.5" customHeight="1">
      <c r="BB81" s="545">
        <v>640930</v>
      </c>
      <c r="BC81" s="543" t="str">
        <f t="shared" si="1"/>
        <v>札幌市中央区南三十条西</v>
      </c>
      <c r="BD81" s="543" t="s">
        <v>408</v>
      </c>
      <c r="BE81" s="544" t="s">
        <v>1181</v>
      </c>
      <c r="BG81" s="1230"/>
      <c r="BH81" s="544">
        <v>82</v>
      </c>
      <c r="BI81" s="558" t="s">
        <v>2323</v>
      </c>
      <c r="BJ81" s="554" t="s">
        <v>2325</v>
      </c>
      <c r="BK81" s="554" t="s">
        <v>2326</v>
      </c>
      <c r="BL81" s="543" t="s">
        <v>2324</v>
      </c>
      <c r="BM81" s="564" t="s">
        <v>2322</v>
      </c>
      <c r="BN81" s="562" t="s">
        <v>2316</v>
      </c>
      <c r="BO81" s="562" t="s">
        <v>2317</v>
      </c>
      <c r="BQ81" s="525"/>
      <c r="BR81" s="524"/>
      <c r="BU81" s="524"/>
      <c r="BV81" s="524"/>
    </row>
    <row r="82" spans="54:74" ht="13.5" customHeight="1">
      <c r="BB82" s="545">
        <v>640959</v>
      </c>
      <c r="BC82" s="543" t="str">
        <f t="shared" si="1"/>
        <v>札幌市中央区宮ケ丘</v>
      </c>
      <c r="BD82" s="543" t="s">
        <v>408</v>
      </c>
      <c r="BE82" s="544" t="s">
        <v>477</v>
      </c>
      <c r="BG82" s="1230"/>
      <c r="BH82" s="544">
        <v>83</v>
      </c>
      <c r="BJ82" s="567"/>
      <c r="BK82" s="567"/>
      <c r="BM82" s="566"/>
    </row>
    <row r="83" spans="54:74" ht="13.5" customHeight="1">
      <c r="BB83" s="545">
        <v>640958</v>
      </c>
      <c r="BC83" s="543" t="str">
        <f t="shared" si="1"/>
        <v>札幌市中央区宮の森</v>
      </c>
      <c r="BD83" s="543" t="s">
        <v>408</v>
      </c>
      <c r="BE83" s="544" t="s">
        <v>478</v>
      </c>
      <c r="BG83" s="1230"/>
      <c r="BH83" s="544">
        <v>84</v>
      </c>
      <c r="BI83" s="558" t="s">
        <v>1288</v>
      </c>
      <c r="BJ83" s="554" t="s">
        <v>2116</v>
      </c>
      <c r="BK83" s="554" t="s">
        <v>2117</v>
      </c>
      <c r="BL83" s="543" t="s">
        <v>1513</v>
      </c>
      <c r="BM83" s="566">
        <v>40041</v>
      </c>
      <c r="BN83" s="562" t="s">
        <v>2304</v>
      </c>
      <c r="BO83" s="562" t="s">
        <v>2305</v>
      </c>
    </row>
    <row r="84" spans="54:74" ht="13.5" customHeight="1">
      <c r="BB84" s="545">
        <v>640951</v>
      </c>
      <c r="BC84" s="543" t="str">
        <f t="shared" si="1"/>
        <v>札幌市中央区宮の森一条</v>
      </c>
      <c r="BD84" s="543" t="s">
        <v>408</v>
      </c>
      <c r="BE84" s="544" t="s">
        <v>479</v>
      </c>
      <c r="BG84" s="1230" t="s">
        <v>1524</v>
      </c>
      <c r="BH84" s="544">
        <v>85</v>
      </c>
      <c r="BI84" s="558" t="s">
        <v>1514</v>
      </c>
      <c r="BJ84" s="554" t="s">
        <v>2094</v>
      </c>
      <c r="BK84" s="554" t="s">
        <v>2095</v>
      </c>
      <c r="BL84" s="543" t="s">
        <v>1525</v>
      </c>
      <c r="BM84" s="566">
        <v>70880</v>
      </c>
      <c r="BN84" s="562" t="s">
        <v>2417</v>
      </c>
      <c r="BO84" s="562" t="s">
        <v>2418</v>
      </c>
      <c r="BQ84" s="525"/>
      <c r="BR84" s="524"/>
      <c r="BU84" s="524"/>
      <c r="BV84" s="524"/>
    </row>
    <row r="85" spans="54:74" ht="13.5" customHeight="1">
      <c r="BB85" s="545">
        <v>640952</v>
      </c>
      <c r="BC85" s="543" t="str">
        <f t="shared" si="1"/>
        <v>札幌市中央区宮の森二条</v>
      </c>
      <c r="BD85" s="543" t="s">
        <v>408</v>
      </c>
      <c r="BE85" s="544" t="s">
        <v>480</v>
      </c>
      <c r="BG85" s="1230"/>
      <c r="BH85" s="544">
        <v>86</v>
      </c>
      <c r="BI85" s="543" t="s">
        <v>1378</v>
      </c>
      <c r="BJ85" s="543" t="s">
        <v>2092</v>
      </c>
      <c r="BK85" s="543" t="s">
        <v>2093</v>
      </c>
      <c r="BL85" s="543" t="s">
        <v>1526</v>
      </c>
      <c r="BM85" s="549">
        <v>70890</v>
      </c>
      <c r="BN85" s="562" t="s">
        <v>2423</v>
      </c>
      <c r="BO85" s="562" t="s">
        <v>2424</v>
      </c>
      <c r="BQ85" s="525"/>
      <c r="BR85" s="524"/>
      <c r="BU85" s="524"/>
      <c r="BV85" s="524"/>
    </row>
    <row r="86" spans="54:74" ht="13.5" customHeight="1">
      <c r="BB86" s="545">
        <v>640953</v>
      </c>
      <c r="BC86" s="543" t="str">
        <f t="shared" si="1"/>
        <v>札幌市中央区宮の森三条</v>
      </c>
      <c r="BD86" s="543" t="s">
        <v>408</v>
      </c>
      <c r="BE86" s="544" t="s">
        <v>481</v>
      </c>
      <c r="BG86" s="1230"/>
      <c r="BH86" s="544">
        <v>87</v>
      </c>
      <c r="BI86" s="558" t="s">
        <v>1346</v>
      </c>
      <c r="BJ86" s="543" t="s">
        <v>2090</v>
      </c>
      <c r="BK86" s="543" t="s">
        <v>2091</v>
      </c>
      <c r="BL86" s="543" t="s">
        <v>1527</v>
      </c>
      <c r="BM86" s="549">
        <v>70890</v>
      </c>
      <c r="BN86" s="562" t="s">
        <v>2425</v>
      </c>
      <c r="BO86" s="562" t="s">
        <v>2426</v>
      </c>
      <c r="BQ86" s="525"/>
      <c r="BR86" s="524"/>
      <c r="BU86" s="524"/>
      <c r="BV86" s="524"/>
    </row>
    <row r="87" spans="54:74" ht="13.5" customHeight="1">
      <c r="BB87" s="545">
        <v>640954</v>
      </c>
      <c r="BC87" s="543" t="str">
        <f t="shared" si="1"/>
        <v>札幌市中央区宮の森四条</v>
      </c>
      <c r="BD87" s="543" t="s">
        <v>408</v>
      </c>
      <c r="BE87" s="544" t="s">
        <v>482</v>
      </c>
      <c r="BG87" s="1230"/>
      <c r="BH87" s="544">
        <v>88</v>
      </c>
      <c r="BI87" s="543" t="s">
        <v>1515</v>
      </c>
      <c r="BJ87" s="543" t="s">
        <v>2088</v>
      </c>
      <c r="BK87" s="543" t="s">
        <v>2089</v>
      </c>
      <c r="BL87" s="543" t="s">
        <v>1528</v>
      </c>
      <c r="BM87" s="549">
        <v>70813</v>
      </c>
      <c r="BN87" s="562" t="s">
        <v>2463</v>
      </c>
      <c r="BO87" s="562" t="s">
        <v>2464</v>
      </c>
      <c r="BQ87" s="525"/>
      <c r="BR87" s="524"/>
      <c r="BU87" s="524"/>
      <c r="BV87" s="524"/>
    </row>
    <row r="88" spans="54:74" ht="13.5" customHeight="1">
      <c r="BB88" s="545">
        <v>10000</v>
      </c>
      <c r="BC88" s="543" t="str">
        <f t="shared" si="1"/>
        <v>札幌市北区</v>
      </c>
      <c r="BD88" s="543" t="s">
        <v>409</v>
      </c>
      <c r="BG88" s="1230"/>
      <c r="BH88" s="544">
        <v>89</v>
      </c>
      <c r="BI88" s="558" t="s">
        <v>1368</v>
      </c>
      <c r="BJ88" s="543" t="s">
        <v>2086</v>
      </c>
      <c r="BK88" s="543" t="s">
        <v>2087</v>
      </c>
      <c r="BL88" s="543" t="s">
        <v>1529</v>
      </c>
      <c r="BM88" s="549">
        <v>70805</v>
      </c>
      <c r="BN88" s="562" t="s">
        <v>2459</v>
      </c>
      <c r="BO88" s="562" t="s">
        <v>2460</v>
      </c>
      <c r="BQ88" s="525"/>
      <c r="BR88" s="524"/>
      <c r="BU88" s="524"/>
      <c r="BV88" s="524"/>
    </row>
    <row r="89" spans="54:74" ht="13.5" customHeight="1">
      <c r="BB89" s="545">
        <v>28071</v>
      </c>
      <c r="BC89" s="543" t="str">
        <f t="shared" si="1"/>
        <v>札幌市北区あいの里一条</v>
      </c>
      <c r="BD89" s="543" t="s">
        <v>409</v>
      </c>
      <c r="BE89" s="544" t="s">
        <v>483</v>
      </c>
      <c r="BG89" s="1230"/>
      <c r="BH89" s="544">
        <v>90</v>
      </c>
      <c r="BI89" s="543" t="s">
        <v>1516</v>
      </c>
      <c r="BJ89" s="543" t="s">
        <v>2084</v>
      </c>
      <c r="BK89" s="543" t="s">
        <v>2085</v>
      </c>
      <c r="BL89" s="543" t="s">
        <v>1530</v>
      </c>
      <c r="BM89" s="549">
        <v>70807</v>
      </c>
      <c r="BN89" s="562" t="s">
        <v>2419</v>
      </c>
      <c r="BO89" s="562" t="s">
        <v>2420</v>
      </c>
      <c r="BQ89" s="525"/>
      <c r="BR89" s="524"/>
      <c r="BU89" s="524"/>
      <c r="BV89" s="524"/>
    </row>
    <row r="90" spans="54:74" ht="13.5" customHeight="1">
      <c r="BB90" s="545">
        <v>28072</v>
      </c>
      <c r="BC90" s="543" t="str">
        <f t="shared" si="1"/>
        <v>札幌市北区あいの里二条</v>
      </c>
      <c r="BD90" s="543" t="s">
        <v>409</v>
      </c>
      <c r="BE90" s="544" t="s">
        <v>484</v>
      </c>
      <c r="BG90" s="1230"/>
      <c r="BH90" s="544">
        <v>91</v>
      </c>
      <c r="BI90" s="543" t="s">
        <v>1310</v>
      </c>
      <c r="BJ90" s="543" t="s">
        <v>2082</v>
      </c>
      <c r="BK90" s="543" t="s">
        <v>2083</v>
      </c>
      <c r="BL90" s="543" t="s">
        <v>1531</v>
      </c>
      <c r="BM90" s="549">
        <v>70809</v>
      </c>
      <c r="BN90" s="562" t="s">
        <v>2445</v>
      </c>
      <c r="BO90" s="562" t="s">
        <v>2446</v>
      </c>
      <c r="BQ90" s="525"/>
      <c r="BR90" s="524"/>
      <c r="BU90" s="524"/>
      <c r="BV90" s="524"/>
    </row>
    <row r="91" spans="54:74" ht="13.5" customHeight="1">
      <c r="BB91" s="545">
        <v>28073</v>
      </c>
      <c r="BC91" s="543" t="str">
        <f t="shared" si="1"/>
        <v>札幌市北区あいの里三条</v>
      </c>
      <c r="BD91" s="543" t="s">
        <v>409</v>
      </c>
      <c r="BE91" s="544" t="s">
        <v>485</v>
      </c>
      <c r="BG91" s="1230"/>
      <c r="BH91" s="544">
        <v>92</v>
      </c>
      <c r="BI91" s="543" t="s">
        <v>1382</v>
      </c>
      <c r="BJ91" s="543" t="s">
        <v>2080</v>
      </c>
      <c r="BK91" s="543" t="s">
        <v>2081</v>
      </c>
      <c r="BL91" s="543" t="s">
        <v>1532</v>
      </c>
      <c r="BM91" s="549">
        <v>70871</v>
      </c>
      <c r="BN91" s="562" t="s">
        <v>2461</v>
      </c>
      <c r="BO91" s="562" t="s">
        <v>2462</v>
      </c>
      <c r="BQ91" s="525"/>
      <c r="BR91" s="524"/>
      <c r="BU91" s="524"/>
      <c r="BV91" s="524"/>
    </row>
    <row r="92" spans="54:74" ht="13.5" customHeight="1">
      <c r="BB92" s="545">
        <v>28074</v>
      </c>
      <c r="BC92" s="543" t="str">
        <f t="shared" si="1"/>
        <v>札幌市北区あいの里四条</v>
      </c>
      <c r="BD92" s="543" t="s">
        <v>409</v>
      </c>
      <c r="BE92" s="544" t="s">
        <v>486</v>
      </c>
      <c r="BG92" s="1230"/>
      <c r="BH92" s="544">
        <v>93</v>
      </c>
      <c r="BI92" s="543" t="s">
        <v>1517</v>
      </c>
      <c r="BJ92" s="543" t="s">
        <v>2078</v>
      </c>
      <c r="BK92" s="543" t="s">
        <v>2079</v>
      </c>
      <c r="BL92" s="543" t="s">
        <v>1533</v>
      </c>
      <c r="BM92" s="549">
        <v>70861</v>
      </c>
      <c r="BN92" s="562" t="s">
        <v>2415</v>
      </c>
      <c r="BO92" s="562" t="s">
        <v>2416</v>
      </c>
      <c r="BQ92" s="525"/>
      <c r="BR92" s="524"/>
      <c r="BU92" s="524"/>
      <c r="BV92" s="524"/>
    </row>
    <row r="93" spans="54:74" ht="13.5" customHeight="1">
      <c r="BB93" s="545">
        <v>28075</v>
      </c>
      <c r="BC93" s="543" t="str">
        <f t="shared" si="1"/>
        <v>札幌市北区あいの里五条</v>
      </c>
      <c r="BD93" s="543" t="s">
        <v>409</v>
      </c>
      <c r="BE93" s="544" t="s">
        <v>487</v>
      </c>
      <c r="BG93" s="1230"/>
      <c r="BH93" s="544">
        <v>94</v>
      </c>
      <c r="BI93" s="543" t="s">
        <v>1381</v>
      </c>
      <c r="BJ93" s="543" t="s">
        <v>2076</v>
      </c>
      <c r="BK93" s="543" t="s">
        <v>2077</v>
      </c>
      <c r="BL93" s="543" t="s">
        <v>1534</v>
      </c>
      <c r="BM93" s="549">
        <v>70868</v>
      </c>
      <c r="BN93" s="562" t="s">
        <v>2451</v>
      </c>
      <c r="BO93" s="562" t="s">
        <v>2452</v>
      </c>
      <c r="BQ93" s="525"/>
      <c r="BR93" s="524"/>
      <c r="BU93" s="524"/>
      <c r="BV93" s="524"/>
    </row>
    <row r="94" spans="54:74" ht="13.5" customHeight="1">
      <c r="BB94" s="545">
        <v>10045</v>
      </c>
      <c r="BC94" s="543" t="str">
        <f t="shared" si="1"/>
        <v>札幌市北区麻生町</v>
      </c>
      <c r="BD94" s="543" t="s">
        <v>409</v>
      </c>
      <c r="BE94" s="544" t="s">
        <v>488</v>
      </c>
      <c r="BG94" s="1230"/>
      <c r="BH94" s="544">
        <v>95</v>
      </c>
      <c r="BI94" s="543" t="s">
        <v>1392</v>
      </c>
      <c r="BJ94" s="543" t="s">
        <v>2074</v>
      </c>
      <c r="BK94" s="543" t="s">
        <v>2075</v>
      </c>
      <c r="BL94" s="543" t="s">
        <v>1535</v>
      </c>
      <c r="BM94" s="549">
        <v>650012</v>
      </c>
      <c r="BN94" s="562" t="s">
        <v>2411</v>
      </c>
      <c r="BO94" s="562" t="s">
        <v>2412</v>
      </c>
      <c r="BQ94" s="525"/>
      <c r="BR94" s="524"/>
      <c r="BU94" s="524"/>
      <c r="BV94" s="524"/>
    </row>
    <row r="95" spans="54:74" ht="13.5" customHeight="1">
      <c r="BB95" s="545">
        <v>600806</v>
      </c>
      <c r="BC95" s="543" t="str">
        <f t="shared" si="1"/>
        <v>札幌市北区北六条西</v>
      </c>
      <c r="BD95" s="543" t="s">
        <v>409</v>
      </c>
      <c r="BE95" s="544" t="s">
        <v>489</v>
      </c>
      <c r="BG95" s="1230"/>
      <c r="BH95" s="544">
        <v>96</v>
      </c>
      <c r="BI95" s="543" t="s">
        <v>1401</v>
      </c>
      <c r="BJ95" s="543" t="s">
        <v>2072</v>
      </c>
      <c r="BK95" s="543" t="s">
        <v>2073</v>
      </c>
      <c r="BL95" s="543" t="s">
        <v>1536</v>
      </c>
      <c r="BM95" s="549">
        <v>650018</v>
      </c>
      <c r="BN95" s="562" t="s">
        <v>2413</v>
      </c>
      <c r="BO95" s="562" t="s">
        <v>2414</v>
      </c>
      <c r="BQ95" s="525"/>
      <c r="BR95" s="524"/>
      <c r="BU95" s="524"/>
      <c r="BV95" s="524"/>
    </row>
    <row r="96" spans="54:74" ht="13.5" customHeight="1">
      <c r="BB96" s="545">
        <v>600807</v>
      </c>
      <c r="BC96" s="543" t="str">
        <f t="shared" si="1"/>
        <v>札幌市北区北七条西</v>
      </c>
      <c r="BD96" s="543" t="s">
        <v>409</v>
      </c>
      <c r="BE96" s="544" t="s">
        <v>423</v>
      </c>
      <c r="BG96" s="1230"/>
      <c r="BH96" s="544">
        <v>97</v>
      </c>
      <c r="BI96" s="543" t="s">
        <v>1410</v>
      </c>
      <c r="BJ96" s="543" t="s">
        <v>2070</v>
      </c>
      <c r="BK96" s="543" t="s">
        <v>2071</v>
      </c>
      <c r="BL96" s="543" t="s">
        <v>1537</v>
      </c>
      <c r="BM96" s="549">
        <v>650019</v>
      </c>
      <c r="BN96" s="562" t="s">
        <v>2433</v>
      </c>
      <c r="BO96" s="562" t="s">
        <v>2434</v>
      </c>
      <c r="BQ96" s="525"/>
      <c r="BR96" s="524"/>
      <c r="BU96" s="524"/>
      <c r="BV96" s="524"/>
    </row>
    <row r="97" spans="54:74" ht="13.5" customHeight="1">
      <c r="BB97" s="545">
        <v>600808</v>
      </c>
      <c r="BC97" s="543" t="str">
        <f t="shared" si="1"/>
        <v>札幌市北区北八条西</v>
      </c>
      <c r="BD97" s="543" t="s">
        <v>409</v>
      </c>
      <c r="BE97" s="544" t="s">
        <v>424</v>
      </c>
      <c r="BG97" s="1230"/>
      <c r="BH97" s="544">
        <v>98</v>
      </c>
      <c r="BI97" s="558" t="s">
        <v>1289</v>
      </c>
      <c r="BJ97" s="543" t="s">
        <v>2068</v>
      </c>
      <c r="BK97" s="543" t="s">
        <v>2069</v>
      </c>
      <c r="BL97" s="543" t="s">
        <v>1538</v>
      </c>
      <c r="BM97" s="549">
        <v>650021</v>
      </c>
      <c r="BN97" s="562" t="s">
        <v>2453</v>
      </c>
      <c r="BO97" s="562" t="s">
        <v>2454</v>
      </c>
      <c r="BQ97" s="525"/>
      <c r="BR97" s="524"/>
      <c r="BU97" s="524"/>
      <c r="BV97" s="524"/>
    </row>
    <row r="98" spans="54:74" ht="40.5">
      <c r="BB98" s="545">
        <v>600809</v>
      </c>
      <c r="BC98" s="543" t="str">
        <f t="shared" si="1"/>
        <v>札幌市北区北九条西</v>
      </c>
      <c r="BD98" s="543" t="s">
        <v>409</v>
      </c>
      <c r="BE98" s="544" t="s">
        <v>425</v>
      </c>
      <c r="BG98" s="1230"/>
      <c r="BH98" s="544">
        <v>99</v>
      </c>
      <c r="BI98" s="543" t="s">
        <v>1518</v>
      </c>
      <c r="BJ98" s="543" t="s">
        <v>2065</v>
      </c>
      <c r="BK98" s="543" t="s">
        <v>2067</v>
      </c>
      <c r="BL98" s="543" t="s">
        <v>1539</v>
      </c>
      <c r="BM98" s="549">
        <v>650025</v>
      </c>
      <c r="BN98" s="562" t="s">
        <v>2429</v>
      </c>
      <c r="BO98" s="562" t="s">
        <v>2430</v>
      </c>
      <c r="BQ98" s="525"/>
      <c r="BR98" s="524"/>
      <c r="BU98" s="524"/>
      <c r="BV98" s="524"/>
    </row>
    <row r="99" spans="54:74" ht="40.5">
      <c r="BB99" s="545">
        <v>10010</v>
      </c>
      <c r="BC99" s="543" t="str">
        <f t="shared" si="1"/>
        <v>札幌市北区北十条西</v>
      </c>
      <c r="BD99" s="543" t="s">
        <v>409</v>
      </c>
      <c r="BE99" s="544" t="s">
        <v>1172</v>
      </c>
      <c r="BG99" s="1230"/>
      <c r="BH99" s="544">
        <v>100</v>
      </c>
      <c r="BI99" s="558" t="s">
        <v>1296</v>
      </c>
      <c r="BJ99" s="543" t="s">
        <v>2065</v>
      </c>
      <c r="BK99" s="543" t="s">
        <v>2066</v>
      </c>
      <c r="BL99" s="543" t="s">
        <v>1540</v>
      </c>
      <c r="BM99" s="549">
        <v>650025</v>
      </c>
      <c r="BN99" s="562" t="s">
        <v>2427</v>
      </c>
      <c r="BO99" s="562" t="s">
        <v>2428</v>
      </c>
      <c r="BQ99" s="525"/>
      <c r="BR99" s="524"/>
      <c r="BU99" s="524"/>
      <c r="BV99" s="524"/>
    </row>
    <row r="100" spans="54:74" ht="40.5">
      <c r="BB100" s="545">
        <v>600810</v>
      </c>
      <c r="BC100" s="543" t="str">
        <f t="shared" si="1"/>
        <v>札幌市北区北十条西</v>
      </c>
      <c r="BD100" s="543" t="s">
        <v>409</v>
      </c>
      <c r="BE100" s="544" t="s">
        <v>1173</v>
      </c>
      <c r="BG100" s="1230"/>
      <c r="BH100" s="544">
        <v>101</v>
      </c>
      <c r="BI100" s="543" t="s">
        <v>1413</v>
      </c>
      <c r="BJ100" s="543" t="s">
        <v>2063</v>
      </c>
      <c r="BK100" s="543" t="s">
        <v>2064</v>
      </c>
      <c r="BL100" s="543" t="s">
        <v>1541</v>
      </c>
      <c r="BM100" s="549">
        <v>650031</v>
      </c>
      <c r="BN100" s="562" t="s">
        <v>2441</v>
      </c>
      <c r="BO100" s="562" t="s">
        <v>2442</v>
      </c>
      <c r="BQ100" s="525"/>
      <c r="BR100" s="524"/>
      <c r="BU100" s="524"/>
      <c r="BV100" s="524"/>
    </row>
    <row r="101" spans="54:74" ht="40.5">
      <c r="BB101" s="545">
        <v>10011</v>
      </c>
      <c r="BC101" s="543" t="str">
        <f t="shared" si="1"/>
        <v>札幌市北区北十一条西</v>
      </c>
      <c r="BD101" s="543" t="s">
        <v>409</v>
      </c>
      <c r="BE101" s="544" t="s">
        <v>1174</v>
      </c>
      <c r="BG101" s="1230"/>
      <c r="BH101" s="544">
        <v>102</v>
      </c>
      <c r="BI101" s="558" t="s">
        <v>1519</v>
      </c>
      <c r="BJ101" s="543" t="s">
        <v>2062</v>
      </c>
      <c r="BK101" s="543" t="s">
        <v>1804</v>
      </c>
      <c r="BL101" s="543" t="s">
        <v>1542</v>
      </c>
      <c r="BM101" s="549">
        <v>650033</v>
      </c>
      <c r="BN101" s="562" t="s">
        <v>2431</v>
      </c>
      <c r="BO101" s="562" t="s">
        <v>2432</v>
      </c>
      <c r="BQ101" s="525"/>
      <c r="BR101" s="524"/>
      <c r="BU101" s="524"/>
      <c r="BV101" s="524"/>
    </row>
    <row r="102" spans="54:74" ht="40.5">
      <c r="BB102" s="545">
        <v>600811</v>
      </c>
      <c r="BC102" s="543" t="str">
        <f t="shared" si="1"/>
        <v>札幌市北区北十一条西</v>
      </c>
      <c r="BD102" s="543" t="s">
        <v>409</v>
      </c>
      <c r="BE102" s="544" t="s">
        <v>1174</v>
      </c>
      <c r="BG102" s="1230"/>
      <c r="BH102" s="544">
        <v>103</v>
      </c>
      <c r="BI102" s="543" t="s">
        <v>1520</v>
      </c>
      <c r="BJ102" s="543" t="s">
        <v>2060</v>
      </c>
      <c r="BK102" s="543" t="s">
        <v>2061</v>
      </c>
      <c r="BL102" s="543" t="s">
        <v>1543</v>
      </c>
      <c r="BM102" s="549">
        <v>70836</v>
      </c>
      <c r="BN102" s="562" t="s">
        <v>2455</v>
      </c>
      <c r="BO102" s="562" t="s">
        <v>2456</v>
      </c>
      <c r="BQ102" s="525"/>
      <c r="BR102" s="524"/>
      <c r="BU102" s="524"/>
      <c r="BV102" s="524"/>
    </row>
    <row r="103" spans="54:74" ht="40.5">
      <c r="BB103" s="545">
        <v>10012</v>
      </c>
      <c r="BC103" s="543" t="str">
        <f t="shared" si="1"/>
        <v>札幌市北区北十二条西</v>
      </c>
      <c r="BD103" s="543" t="s">
        <v>409</v>
      </c>
      <c r="BE103" s="544" t="s">
        <v>1175</v>
      </c>
      <c r="BG103" s="1230"/>
      <c r="BH103" s="544">
        <v>104</v>
      </c>
      <c r="BI103" s="543" t="s">
        <v>1309</v>
      </c>
      <c r="BJ103" s="543" t="s">
        <v>2058</v>
      </c>
      <c r="BK103" s="543" t="s">
        <v>2059</v>
      </c>
      <c r="BL103" s="543" t="s">
        <v>1544</v>
      </c>
      <c r="BM103" s="549">
        <v>70837</v>
      </c>
      <c r="BN103" s="562" t="s">
        <v>2449</v>
      </c>
      <c r="BO103" s="562" t="s">
        <v>2450</v>
      </c>
      <c r="BQ103" s="525"/>
      <c r="BR103" s="524"/>
      <c r="BU103" s="524"/>
      <c r="BV103" s="524"/>
    </row>
    <row r="104" spans="54:74" ht="40.5">
      <c r="BB104" s="545">
        <v>600812</v>
      </c>
      <c r="BC104" s="543" t="str">
        <f t="shared" si="1"/>
        <v>札幌市北区北十二条西</v>
      </c>
      <c r="BD104" s="543" t="s">
        <v>409</v>
      </c>
      <c r="BE104" s="544" t="s">
        <v>1176</v>
      </c>
      <c r="BG104" s="1230"/>
      <c r="BH104" s="544">
        <v>105</v>
      </c>
      <c r="BI104" s="543" t="s">
        <v>1308</v>
      </c>
      <c r="BJ104" s="543" t="s">
        <v>2057</v>
      </c>
      <c r="BK104" s="543" t="s">
        <v>1804</v>
      </c>
      <c r="BL104" s="543" t="s">
        <v>1545</v>
      </c>
      <c r="BM104" s="549">
        <v>70839</v>
      </c>
      <c r="BN104" s="562" t="s">
        <v>2437</v>
      </c>
      <c r="BO104" s="562" t="s">
        <v>2438</v>
      </c>
      <c r="BQ104" s="525"/>
      <c r="BR104" s="524"/>
      <c r="BU104" s="524"/>
      <c r="BV104" s="524"/>
    </row>
    <row r="105" spans="54:74" ht="40.5">
      <c r="BB105" s="545">
        <v>10013</v>
      </c>
      <c r="BC105" s="543" t="str">
        <f t="shared" si="1"/>
        <v>札幌市北区北十三条西</v>
      </c>
      <c r="BD105" s="543" t="s">
        <v>409</v>
      </c>
      <c r="BE105" s="544" t="s">
        <v>1177</v>
      </c>
      <c r="BG105" s="1230"/>
      <c r="BH105" s="544">
        <v>106</v>
      </c>
      <c r="BI105" s="543" t="s">
        <v>1307</v>
      </c>
      <c r="BJ105" s="543" t="s">
        <v>2055</v>
      </c>
      <c r="BK105" s="543" t="s">
        <v>2056</v>
      </c>
      <c r="BL105" s="543" t="s">
        <v>1546</v>
      </c>
      <c r="BM105" s="549">
        <v>70842</v>
      </c>
      <c r="BN105" s="562" t="s">
        <v>2421</v>
      </c>
      <c r="BO105" s="562" t="s">
        <v>2422</v>
      </c>
      <c r="BQ105" s="525"/>
      <c r="BR105" s="524"/>
      <c r="BU105" s="524"/>
      <c r="BV105" s="524"/>
    </row>
    <row r="106" spans="54:74" ht="40.5">
      <c r="BB106" s="545">
        <v>600813</v>
      </c>
      <c r="BC106" s="543" t="str">
        <f t="shared" si="1"/>
        <v>札幌市北区北十三条西</v>
      </c>
      <c r="BD106" s="543" t="s">
        <v>409</v>
      </c>
      <c r="BE106" s="544" t="s">
        <v>1177</v>
      </c>
      <c r="BG106" s="1230"/>
      <c r="BH106" s="544">
        <v>107</v>
      </c>
      <c r="BI106" s="543" t="s">
        <v>1521</v>
      </c>
      <c r="BJ106" s="543" t="s">
        <v>2053</v>
      </c>
      <c r="BK106" s="543" t="s">
        <v>2054</v>
      </c>
      <c r="BL106" s="543" t="s">
        <v>1547</v>
      </c>
      <c r="BM106" s="549">
        <v>70846</v>
      </c>
      <c r="BN106" s="562" t="s">
        <v>2443</v>
      </c>
      <c r="BO106" s="562" t="s">
        <v>2444</v>
      </c>
      <c r="BQ106" s="525"/>
      <c r="BR106" s="524"/>
      <c r="BU106" s="524"/>
      <c r="BV106" s="524"/>
    </row>
    <row r="107" spans="54:74" ht="40.5">
      <c r="BB107" s="545">
        <v>10014</v>
      </c>
      <c r="BC107" s="543" t="str">
        <f t="shared" si="1"/>
        <v>札幌市北区北十四条西</v>
      </c>
      <c r="BD107" s="543" t="s">
        <v>409</v>
      </c>
      <c r="BE107" s="544" t="s">
        <v>1178</v>
      </c>
      <c r="BG107" s="1230"/>
      <c r="BH107" s="544">
        <v>108</v>
      </c>
      <c r="BI107" s="543" t="s">
        <v>1522</v>
      </c>
      <c r="BJ107" s="543" t="s">
        <v>2052</v>
      </c>
      <c r="BK107" s="543" t="s">
        <v>1778</v>
      </c>
      <c r="BL107" s="543" t="s">
        <v>1548</v>
      </c>
      <c r="BM107" s="549">
        <v>70847</v>
      </c>
      <c r="BN107" s="562" t="s">
        <v>2439</v>
      </c>
      <c r="BO107" s="562" t="s">
        <v>2440</v>
      </c>
      <c r="BQ107" s="525"/>
      <c r="BR107" s="524"/>
      <c r="BU107" s="524"/>
      <c r="BV107" s="524"/>
    </row>
    <row r="108" spans="54:74" ht="40.5">
      <c r="BB108" s="545">
        <v>600814</v>
      </c>
      <c r="BC108" s="543" t="str">
        <f t="shared" si="1"/>
        <v>札幌市北区北十四条西</v>
      </c>
      <c r="BD108" s="543" t="s">
        <v>409</v>
      </c>
      <c r="BE108" s="544" t="s">
        <v>1179</v>
      </c>
      <c r="BG108" s="1230"/>
      <c r="BH108" s="544">
        <v>109</v>
      </c>
      <c r="BI108" s="543" t="s">
        <v>1523</v>
      </c>
      <c r="BJ108" s="543" t="s">
        <v>2050</v>
      </c>
      <c r="BK108" s="543" t="s">
        <v>2051</v>
      </c>
      <c r="BL108" s="543" t="s">
        <v>1549</v>
      </c>
      <c r="BM108" s="549">
        <v>70851</v>
      </c>
      <c r="BN108" s="562" t="s">
        <v>2457</v>
      </c>
      <c r="BO108" s="562" t="s">
        <v>2458</v>
      </c>
      <c r="BQ108" s="525"/>
      <c r="BR108" s="524"/>
      <c r="BU108" s="524"/>
      <c r="BV108" s="524"/>
    </row>
    <row r="109" spans="54:74" ht="40.5">
      <c r="BB109" s="545">
        <v>10015</v>
      </c>
      <c r="BC109" s="543" t="str">
        <f t="shared" si="1"/>
        <v>札幌市北区北十五条西</v>
      </c>
      <c r="BD109" s="543" t="s">
        <v>409</v>
      </c>
      <c r="BE109" s="544" t="s">
        <v>1180</v>
      </c>
      <c r="BG109" s="1230"/>
      <c r="BH109" s="544">
        <v>110</v>
      </c>
      <c r="BI109" s="558" t="s">
        <v>1345</v>
      </c>
      <c r="BJ109" s="543" t="s">
        <v>2048</v>
      </c>
      <c r="BK109" s="543" t="s">
        <v>2049</v>
      </c>
      <c r="BL109" s="543" t="s">
        <v>1550</v>
      </c>
      <c r="BM109" s="549">
        <v>650009</v>
      </c>
      <c r="BN109" s="562" t="s">
        <v>2409</v>
      </c>
      <c r="BO109" s="562" t="s">
        <v>2410</v>
      </c>
      <c r="BQ109" s="525"/>
      <c r="BR109" s="524"/>
      <c r="BU109" s="524"/>
      <c r="BV109" s="524"/>
    </row>
    <row r="110" spans="54:74" ht="40.5">
      <c r="BB110" s="545">
        <v>600815</v>
      </c>
      <c r="BC110" s="543" t="str">
        <f t="shared" si="1"/>
        <v>札幌市北区北十五条西</v>
      </c>
      <c r="BD110" s="543" t="s">
        <v>409</v>
      </c>
      <c r="BE110" s="544" t="s">
        <v>1180</v>
      </c>
      <c r="BG110" s="1230"/>
      <c r="BH110" s="544">
        <v>111</v>
      </c>
      <c r="BI110" s="558" t="s">
        <v>1337</v>
      </c>
      <c r="BJ110" s="543" t="s">
        <v>2046</v>
      </c>
      <c r="BK110" s="543" t="s">
        <v>2047</v>
      </c>
      <c r="BL110" s="543" t="s">
        <v>1551</v>
      </c>
      <c r="BM110" s="549">
        <v>650042</v>
      </c>
      <c r="BN110" s="562" t="s">
        <v>2447</v>
      </c>
      <c r="BO110" s="562" t="s">
        <v>2448</v>
      </c>
      <c r="BQ110" s="525"/>
      <c r="BR110" s="524"/>
      <c r="BU110" s="524"/>
      <c r="BV110" s="524"/>
    </row>
    <row r="111" spans="54:74" ht="40.5">
      <c r="BB111" s="545">
        <v>10016</v>
      </c>
      <c r="BC111" s="543" t="str">
        <f t="shared" si="1"/>
        <v>札幌市北区北十六条西</v>
      </c>
      <c r="BD111" s="543" t="s">
        <v>409</v>
      </c>
      <c r="BE111" s="544" t="s">
        <v>1171</v>
      </c>
      <c r="BG111" s="1230"/>
      <c r="BH111" s="544">
        <v>112</v>
      </c>
      <c r="BI111" s="543" t="s">
        <v>1394</v>
      </c>
      <c r="BJ111" s="543" t="s">
        <v>2046</v>
      </c>
      <c r="BK111" s="543" t="s">
        <v>1774</v>
      </c>
      <c r="BL111" s="543" t="s">
        <v>1552</v>
      </c>
      <c r="BM111" s="549">
        <v>650042</v>
      </c>
      <c r="BN111" s="562" t="s">
        <v>2435</v>
      </c>
      <c r="BO111" s="562" t="s">
        <v>2436</v>
      </c>
      <c r="BQ111" s="525"/>
      <c r="BR111" s="524"/>
      <c r="BU111" s="524"/>
      <c r="BV111" s="524"/>
    </row>
    <row r="112" spans="54:74" ht="40.5">
      <c r="BB112" s="545">
        <v>600816</v>
      </c>
      <c r="BC112" s="543" t="str">
        <f t="shared" si="1"/>
        <v>札幌市北区北十六条西</v>
      </c>
      <c r="BD112" s="543" t="s">
        <v>409</v>
      </c>
      <c r="BE112" s="544" t="s">
        <v>1171</v>
      </c>
      <c r="BG112" s="1230" t="s">
        <v>1558</v>
      </c>
      <c r="BH112" s="544">
        <v>113</v>
      </c>
      <c r="BI112" s="543" t="s">
        <v>1338</v>
      </c>
      <c r="BJ112" s="554" t="s">
        <v>2005</v>
      </c>
      <c r="BK112" s="554" t="s">
        <v>2006</v>
      </c>
      <c r="BL112" s="543" t="s">
        <v>1559</v>
      </c>
      <c r="BM112" s="566">
        <v>50856</v>
      </c>
      <c r="BN112" s="562" t="s">
        <v>2224</v>
      </c>
      <c r="BO112" s="562" t="s">
        <v>2225</v>
      </c>
    </row>
    <row r="113" spans="54:68" ht="40.5">
      <c r="BB113" s="545">
        <v>10017</v>
      </c>
      <c r="BC113" s="543" t="str">
        <f t="shared" si="1"/>
        <v>札幌市北区北十七条西</v>
      </c>
      <c r="BD113" s="543" t="s">
        <v>409</v>
      </c>
      <c r="BE113" s="544" t="s">
        <v>1170</v>
      </c>
      <c r="BG113" s="1230"/>
      <c r="BH113" s="544">
        <v>114</v>
      </c>
      <c r="BI113" s="543" t="s">
        <v>1553</v>
      </c>
      <c r="BJ113" s="543" t="s">
        <v>2003</v>
      </c>
      <c r="BK113" s="543" t="s">
        <v>2004</v>
      </c>
      <c r="BL113" s="543" t="s">
        <v>1560</v>
      </c>
      <c r="BM113" s="566">
        <v>50861</v>
      </c>
      <c r="BN113" s="562" t="s">
        <v>2228</v>
      </c>
      <c r="BO113" s="562" t="s">
        <v>2229</v>
      </c>
    </row>
    <row r="114" spans="54:68" ht="40.5">
      <c r="BB114" s="545">
        <v>600817</v>
      </c>
      <c r="BC114" s="543" t="str">
        <f t="shared" si="1"/>
        <v>札幌市北区北十七条西</v>
      </c>
      <c r="BD114" s="543" t="s">
        <v>409</v>
      </c>
      <c r="BE114" s="544" t="s">
        <v>1169</v>
      </c>
      <c r="BG114" s="1230"/>
      <c r="BH114" s="544">
        <v>115</v>
      </c>
      <c r="BI114" s="543" t="s">
        <v>1399</v>
      </c>
      <c r="BJ114" s="543" t="s">
        <v>2001</v>
      </c>
      <c r="BK114" s="543" t="s">
        <v>2002</v>
      </c>
      <c r="BL114" s="543" t="s">
        <v>1561</v>
      </c>
      <c r="BM114" s="566">
        <v>50018</v>
      </c>
      <c r="BN114" s="562" t="s">
        <v>2250</v>
      </c>
      <c r="BO114" s="562" t="s">
        <v>2251</v>
      </c>
      <c r="BP114" s="562"/>
    </row>
    <row r="115" spans="54:68" ht="40.5">
      <c r="BB115" s="545">
        <v>10018</v>
      </c>
      <c r="BC115" s="543" t="str">
        <f t="shared" si="1"/>
        <v>札幌市北区北十八条西</v>
      </c>
      <c r="BD115" s="543" t="s">
        <v>409</v>
      </c>
      <c r="BE115" s="544" t="s">
        <v>1168</v>
      </c>
      <c r="BG115" s="1230"/>
      <c r="BH115" s="544">
        <v>116</v>
      </c>
      <c r="BI115" s="543" t="s">
        <v>1400</v>
      </c>
      <c r="BJ115" s="543" t="s">
        <v>1999</v>
      </c>
      <c r="BK115" s="543" t="s">
        <v>2000</v>
      </c>
      <c r="BL115" s="543" t="s">
        <v>1562</v>
      </c>
      <c r="BM115" s="566">
        <v>50015</v>
      </c>
      <c r="BN115" s="562" t="s">
        <v>2252</v>
      </c>
      <c r="BO115" s="562" t="s">
        <v>2253</v>
      </c>
    </row>
    <row r="116" spans="54:68" ht="40.5">
      <c r="BB116" s="545">
        <v>600818</v>
      </c>
      <c r="BC116" s="543" t="str">
        <f t="shared" si="1"/>
        <v>札幌市北区北十八条西</v>
      </c>
      <c r="BD116" s="543" t="s">
        <v>409</v>
      </c>
      <c r="BE116" s="544" t="s">
        <v>1167</v>
      </c>
      <c r="BG116" s="1230"/>
      <c r="BH116" s="544">
        <v>117</v>
      </c>
      <c r="BI116" s="543" t="s">
        <v>1326</v>
      </c>
      <c r="BJ116" s="543" t="s">
        <v>1997</v>
      </c>
      <c r="BK116" s="543" t="s">
        <v>1998</v>
      </c>
      <c r="BL116" s="543" t="s">
        <v>1563</v>
      </c>
      <c r="BM116" s="566">
        <v>50002</v>
      </c>
      <c r="BN116" s="562" t="s">
        <v>2234</v>
      </c>
      <c r="BO116" s="562" t="s">
        <v>2235</v>
      </c>
    </row>
    <row r="117" spans="54:68" ht="40.5">
      <c r="BB117" s="545">
        <v>10019</v>
      </c>
      <c r="BC117" s="543" t="str">
        <f t="shared" si="1"/>
        <v>札幌市北区北十九条西</v>
      </c>
      <c r="BD117" s="543" t="s">
        <v>409</v>
      </c>
      <c r="BE117" s="544" t="s">
        <v>1166</v>
      </c>
      <c r="BG117" s="1230"/>
      <c r="BH117" s="544">
        <v>118</v>
      </c>
      <c r="BI117" s="543" t="s">
        <v>1554</v>
      </c>
      <c r="BJ117" s="543" t="s">
        <v>1995</v>
      </c>
      <c r="BK117" s="543" t="s">
        <v>1996</v>
      </c>
      <c r="BL117" s="543" t="s">
        <v>1564</v>
      </c>
      <c r="BM117" s="566">
        <v>50005</v>
      </c>
      <c r="BN117" s="562" t="s">
        <v>2244</v>
      </c>
      <c r="BO117" s="562" t="s">
        <v>2245</v>
      </c>
    </row>
    <row r="118" spans="54:68" ht="40.5">
      <c r="BB118" s="545">
        <v>600819</v>
      </c>
      <c r="BC118" s="543" t="str">
        <f t="shared" si="1"/>
        <v>札幌市北区北十九条西</v>
      </c>
      <c r="BD118" s="543" t="s">
        <v>409</v>
      </c>
      <c r="BE118" s="544" t="s">
        <v>1165</v>
      </c>
      <c r="BG118" s="1230"/>
      <c r="BH118" s="544">
        <v>119</v>
      </c>
      <c r="BI118" s="543" t="s">
        <v>1325</v>
      </c>
      <c r="BJ118" s="543" t="s">
        <v>1993</v>
      </c>
      <c r="BK118" s="543" t="s">
        <v>1994</v>
      </c>
      <c r="BL118" s="543" t="s">
        <v>1565</v>
      </c>
      <c r="BM118" s="566">
        <v>50005</v>
      </c>
      <c r="BN118" s="562" t="s">
        <v>2230</v>
      </c>
      <c r="BO118" s="562" t="s">
        <v>2231</v>
      </c>
    </row>
    <row r="119" spans="54:68" ht="40.5">
      <c r="BB119" s="545">
        <v>10020</v>
      </c>
      <c r="BC119" s="543" t="str">
        <f t="shared" si="1"/>
        <v>札幌市北区北二十条西</v>
      </c>
      <c r="BD119" s="543" t="s">
        <v>409</v>
      </c>
      <c r="BE119" s="544" t="s">
        <v>1164</v>
      </c>
      <c r="BG119" s="1230"/>
      <c r="BH119" s="544">
        <v>120</v>
      </c>
      <c r="BI119" s="558" t="s">
        <v>2254</v>
      </c>
      <c r="BJ119" s="543" t="s">
        <v>2258</v>
      </c>
      <c r="BK119" s="543" t="s">
        <v>2259</v>
      </c>
      <c r="BL119" s="543" t="s">
        <v>2255</v>
      </c>
      <c r="BM119" s="566">
        <v>50841</v>
      </c>
      <c r="BN119" s="562" t="s">
        <v>2256</v>
      </c>
      <c r="BO119" s="562" t="s">
        <v>2257</v>
      </c>
    </row>
    <row r="120" spans="54:68">
      <c r="BB120" s="545">
        <v>600820</v>
      </c>
      <c r="BC120" s="543" t="str">
        <f t="shared" si="1"/>
        <v>札幌市北区北二十条西</v>
      </c>
      <c r="BD120" s="543" t="s">
        <v>409</v>
      </c>
      <c r="BE120" s="544" t="s">
        <v>1163</v>
      </c>
      <c r="BG120" s="1230"/>
      <c r="BH120" s="544">
        <v>121</v>
      </c>
      <c r="BM120" s="566"/>
    </row>
    <row r="121" spans="54:68" ht="40.5">
      <c r="BB121" s="545">
        <v>10021</v>
      </c>
      <c r="BC121" s="543" t="str">
        <f t="shared" si="1"/>
        <v>札幌市北区北二十一条西</v>
      </c>
      <c r="BD121" s="543" t="s">
        <v>409</v>
      </c>
      <c r="BE121" s="544" t="s">
        <v>436</v>
      </c>
      <c r="BG121" s="1230"/>
      <c r="BH121" s="544">
        <v>122</v>
      </c>
      <c r="BI121" s="543" t="s">
        <v>1384</v>
      </c>
      <c r="BJ121" s="543" t="s">
        <v>1991</v>
      </c>
      <c r="BK121" s="543" t="s">
        <v>1992</v>
      </c>
      <c r="BL121" s="543" t="s">
        <v>1566</v>
      </c>
      <c r="BM121" s="566">
        <v>50849</v>
      </c>
      <c r="BN121" s="562" t="s">
        <v>2226</v>
      </c>
      <c r="BO121" s="562" t="s">
        <v>2227</v>
      </c>
    </row>
    <row r="122" spans="54:68" ht="40.5">
      <c r="BB122" s="545">
        <v>10022</v>
      </c>
      <c r="BC122" s="543" t="str">
        <f t="shared" si="1"/>
        <v>札幌市北区北二十二条西</v>
      </c>
      <c r="BD122" s="543" t="s">
        <v>409</v>
      </c>
      <c r="BE122" s="544" t="s">
        <v>437</v>
      </c>
      <c r="BG122" s="1230"/>
      <c r="BH122" s="544">
        <v>123</v>
      </c>
      <c r="BI122" s="543" t="s">
        <v>1282</v>
      </c>
      <c r="BJ122" s="543" t="s">
        <v>1989</v>
      </c>
      <c r="BK122" s="543" t="s">
        <v>1990</v>
      </c>
      <c r="BL122" s="543" t="s">
        <v>1567</v>
      </c>
      <c r="BM122" s="566">
        <v>50850</v>
      </c>
      <c r="BN122" s="562" t="s">
        <v>2246</v>
      </c>
      <c r="BO122" s="562" t="s">
        <v>2247</v>
      </c>
      <c r="BP122" s="562"/>
    </row>
    <row r="123" spans="54:68" ht="40.5">
      <c r="BB123" s="545">
        <v>10023</v>
      </c>
      <c r="BC123" s="543" t="str">
        <f t="shared" si="1"/>
        <v>札幌市北区北二十三条西</v>
      </c>
      <c r="BD123" s="543" t="s">
        <v>409</v>
      </c>
      <c r="BE123" s="544" t="s">
        <v>490</v>
      </c>
      <c r="BG123" s="1230"/>
      <c r="BH123" s="544">
        <v>124</v>
      </c>
      <c r="BI123" s="543" t="s">
        <v>1412</v>
      </c>
      <c r="BJ123" s="543" t="s">
        <v>1987</v>
      </c>
      <c r="BK123" s="543" t="s">
        <v>1988</v>
      </c>
      <c r="BL123" s="543" t="s">
        <v>1568</v>
      </c>
      <c r="BM123" s="566">
        <v>50818</v>
      </c>
      <c r="BN123" s="562" t="s">
        <v>2242</v>
      </c>
      <c r="BO123" s="562" t="s">
        <v>2243</v>
      </c>
    </row>
    <row r="124" spans="54:68" ht="40.5">
      <c r="BB124" s="545">
        <v>10024</v>
      </c>
      <c r="BC124" s="543" t="str">
        <f t="shared" si="1"/>
        <v>札幌市北区北二十四条西</v>
      </c>
      <c r="BD124" s="543" t="s">
        <v>409</v>
      </c>
      <c r="BE124" s="544" t="s">
        <v>491</v>
      </c>
      <c r="BG124" s="1230"/>
      <c r="BH124" s="544">
        <v>125</v>
      </c>
      <c r="BI124" s="543" t="s">
        <v>1555</v>
      </c>
      <c r="BJ124" s="543" t="s">
        <v>1986</v>
      </c>
      <c r="BK124" s="543" t="s">
        <v>1784</v>
      </c>
      <c r="BL124" s="543" t="s">
        <v>1569</v>
      </c>
      <c r="BM124" s="566">
        <v>50802</v>
      </c>
      <c r="BN124" s="562" t="s">
        <v>2232</v>
      </c>
      <c r="BO124" s="562" t="s">
        <v>2233</v>
      </c>
    </row>
    <row r="125" spans="54:68" ht="40.5">
      <c r="BB125" s="545">
        <v>10025</v>
      </c>
      <c r="BC125" s="543" t="str">
        <f t="shared" si="1"/>
        <v>札幌市北区北二十五条西</v>
      </c>
      <c r="BD125" s="543" t="s">
        <v>409</v>
      </c>
      <c r="BE125" s="544" t="s">
        <v>492</v>
      </c>
      <c r="BG125" s="1230"/>
      <c r="BH125" s="544">
        <v>126</v>
      </c>
      <c r="BI125" s="543" t="s">
        <v>1411</v>
      </c>
      <c r="BJ125" s="543" t="s">
        <v>1984</v>
      </c>
      <c r="BK125" s="543" t="s">
        <v>1985</v>
      </c>
      <c r="BL125" s="543" t="s">
        <v>1570</v>
      </c>
      <c r="BM125" s="566">
        <v>50807</v>
      </c>
      <c r="BN125" s="562" t="s">
        <v>2216</v>
      </c>
      <c r="BO125" s="562" t="s">
        <v>2217</v>
      </c>
    </row>
    <row r="126" spans="54:68" ht="40.5">
      <c r="BB126" s="545">
        <v>10026</v>
      </c>
      <c r="BC126" s="543" t="str">
        <f t="shared" si="1"/>
        <v>札幌市北区北二十六条西</v>
      </c>
      <c r="BD126" s="543" t="s">
        <v>409</v>
      </c>
      <c r="BE126" s="544" t="s">
        <v>493</v>
      </c>
      <c r="BG126" s="1230"/>
      <c r="BH126" s="544">
        <v>127</v>
      </c>
      <c r="BI126" s="558" t="s">
        <v>1556</v>
      </c>
      <c r="BJ126" s="543" t="s">
        <v>1982</v>
      </c>
      <c r="BK126" s="543" t="s">
        <v>1983</v>
      </c>
      <c r="BL126" s="543" t="s">
        <v>1571</v>
      </c>
      <c r="BM126" s="566">
        <v>612302</v>
      </c>
      <c r="BN126" s="562" t="s">
        <v>2220</v>
      </c>
      <c r="BO126" s="562" t="s">
        <v>2221</v>
      </c>
    </row>
    <row r="127" spans="54:68" ht="40.5">
      <c r="BB127" s="545">
        <v>10027</v>
      </c>
      <c r="BC127" s="543" t="str">
        <f t="shared" ref="BC127:BC190" si="2">BD127&amp;BE127</f>
        <v>札幌市北区北二十七条西</v>
      </c>
      <c r="BD127" s="543" t="s">
        <v>409</v>
      </c>
      <c r="BE127" s="544" t="s">
        <v>494</v>
      </c>
      <c r="BG127" s="1230"/>
      <c r="BH127" s="544">
        <v>128</v>
      </c>
      <c r="BI127" s="543" t="s">
        <v>1383</v>
      </c>
      <c r="BJ127" s="543" t="s">
        <v>1980</v>
      </c>
      <c r="BK127" s="543" t="s">
        <v>1981</v>
      </c>
      <c r="BL127" s="543" t="s">
        <v>1572</v>
      </c>
      <c r="BM127" s="566">
        <v>612282</v>
      </c>
      <c r="BN127" s="562" t="s">
        <v>2236</v>
      </c>
      <c r="BO127" s="562" t="s">
        <v>2237</v>
      </c>
    </row>
    <row r="128" spans="54:68" ht="40.5">
      <c r="BB128" s="545">
        <v>10028</v>
      </c>
      <c r="BC128" s="543" t="str">
        <f t="shared" si="2"/>
        <v>札幌市北区北二十八条西</v>
      </c>
      <c r="BD128" s="543" t="s">
        <v>409</v>
      </c>
      <c r="BE128" s="544" t="s">
        <v>495</v>
      </c>
      <c r="BG128" s="1230"/>
      <c r="BH128" s="544">
        <v>129</v>
      </c>
      <c r="BI128" s="543" t="s">
        <v>1385</v>
      </c>
      <c r="BJ128" s="543" t="s">
        <v>1978</v>
      </c>
      <c r="BK128" s="543" t="s">
        <v>1979</v>
      </c>
      <c r="BL128" s="543" t="s">
        <v>1573</v>
      </c>
      <c r="BM128" s="566">
        <v>612284</v>
      </c>
      <c r="BN128" s="562" t="s">
        <v>2248</v>
      </c>
      <c r="BO128" s="562" t="s">
        <v>2249</v>
      </c>
    </row>
    <row r="129" spans="54:74">
      <c r="BB129" s="545">
        <v>10029</v>
      </c>
      <c r="BC129" s="543" t="str">
        <f t="shared" si="2"/>
        <v>札幌市北区北二十九条西</v>
      </c>
      <c r="BD129" s="543" t="s">
        <v>409</v>
      </c>
      <c r="BE129" s="544" t="s">
        <v>496</v>
      </c>
      <c r="BG129" s="1230"/>
      <c r="BH129" s="544">
        <v>130</v>
      </c>
      <c r="BI129" s="543" t="s">
        <v>1422</v>
      </c>
      <c r="BJ129" s="543" t="s">
        <v>1976</v>
      </c>
      <c r="BK129" s="543" t="s">
        <v>1977</v>
      </c>
      <c r="BL129" s="543" t="s">
        <v>1574</v>
      </c>
      <c r="BM129" s="566">
        <v>50030</v>
      </c>
      <c r="BN129" s="543" t="s">
        <v>2260</v>
      </c>
      <c r="BO129" s="543" t="s">
        <v>2261</v>
      </c>
    </row>
    <row r="130" spans="54:74" ht="40.5">
      <c r="BB130" s="545">
        <v>10030</v>
      </c>
      <c r="BC130" s="543" t="str">
        <f t="shared" si="2"/>
        <v>札幌市北区北三十条西</v>
      </c>
      <c r="BD130" s="543" t="s">
        <v>409</v>
      </c>
      <c r="BE130" s="544" t="s">
        <v>497</v>
      </c>
      <c r="BG130" s="1230"/>
      <c r="BH130" s="544">
        <v>131</v>
      </c>
      <c r="BI130" s="543" t="s">
        <v>1405</v>
      </c>
      <c r="BJ130" s="543" t="s">
        <v>1974</v>
      </c>
      <c r="BK130" s="543" t="s">
        <v>1975</v>
      </c>
      <c r="BL130" s="543" t="s">
        <v>1575</v>
      </c>
      <c r="BM130" s="566">
        <v>50031</v>
      </c>
      <c r="BN130" s="562" t="s">
        <v>2218</v>
      </c>
      <c r="BO130" s="562" t="s">
        <v>2219</v>
      </c>
      <c r="BP130" s="562"/>
    </row>
    <row r="131" spans="54:74" ht="40.5">
      <c r="BB131" s="545">
        <v>10031</v>
      </c>
      <c r="BC131" s="543" t="str">
        <f t="shared" si="2"/>
        <v>札幌市北区北三十一条西</v>
      </c>
      <c r="BD131" s="543" t="s">
        <v>409</v>
      </c>
      <c r="BE131" s="544" t="s">
        <v>498</v>
      </c>
      <c r="BG131" s="1230"/>
      <c r="BH131" s="544">
        <v>132</v>
      </c>
      <c r="BI131" s="543" t="s">
        <v>1408</v>
      </c>
      <c r="BJ131" s="543" t="s">
        <v>1972</v>
      </c>
      <c r="BK131" s="543" t="s">
        <v>1973</v>
      </c>
      <c r="BL131" s="543" t="s">
        <v>1576</v>
      </c>
      <c r="BM131" s="566">
        <v>50823</v>
      </c>
      <c r="BN131" s="562" t="s">
        <v>2238</v>
      </c>
      <c r="BO131" s="562" t="s">
        <v>2239</v>
      </c>
    </row>
    <row r="132" spans="54:74" ht="40.5">
      <c r="BB132" s="545">
        <v>10032</v>
      </c>
      <c r="BC132" s="543" t="str">
        <f t="shared" si="2"/>
        <v>札幌市北区北三十二条西</v>
      </c>
      <c r="BD132" s="543" t="s">
        <v>409</v>
      </c>
      <c r="BE132" s="544" t="s">
        <v>499</v>
      </c>
      <c r="BG132" s="1230"/>
      <c r="BH132" s="544">
        <v>133</v>
      </c>
      <c r="BI132" s="543" t="s">
        <v>1557</v>
      </c>
      <c r="BJ132" s="543" t="s">
        <v>1970</v>
      </c>
      <c r="BK132" s="543" t="s">
        <v>1971</v>
      </c>
      <c r="BL132" s="543" t="s">
        <v>1577</v>
      </c>
      <c r="BM132" s="566">
        <v>50832</v>
      </c>
      <c r="BN132" s="562" t="s">
        <v>2240</v>
      </c>
      <c r="BO132" s="562" t="s">
        <v>2241</v>
      </c>
      <c r="BP132" s="562"/>
    </row>
    <row r="133" spans="54:74" ht="40.5">
      <c r="BB133" s="545">
        <v>10033</v>
      </c>
      <c r="BC133" s="543" t="str">
        <f t="shared" si="2"/>
        <v>札幌市北区北三十三条西</v>
      </c>
      <c r="BD133" s="543" t="s">
        <v>409</v>
      </c>
      <c r="BE133" s="544" t="s">
        <v>500</v>
      </c>
      <c r="BG133" s="1230"/>
      <c r="BH133" s="544">
        <v>134</v>
      </c>
      <c r="BI133" s="543" t="s">
        <v>1402</v>
      </c>
      <c r="BJ133" s="543" t="s">
        <v>1968</v>
      </c>
      <c r="BK133" s="543" t="s">
        <v>1969</v>
      </c>
      <c r="BL133" s="543" t="s">
        <v>1578</v>
      </c>
      <c r="BM133" s="566">
        <v>612261</v>
      </c>
      <c r="BN133" s="562" t="s">
        <v>2222</v>
      </c>
      <c r="BO133" s="562" t="s">
        <v>2223</v>
      </c>
    </row>
    <row r="134" spans="54:74" ht="40.5">
      <c r="BB134" s="545">
        <v>10034</v>
      </c>
      <c r="BC134" s="543" t="str">
        <f t="shared" si="2"/>
        <v>札幌市北区北三十四条西</v>
      </c>
      <c r="BD134" s="543" t="s">
        <v>409</v>
      </c>
      <c r="BE134" s="544" t="s">
        <v>501</v>
      </c>
      <c r="BG134" s="1230" t="s">
        <v>1579</v>
      </c>
      <c r="BH134" s="544">
        <v>135</v>
      </c>
      <c r="BI134" s="543" t="s">
        <v>1304</v>
      </c>
      <c r="BJ134" s="554" t="s">
        <v>1930</v>
      </c>
      <c r="BK134" s="554" t="s">
        <v>1931</v>
      </c>
      <c r="BL134" s="543" t="s">
        <v>1580</v>
      </c>
      <c r="BM134" s="566">
        <v>30806</v>
      </c>
      <c r="BN134" s="562" t="s">
        <v>2395</v>
      </c>
      <c r="BO134" s="562" t="s">
        <v>2396</v>
      </c>
      <c r="BQ134" s="524"/>
      <c r="BR134" s="524"/>
      <c r="BS134" s="524"/>
      <c r="BT134" s="524"/>
      <c r="BU134" s="524"/>
      <c r="BV134" s="524"/>
    </row>
    <row r="135" spans="54:74" ht="40.5">
      <c r="BB135" s="545">
        <v>10035</v>
      </c>
      <c r="BC135" s="543" t="str">
        <f t="shared" si="2"/>
        <v>札幌市北区北三十五条西</v>
      </c>
      <c r="BD135" s="543" t="s">
        <v>409</v>
      </c>
      <c r="BE135" s="544" t="s">
        <v>502</v>
      </c>
      <c r="BG135" s="1230"/>
      <c r="BH135" s="544">
        <v>136</v>
      </c>
      <c r="BI135" s="543" t="s">
        <v>1279</v>
      </c>
      <c r="BJ135" s="543" t="s">
        <v>1932</v>
      </c>
      <c r="BK135" s="543" t="s">
        <v>1933</v>
      </c>
      <c r="BL135" s="543" t="s">
        <v>1581</v>
      </c>
      <c r="BM135" s="549">
        <v>30808</v>
      </c>
      <c r="BN135" s="562" t="s">
        <v>2369</v>
      </c>
      <c r="BO135" s="562" t="s">
        <v>2370</v>
      </c>
      <c r="BQ135" s="525"/>
      <c r="BR135" s="524"/>
      <c r="BU135" s="524"/>
      <c r="BV135" s="524"/>
    </row>
    <row r="136" spans="54:74" ht="40.5">
      <c r="BB136" s="545">
        <v>10036</v>
      </c>
      <c r="BC136" s="543" t="str">
        <f t="shared" si="2"/>
        <v>札幌市北区北三十六条西</v>
      </c>
      <c r="BD136" s="543" t="s">
        <v>409</v>
      </c>
      <c r="BE136" s="544" t="s">
        <v>503</v>
      </c>
      <c r="BG136" s="1230"/>
      <c r="BH136" s="544">
        <v>137</v>
      </c>
      <c r="BI136" s="558" t="s">
        <v>1292</v>
      </c>
      <c r="BJ136" s="543" t="s">
        <v>1934</v>
      </c>
      <c r="BK136" s="543" t="s">
        <v>1935</v>
      </c>
      <c r="BL136" s="543" t="s">
        <v>1582</v>
      </c>
      <c r="BM136" s="549">
        <v>30822</v>
      </c>
      <c r="BN136" s="562" t="s">
        <v>2401</v>
      </c>
      <c r="BO136" s="562" t="s">
        <v>2402</v>
      </c>
      <c r="BQ136" s="525"/>
      <c r="BR136" s="524"/>
      <c r="BU136" s="524"/>
      <c r="BV136" s="524"/>
    </row>
    <row r="137" spans="54:74" ht="40.5">
      <c r="BB137" s="545">
        <v>10037</v>
      </c>
      <c r="BC137" s="543" t="str">
        <f t="shared" si="2"/>
        <v>札幌市北区北三十七条西</v>
      </c>
      <c r="BD137" s="543" t="s">
        <v>409</v>
      </c>
      <c r="BE137" s="544" t="s">
        <v>504</v>
      </c>
      <c r="BG137" s="1230"/>
      <c r="BH137" s="544">
        <v>138</v>
      </c>
      <c r="BI137" s="558" t="s">
        <v>1290</v>
      </c>
      <c r="BJ137" s="543" t="s">
        <v>1936</v>
      </c>
      <c r="BK137" s="543" t="s">
        <v>1937</v>
      </c>
      <c r="BL137" s="543" t="s">
        <v>1583</v>
      </c>
      <c r="BM137" s="549">
        <v>30811</v>
      </c>
      <c r="BN137" s="562" t="s">
        <v>2373</v>
      </c>
      <c r="BO137" s="562" t="s">
        <v>2374</v>
      </c>
      <c r="BQ137" s="525"/>
      <c r="BR137" s="524"/>
      <c r="BU137" s="524"/>
      <c r="BV137" s="524"/>
    </row>
    <row r="138" spans="54:74" ht="40.5">
      <c r="BB138" s="545">
        <v>10038</v>
      </c>
      <c r="BC138" s="543" t="str">
        <f t="shared" si="2"/>
        <v>札幌市北区北三十八条西</v>
      </c>
      <c r="BD138" s="543" t="s">
        <v>409</v>
      </c>
      <c r="BE138" s="544" t="s">
        <v>505</v>
      </c>
      <c r="BG138" s="1230"/>
      <c r="BH138" s="544">
        <v>139</v>
      </c>
      <c r="BI138" s="543" t="s">
        <v>1365</v>
      </c>
      <c r="BJ138" s="543" t="s">
        <v>1938</v>
      </c>
      <c r="BK138" s="543" t="s">
        <v>1939</v>
      </c>
      <c r="BL138" s="543" t="s">
        <v>1584</v>
      </c>
      <c r="BM138" s="549">
        <v>30864</v>
      </c>
      <c r="BN138" s="562" t="s">
        <v>2405</v>
      </c>
      <c r="BO138" s="562" t="s">
        <v>2406</v>
      </c>
      <c r="BQ138" s="525"/>
      <c r="BR138" s="524"/>
      <c r="BU138" s="524"/>
      <c r="BV138" s="524"/>
    </row>
    <row r="139" spans="54:74" ht="40.5">
      <c r="BB139" s="545">
        <v>10039</v>
      </c>
      <c r="BC139" s="543" t="str">
        <f t="shared" si="2"/>
        <v>札幌市北区北三十九条西</v>
      </c>
      <c r="BD139" s="543" t="s">
        <v>409</v>
      </c>
      <c r="BE139" s="544" t="s">
        <v>506</v>
      </c>
      <c r="BG139" s="1230"/>
      <c r="BH139" s="544">
        <v>140</v>
      </c>
      <c r="BI139" s="558" t="s">
        <v>1291</v>
      </c>
      <c r="BJ139" s="543" t="s">
        <v>1940</v>
      </c>
      <c r="BK139" s="543" t="s">
        <v>1802</v>
      </c>
      <c r="BL139" s="543" t="s">
        <v>1585</v>
      </c>
      <c r="BM139" s="549">
        <v>30854</v>
      </c>
      <c r="BN139" s="562" t="s">
        <v>2403</v>
      </c>
      <c r="BO139" s="562" t="s">
        <v>2404</v>
      </c>
      <c r="BQ139" s="525"/>
      <c r="BR139" s="524"/>
      <c r="BU139" s="524"/>
      <c r="BV139" s="524"/>
    </row>
    <row r="140" spans="54:74" ht="40.5">
      <c r="BB140" s="545">
        <v>10040</v>
      </c>
      <c r="BC140" s="543" t="str">
        <f t="shared" si="2"/>
        <v>札幌市北区北四十条西</v>
      </c>
      <c r="BD140" s="543" t="s">
        <v>409</v>
      </c>
      <c r="BE140" s="544" t="s">
        <v>507</v>
      </c>
      <c r="BG140" s="1230"/>
      <c r="BH140" s="544">
        <v>141</v>
      </c>
      <c r="BI140" s="543" t="s">
        <v>1353</v>
      </c>
      <c r="BJ140" s="543" t="s">
        <v>1941</v>
      </c>
      <c r="BK140" s="543" t="s">
        <v>1942</v>
      </c>
      <c r="BL140" s="543" t="s">
        <v>1586</v>
      </c>
      <c r="BM140" s="549">
        <v>30013</v>
      </c>
      <c r="BN140" s="562" t="s">
        <v>2391</v>
      </c>
      <c r="BO140" s="562" t="s">
        <v>2392</v>
      </c>
      <c r="BQ140" s="525"/>
      <c r="BR140" s="524"/>
      <c r="BU140" s="524"/>
      <c r="BV140" s="524"/>
    </row>
    <row r="141" spans="54:74" ht="40.5">
      <c r="BB141" s="545">
        <v>28021</v>
      </c>
      <c r="BC141" s="543" t="str">
        <f t="shared" si="2"/>
        <v>札幌市北区篠路一条</v>
      </c>
      <c r="BD141" s="543" t="s">
        <v>409</v>
      </c>
      <c r="BE141" s="544" t="s">
        <v>508</v>
      </c>
      <c r="BG141" s="1230"/>
      <c r="BH141" s="544">
        <v>142</v>
      </c>
      <c r="BI141" s="543" t="s">
        <v>1366</v>
      </c>
      <c r="BJ141" s="543" t="s">
        <v>1943</v>
      </c>
      <c r="BK141" s="543" t="s">
        <v>1944</v>
      </c>
      <c r="BL141" s="543" t="s">
        <v>1587</v>
      </c>
      <c r="BM141" s="549">
        <v>30004</v>
      </c>
      <c r="BN141" s="562" t="s">
        <v>2383</v>
      </c>
      <c r="BO141" s="562" t="s">
        <v>2384</v>
      </c>
      <c r="BQ141" s="525"/>
      <c r="BR141" s="524"/>
      <c r="BU141" s="524"/>
      <c r="BV141" s="524"/>
    </row>
    <row r="142" spans="54:74" ht="40.5">
      <c r="BB142" s="545">
        <v>28022</v>
      </c>
      <c r="BC142" s="543" t="str">
        <f t="shared" si="2"/>
        <v>札幌市北区篠路二条</v>
      </c>
      <c r="BD142" s="543" t="s">
        <v>409</v>
      </c>
      <c r="BE142" s="544" t="s">
        <v>509</v>
      </c>
      <c r="BG142" s="1230"/>
      <c r="BH142" s="544">
        <v>143</v>
      </c>
      <c r="BI142" s="543" t="s">
        <v>1393</v>
      </c>
      <c r="BJ142" s="543" t="s">
        <v>1945</v>
      </c>
      <c r="BK142" s="543" t="s">
        <v>1946</v>
      </c>
      <c r="BL142" s="543" t="s">
        <v>1588</v>
      </c>
      <c r="BM142" s="549">
        <v>30022</v>
      </c>
      <c r="BN142" s="562" t="s">
        <v>2377</v>
      </c>
      <c r="BO142" s="562" t="s">
        <v>2378</v>
      </c>
      <c r="BQ142" s="525"/>
      <c r="BR142" s="524"/>
      <c r="BU142" s="524"/>
      <c r="BV142" s="524"/>
    </row>
    <row r="143" spans="54:74" ht="40.5">
      <c r="BB143" s="545">
        <v>28023</v>
      </c>
      <c r="BC143" s="543" t="str">
        <f t="shared" si="2"/>
        <v>札幌市北区篠路三条</v>
      </c>
      <c r="BD143" s="543" t="s">
        <v>409</v>
      </c>
      <c r="BE143" s="544" t="s">
        <v>510</v>
      </c>
      <c r="BG143" s="1230"/>
      <c r="BH143" s="544">
        <v>144</v>
      </c>
      <c r="BI143" s="543" t="s">
        <v>1406</v>
      </c>
      <c r="BJ143" s="543" t="s">
        <v>1947</v>
      </c>
      <c r="BK143" s="543" t="s">
        <v>1948</v>
      </c>
      <c r="BL143" s="543" t="s">
        <v>1589</v>
      </c>
      <c r="BM143" s="549">
        <v>30022</v>
      </c>
      <c r="BN143" s="562" t="s">
        <v>2399</v>
      </c>
      <c r="BO143" s="562" t="s">
        <v>2400</v>
      </c>
      <c r="BQ143" s="525"/>
      <c r="BR143" s="524"/>
      <c r="BU143" s="524"/>
      <c r="BV143" s="524"/>
    </row>
    <row r="144" spans="54:74" ht="40.5">
      <c r="BB144" s="545">
        <v>28024</v>
      </c>
      <c r="BC144" s="543" t="str">
        <f t="shared" si="2"/>
        <v>札幌市北区篠路四条</v>
      </c>
      <c r="BD144" s="543" t="s">
        <v>409</v>
      </c>
      <c r="BE144" s="544" t="s">
        <v>511</v>
      </c>
      <c r="BG144" s="1230"/>
      <c r="BH144" s="544">
        <v>145</v>
      </c>
      <c r="BI144" s="543" t="s">
        <v>1395</v>
      </c>
      <c r="BJ144" s="543" t="s">
        <v>1949</v>
      </c>
      <c r="BK144" s="543" t="s">
        <v>1950</v>
      </c>
      <c r="BL144" s="543" t="s">
        <v>1590</v>
      </c>
      <c r="BM144" s="549">
        <v>30028</v>
      </c>
      <c r="BN144" s="562" t="s">
        <v>2381</v>
      </c>
      <c r="BO144" s="562" t="s">
        <v>2382</v>
      </c>
      <c r="BQ144" s="525"/>
      <c r="BR144" s="524"/>
      <c r="BU144" s="524"/>
      <c r="BV144" s="524"/>
    </row>
    <row r="145" spans="54:74" ht="40.5">
      <c r="BB145" s="545">
        <v>28025</v>
      </c>
      <c r="BC145" s="543" t="str">
        <f t="shared" si="2"/>
        <v>札幌市北区篠路五条</v>
      </c>
      <c r="BD145" s="543" t="s">
        <v>409</v>
      </c>
      <c r="BE145" s="544" t="s">
        <v>512</v>
      </c>
      <c r="BG145" s="1230"/>
      <c r="BH145" s="544">
        <v>146</v>
      </c>
      <c r="BI145" s="543" t="s">
        <v>1420</v>
      </c>
      <c r="BJ145" s="543" t="s">
        <v>1951</v>
      </c>
      <c r="BK145" s="543" t="s">
        <v>1952</v>
      </c>
      <c r="BL145" s="543" t="s">
        <v>1591</v>
      </c>
      <c r="BM145" s="549">
        <v>30871</v>
      </c>
      <c r="BN145" s="562" t="s">
        <v>2407</v>
      </c>
      <c r="BO145" s="562" t="s">
        <v>2408</v>
      </c>
      <c r="BQ145" s="525"/>
      <c r="BR145" s="524"/>
      <c r="BU145" s="524"/>
      <c r="BV145" s="524"/>
    </row>
    <row r="146" spans="54:74" ht="40.5">
      <c r="BB146" s="545">
        <v>28026</v>
      </c>
      <c r="BC146" s="543" t="str">
        <f t="shared" si="2"/>
        <v>札幌市北区篠路六条</v>
      </c>
      <c r="BD146" s="543" t="s">
        <v>409</v>
      </c>
      <c r="BE146" s="544" t="s">
        <v>513</v>
      </c>
      <c r="BG146" s="1230"/>
      <c r="BH146" s="544">
        <v>147</v>
      </c>
      <c r="BI146" s="543" t="s">
        <v>1389</v>
      </c>
      <c r="BJ146" s="543" t="s">
        <v>1953</v>
      </c>
      <c r="BK146" s="543" t="s">
        <v>1954</v>
      </c>
      <c r="BL146" s="543" t="s">
        <v>1592</v>
      </c>
      <c r="BM146" s="549">
        <v>30833</v>
      </c>
      <c r="BN146" s="562" t="s">
        <v>2393</v>
      </c>
      <c r="BO146" s="562" t="s">
        <v>2394</v>
      </c>
      <c r="BQ146" s="525"/>
      <c r="BR146" s="524"/>
      <c r="BU146" s="524"/>
      <c r="BV146" s="524"/>
    </row>
    <row r="147" spans="54:74" ht="40.5">
      <c r="BB147" s="545">
        <v>28027</v>
      </c>
      <c r="BC147" s="543" t="str">
        <f t="shared" si="2"/>
        <v>札幌市北区篠路七条</v>
      </c>
      <c r="BD147" s="543" t="s">
        <v>409</v>
      </c>
      <c r="BE147" s="544" t="s">
        <v>514</v>
      </c>
      <c r="BG147" s="1230"/>
      <c r="BH147" s="544">
        <v>148</v>
      </c>
      <c r="BI147" s="543" t="s">
        <v>1294</v>
      </c>
      <c r="BJ147" s="543" t="s">
        <v>1955</v>
      </c>
      <c r="BK147" s="543" t="s">
        <v>1956</v>
      </c>
      <c r="BL147" s="543" t="s">
        <v>1593</v>
      </c>
      <c r="BM147" s="549">
        <v>30834</v>
      </c>
      <c r="BN147" s="562" t="s">
        <v>2385</v>
      </c>
      <c r="BO147" s="562" t="s">
        <v>2386</v>
      </c>
      <c r="BQ147" s="525"/>
      <c r="BR147" s="524"/>
      <c r="BU147" s="524"/>
      <c r="BV147" s="524"/>
    </row>
    <row r="148" spans="54:74" ht="40.5">
      <c r="BB148" s="545">
        <v>28028</v>
      </c>
      <c r="BC148" s="543" t="str">
        <f t="shared" si="2"/>
        <v>札幌市北区篠路八条</v>
      </c>
      <c r="BD148" s="543" t="s">
        <v>409</v>
      </c>
      <c r="BE148" s="544" t="s">
        <v>515</v>
      </c>
      <c r="BG148" s="1230"/>
      <c r="BH148" s="544">
        <v>149</v>
      </c>
      <c r="BI148" s="558" t="s">
        <v>1295</v>
      </c>
      <c r="BJ148" s="543" t="s">
        <v>1957</v>
      </c>
      <c r="BK148" s="543" t="s">
        <v>1958</v>
      </c>
      <c r="BL148" s="543" t="s">
        <v>1594</v>
      </c>
      <c r="BM148" s="549">
        <v>30836</v>
      </c>
      <c r="BN148" s="562" t="s">
        <v>2389</v>
      </c>
      <c r="BO148" s="562" t="s">
        <v>2390</v>
      </c>
      <c r="BQ148" s="525"/>
      <c r="BR148" s="524"/>
      <c r="BU148" s="524"/>
      <c r="BV148" s="524"/>
    </row>
    <row r="149" spans="54:74" ht="40.5">
      <c r="BB149" s="545">
        <v>28029</v>
      </c>
      <c r="BC149" s="543" t="str">
        <f t="shared" si="2"/>
        <v>札幌市北区篠路九条</v>
      </c>
      <c r="BD149" s="543" t="s">
        <v>409</v>
      </c>
      <c r="BE149" s="544" t="s">
        <v>516</v>
      </c>
      <c r="BG149" s="1230"/>
      <c r="BH149" s="544">
        <v>150</v>
      </c>
      <c r="BI149" s="543" t="s">
        <v>1348</v>
      </c>
      <c r="BJ149" s="543" t="s">
        <v>1959</v>
      </c>
      <c r="BK149" s="543" t="s">
        <v>1960</v>
      </c>
      <c r="BL149" s="543" t="s">
        <v>1595</v>
      </c>
      <c r="BM149" s="549">
        <v>30024</v>
      </c>
      <c r="BN149" s="562" t="s">
        <v>2379</v>
      </c>
      <c r="BO149" s="562" t="s">
        <v>2380</v>
      </c>
      <c r="BQ149" s="525"/>
      <c r="BR149" s="524"/>
      <c r="BU149" s="524"/>
      <c r="BV149" s="524"/>
    </row>
    <row r="150" spans="54:74" ht="40.5">
      <c r="BB150" s="545">
        <v>28030</v>
      </c>
      <c r="BC150" s="543" t="str">
        <f t="shared" si="2"/>
        <v>札幌市北区篠路十条</v>
      </c>
      <c r="BD150" s="543" t="s">
        <v>409</v>
      </c>
      <c r="BE150" s="544" t="s">
        <v>517</v>
      </c>
      <c r="BG150" s="1230"/>
      <c r="BH150" s="544">
        <v>151</v>
      </c>
      <c r="BI150" s="543" t="s">
        <v>1367</v>
      </c>
      <c r="BJ150" s="543" t="s">
        <v>1961</v>
      </c>
      <c r="BK150" s="543" t="s">
        <v>1962</v>
      </c>
      <c r="BL150" s="543" t="s">
        <v>1596</v>
      </c>
      <c r="BM150" s="549">
        <v>30026</v>
      </c>
      <c r="BN150" s="562" t="s">
        <v>2387</v>
      </c>
      <c r="BO150" s="562" t="s">
        <v>2388</v>
      </c>
      <c r="BQ150" s="525"/>
      <c r="BR150" s="524"/>
      <c r="BU150" s="524"/>
      <c r="BV150" s="524"/>
    </row>
    <row r="151" spans="54:74" ht="40.5">
      <c r="BB151" s="545">
        <v>28052</v>
      </c>
      <c r="BC151" s="543" t="str">
        <f t="shared" si="2"/>
        <v>札幌市北区篠路町上篠路</v>
      </c>
      <c r="BD151" s="543" t="s">
        <v>409</v>
      </c>
      <c r="BE151" s="544" t="s">
        <v>518</v>
      </c>
      <c r="BG151" s="1230"/>
      <c r="BH151" s="544">
        <v>152</v>
      </c>
      <c r="BI151" s="543" t="s">
        <v>1388</v>
      </c>
      <c r="BJ151" s="543" t="s">
        <v>1963</v>
      </c>
      <c r="BK151" s="543" t="s">
        <v>1964</v>
      </c>
      <c r="BL151" s="543" t="s">
        <v>1597</v>
      </c>
      <c r="BM151" s="549">
        <v>30027</v>
      </c>
      <c r="BN151" s="562" t="s">
        <v>2397</v>
      </c>
      <c r="BO151" s="562" t="s">
        <v>2398</v>
      </c>
      <c r="BQ151" s="525"/>
      <c r="BR151" s="524"/>
      <c r="BU151" s="524"/>
      <c r="BV151" s="524"/>
    </row>
    <row r="152" spans="54:74" ht="40.5">
      <c r="BB152" s="545">
        <v>28053</v>
      </c>
      <c r="BC152" s="543" t="str">
        <f t="shared" si="2"/>
        <v>札幌市北区篠路町篠路</v>
      </c>
      <c r="BD152" s="543" t="s">
        <v>409</v>
      </c>
      <c r="BE152" s="544" t="s">
        <v>519</v>
      </c>
      <c r="BG152" s="1230"/>
      <c r="BH152" s="544">
        <v>153</v>
      </c>
      <c r="BI152" s="558" t="s">
        <v>1287</v>
      </c>
      <c r="BJ152" s="543" t="s">
        <v>1961</v>
      </c>
      <c r="BK152" s="543" t="s">
        <v>1965</v>
      </c>
      <c r="BL152" s="543" t="s">
        <v>1598</v>
      </c>
      <c r="BM152" s="549">
        <v>30026</v>
      </c>
      <c r="BN152" s="562" t="s">
        <v>2375</v>
      </c>
      <c r="BO152" s="562" t="s">
        <v>2376</v>
      </c>
      <c r="BQ152" s="525"/>
      <c r="BR152" s="524"/>
      <c r="BU152" s="524"/>
      <c r="BV152" s="524"/>
    </row>
    <row r="153" spans="54:74" ht="40.5">
      <c r="BB153" s="545">
        <v>28051</v>
      </c>
      <c r="BC153" s="543" t="str">
        <f t="shared" si="2"/>
        <v>札幌市北区篠路町太平</v>
      </c>
      <c r="BD153" s="543" t="s">
        <v>409</v>
      </c>
      <c r="BE153" s="544" t="s">
        <v>520</v>
      </c>
      <c r="BG153" s="1230"/>
      <c r="BH153" s="544">
        <v>154</v>
      </c>
      <c r="BI153" s="558" t="s">
        <v>1317</v>
      </c>
      <c r="BJ153" s="543" t="s">
        <v>1966</v>
      </c>
      <c r="BK153" s="543" t="s">
        <v>1967</v>
      </c>
      <c r="BL153" s="543" t="s">
        <v>1599</v>
      </c>
      <c r="BM153" s="549">
        <v>30027</v>
      </c>
      <c r="BN153" s="562" t="s">
        <v>2371</v>
      </c>
      <c r="BO153" s="562" t="s">
        <v>2372</v>
      </c>
      <c r="BQ153" s="525"/>
      <c r="BR153" s="524"/>
      <c r="BU153" s="524"/>
      <c r="BV153" s="524"/>
    </row>
    <row r="154" spans="54:74" ht="40.5">
      <c r="BB154" s="545">
        <v>28054</v>
      </c>
      <c r="BC154" s="543" t="str">
        <f t="shared" si="2"/>
        <v>札幌市北区篠路町拓北</v>
      </c>
      <c r="BD154" s="543" t="s">
        <v>409</v>
      </c>
      <c r="BE154" s="544" t="s">
        <v>521</v>
      </c>
      <c r="BG154" s="1230" t="s">
        <v>1600</v>
      </c>
      <c r="BH154" s="544">
        <v>155</v>
      </c>
      <c r="BI154" s="543" t="s">
        <v>1331</v>
      </c>
      <c r="BJ154" s="554" t="s">
        <v>1893</v>
      </c>
      <c r="BK154" s="554" t="s">
        <v>1752</v>
      </c>
      <c r="BL154" s="543" t="s">
        <v>1601</v>
      </c>
      <c r="BM154" s="566">
        <v>620022</v>
      </c>
      <c r="BN154" s="562" t="s">
        <v>2332</v>
      </c>
      <c r="BO154" s="562" t="s">
        <v>2333</v>
      </c>
      <c r="BQ154" s="525"/>
      <c r="BR154" s="524"/>
      <c r="BU154" s="524"/>
      <c r="BV154" s="524"/>
    </row>
    <row r="155" spans="54:74" ht="40.5">
      <c r="BB155" s="545">
        <v>28055</v>
      </c>
      <c r="BC155" s="543" t="str">
        <f t="shared" si="2"/>
        <v>札幌市北区篠路町福移</v>
      </c>
      <c r="BD155" s="543" t="s">
        <v>409</v>
      </c>
      <c r="BE155" s="544" t="s">
        <v>522</v>
      </c>
      <c r="BG155" s="1230"/>
      <c r="BH155" s="544">
        <v>156</v>
      </c>
      <c r="BI155" s="543" t="s">
        <v>1407</v>
      </c>
      <c r="BJ155" s="543" t="s">
        <v>1894</v>
      </c>
      <c r="BK155" s="543" t="s">
        <v>1895</v>
      </c>
      <c r="BL155" s="543" t="s">
        <v>1602</v>
      </c>
      <c r="BM155" s="549">
        <v>620024</v>
      </c>
      <c r="BN155" s="562" t="s">
        <v>2354</v>
      </c>
      <c r="BO155" s="562" t="s">
        <v>2355</v>
      </c>
      <c r="BQ155" s="525"/>
      <c r="BR155" s="524"/>
      <c r="BU155" s="524"/>
      <c r="BV155" s="524"/>
    </row>
    <row r="156" spans="54:74" ht="40.5">
      <c r="BB156" s="545">
        <v>10930</v>
      </c>
      <c r="BC156" s="543" t="str">
        <f t="shared" si="2"/>
        <v>札幌市北区新川</v>
      </c>
      <c r="BD156" s="543" t="s">
        <v>409</v>
      </c>
      <c r="BE156" s="544" t="s">
        <v>523</v>
      </c>
      <c r="BG156" s="1230"/>
      <c r="BH156" s="544">
        <v>157</v>
      </c>
      <c r="BI156" s="558" t="s">
        <v>1280</v>
      </c>
      <c r="BJ156" s="543" t="s">
        <v>1896</v>
      </c>
      <c r="BK156" s="543" t="s">
        <v>1897</v>
      </c>
      <c r="BL156" s="543" t="s">
        <v>1603</v>
      </c>
      <c r="BM156" s="549">
        <v>620051</v>
      </c>
      <c r="BN156" s="562" t="s">
        <v>2364</v>
      </c>
      <c r="BO156" s="562" t="s">
        <v>2365</v>
      </c>
      <c r="BQ156" s="525"/>
      <c r="BR156" s="524"/>
      <c r="BU156" s="524"/>
      <c r="BV156" s="524"/>
    </row>
    <row r="157" spans="54:74" ht="40.5">
      <c r="BB157" s="545">
        <v>10921</v>
      </c>
      <c r="BC157" s="543" t="str">
        <f t="shared" si="2"/>
        <v>札幌市北区新川一条</v>
      </c>
      <c r="BD157" s="543" t="s">
        <v>409</v>
      </c>
      <c r="BE157" s="544" t="s">
        <v>524</v>
      </c>
      <c r="BG157" s="1230"/>
      <c r="BH157" s="544">
        <v>158</v>
      </c>
      <c r="BI157" s="543" t="s">
        <v>1370</v>
      </c>
      <c r="BJ157" s="543" t="s">
        <v>1896</v>
      </c>
      <c r="BK157" s="543" t="s">
        <v>1898</v>
      </c>
      <c r="BL157" s="543" t="s">
        <v>1604</v>
      </c>
      <c r="BM157" s="549">
        <v>620051</v>
      </c>
      <c r="BN157" s="562" t="s">
        <v>2346</v>
      </c>
      <c r="BO157" s="562" t="s">
        <v>2347</v>
      </c>
      <c r="BQ157" s="525"/>
      <c r="BR157" s="524"/>
      <c r="BU157" s="524"/>
      <c r="BV157" s="524"/>
    </row>
    <row r="158" spans="54:74" ht="40.5">
      <c r="BB158" s="545">
        <v>10922</v>
      </c>
      <c r="BC158" s="543" t="str">
        <f t="shared" si="2"/>
        <v>札幌市北区新川二条</v>
      </c>
      <c r="BD158" s="543" t="s">
        <v>409</v>
      </c>
      <c r="BE158" s="544" t="s">
        <v>525</v>
      </c>
      <c r="BG158" s="1230"/>
      <c r="BH158" s="544">
        <v>159</v>
      </c>
      <c r="BI158" s="543" t="s">
        <v>1332</v>
      </c>
      <c r="BJ158" s="543" t="s">
        <v>1899</v>
      </c>
      <c r="BK158" s="543" t="s">
        <v>1900</v>
      </c>
      <c r="BL158" s="543" t="s">
        <v>1605</v>
      </c>
      <c r="BM158" s="549">
        <v>620053</v>
      </c>
      <c r="BN158" s="562" t="s">
        <v>2344</v>
      </c>
      <c r="BO158" s="562" t="s">
        <v>2345</v>
      </c>
      <c r="BQ158" s="525"/>
      <c r="BR158" s="524"/>
      <c r="BU158" s="524"/>
      <c r="BV158" s="524"/>
    </row>
    <row r="159" spans="54:74" ht="40.5">
      <c r="BB159" s="545">
        <v>10923</v>
      </c>
      <c r="BC159" s="543" t="str">
        <f t="shared" si="2"/>
        <v>札幌市北区新川三条</v>
      </c>
      <c r="BD159" s="543" t="s">
        <v>409</v>
      </c>
      <c r="BE159" s="544" t="s">
        <v>526</v>
      </c>
      <c r="BG159" s="1230"/>
      <c r="BH159" s="544">
        <v>160</v>
      </c>
      <c r="BI159" s="558" t="s">
        <v>1316</v>
      </c>
      <c r="BJ159" s="543" t="s">
        <v>1901</v>
      </c>
      <c r="BK159" s="543" t="s">
        <v>1902</v>
      </c>
      <c r="BL159" s="543" t="s">
        <v>1606</v>
      </c>
      <c r="BM159" s="549">
        <v>620054</v>
      </c>
      <c r="BN159" s="562" t="s">
        <v>2352</v>
      </c>
      <c r="BO159" s="562" t="s">
        <v>2353</v>
      </c>
      <c r="BQ159" s="525"/>
      <c r="BR159" s="524"/>
      <c r="BU159" s="524"/>
      <c r="BV159" s="524"/>
    </row>
    <row r="160" spans="54:74" ht="40.5">
      <c r="BB160" s="545">
        <v>10924</v>
      </c>
      <c r="BC160" s="543" t="str">
        <f t="shared" si="2"/>
        <v>札幌市北区新川四条</v>
      </c>
      <c r="BD160" s="543" t="s">
        <v>409</v>
      </c>
      <c r="BE160" s="544" t="s">
        <v>527</v>
      </c>
      <c r="BG160" s="1230"/>
      <c r="BH160" s="544">
        <v>161</v>
      </c>
      <c r="BI160" s="558" t="s">
        <v>1276</v>
      </c>
      <c r="BJ160" s="543" t="s">
        <v>1903</v>
      </c>
      <c r="BK160" s="543" t="s">
        <v>1904</v>
      </c>
      <c r="BL160" s="543" t="s">
        <v>1607</v>
      </c>
      <c r="BM160" s="549">
        <v>620912</v>
      </c>
      <c r="BN160" s="562" t="s">
        <v>2330</v>
      </c>
      <c r="BO160" s="562" t="s">
        <v>2331</v>
      </c>
      <c r="BQ160" s="525"/>
      <c r="BR160" s="524"/>
      <c r="BU160" s="524"/>
      <c r="BV160" s="524"/>
    </row>
    <row r="161" spans="54:74" ht="40.5">
      <c r="BB161" s="545">
        <v>10925</v>
      </c>
      <c r="BC161" s="543" t="str">
        <f t="shared" si="2"/>
        <v>札幌市北区新川五条</v>
      </c>
      <c r="BD161" s="543" t="s">
        <v>409</v>
      </c>
      <c r="BE161" s="544" t="s">
        <v>528</v>
      </c>
      <c r="BG161" s="1230"/>
      <c r="BH161" s="544">
        <v>162</v>
      </c>
      <c r="BI161" s="543" t="s">
        <v>1350</v>
      </c>
      <c r="BJ161" s="543" t="s">
        <v>1905</v>
      </c>
      <c r="BK161" s="543" t="s">
        <v>1906</v>
      </c>
      <c r="BL161" s="543" t="s">
        <v>1608</v>
      </c>
      <c r="BM161" s="549">
        <v>620032</v>
      </c>
      <c r="BN161" s="562" t="s">
        <v>2340</v>
      </c>
      <c r="BO161" s="562" t="s">
        <v>2341</v>
      </c>
      <c r="BQ161" s="525"/>
      <c r="BR161" s="524"/>
      <c r="BU161" s="524"/>
      <c r="BV161" s="524"/>
    </row>
    <row r="162" spans="54:74" ht="40.5">
      <c r="BB162" s="545">
        <v>10926</v>
      </c>
      <c r="BC162" s="543" t="str">
        <f t="shared" si="2"/>
        <v>札幌市北区新川六条</v>
      </c>
      <c r="BD162" s="543" t="s">
        <v>409</v>
      </c>
      <c r="BE162" s="544" t="s">
        <v>529</v>
      </c>
      <c r="BG162" s="1230"/>
      <c r="BH162" s="544">
        <v>163</v>
      </c>
      <c r="BI162" s="543" t="s">
        <v>1351</v>
      </c>
      <c r="BJ162" s="543" t="s">
        <v>1907</v>
      </c>
      <c r="BK162" s="543" t="s">
        <v>1908</v>
      </c>
      <c r="BL162" s="543" t="s">
        <v>1609</v>
      </c>
      <c r="BM162" s="549">
        <v>620033</v>
      </c>
      <c r="BN162" s="562" t="s">
        <v>2366</v>
      </c>
      <c r="BO162" s="562" t="s">
        <v>2367</v>
      </c>
      <c r="BQ162" s="525"/>
      <c r="BR162" s="524"/>
      <c r="BU162" s="524"/>
      <c r="BV162" s="524"/>
    </row>
    <row r="163" spans="54:74" ht="40.5">
      <c r="BB163" s="545">
        <v>10927</v>
      </c>
      <c r="BC163" s="543" t="str">
        <f t="shared" si="2"/>
        <v>札幌市北区新川七条</v>
      </c>
      <c r="BD163" s="543" t="s">
        <v>409</v>
      </c>
      <c r="BE163" s="544" t="s">
        <v>530</v>
      </c>
      <c r="BG163" s="1230"/>
      <c r="BH163" s="544">
        <v>164</v>
      </c>
      <c r="BI163" s="543" t="s">
        <v>1352</v>
      </c>
      <c r="BJ163" s="543" t="s">
        <v>1909</v>
      </c>
      <c r="BK163" s="543" t="s">
        <v>1910</v>
      </c>
      <c r="BL163" s="543" t="s">
        <v>1610</v>
      </c>
      <c r="BM163" s="549">
        <v>620034</v>
      </c>
      <c r="BN163" s="562" t="s">
        <v>2360</v>
      </c>
      <c r="BO163" s="562" t="s">
        <v>2361</v>
      </c>
      <c r="BQ163" s="525"/>
      <c r="BR163" s="524"/>
      <c r="BU163" s="524"/>
      <c r="BV163" s="524"/>
    </row>
    <row r="164" spans="54:74" ht="40.5">
      <c r="BB164" s="545">
        <v>10928</v>
      </c>
      <c r="BC164" s="543" t="str">
        <f t="shared" si="2"/>
        <v>札幌市北区新川八条</v>
      </c>
      <c r="BD164" s="543" t="s">
        <v>409</v>
      </c>
      <c r="BE164" s="544" t="s">
        <v>531</v>
      </c>
      <c r="BG164" s="1230"/>
      <c r="BH164" s="544">
        <v>165</v>
      </c>
      <c r="BI164" s="558" t="s">
        <v>1347</v>
      </c>
      <c r="BJ164" s="543" t="s">
        <v>1911</v>
      </c>
      <c r="BK164" s="543" t="s">
        <v>1912</v>
      </c>
      <c r="BL164" s="543" t="s">
        <v>1611</v>
      </c>
      <c r="BM164" s="549">
        <v>620922</v>
      </c>
      <c r="BN164" s="562" t="s">
        <v>2342</v>
      </c>
      <c r="BO164" s="562" t="s">
        <v>2343</v>
      </c>
      <c r="BQ164" s="525"/>
      <c r="BR164" s="524"/>
      <c r="BU164" s="524"/>
      <c r="BV164" s="524"/>
    </row>
    <row r="165" spans="54:74" ht="40.5">
      <c r="BB165" s="545">
        <v>10931</v>
      </c>
      <c r="BC165" s="543" t="str">
        <f t="shared" si="2"/>
        <v>札幌市北区新川西一条</v>
      </c>
      <c r="BD165" s="543" t="s">
        <v>409</v>
      </c>
      <c r="BE165" s="544" t="s">
        <v>532</v>
      </c>
      <c r="BG165" s="1230"/>
      <c r="BH165" s="544">
        <v>166</v>
      </c>
      <c r="BI165" s="543" t="s">
        <v>1340</v>
      </c>
      <c r="BJ165" s="543" t="s">
        <v>1913</v>
      </c>
      <c r="BK165" s="543" t="s">
        <v>1914</v>
      </c>
      <c r="BL165" s="543" t="s">
        <v>1612</v>
      </c>
      <c r="BM165" s="549">
        <v>620001</v>
      </c>
      <c r="BN165" s="562" t="s">
        <v>2338</v>
      </c>
      <c r="BO165" s="562" t="s">
        <v>2339</v>
      </c>
      <c r="BQ165" s="525"/>
      <c r="BR165" s="524"/>
      <c r="BU165" s="524"/>
      <c r="BV165" s="524"/>
    </row>
    <row r="166" spans="54:74" ht="40.5">
      <c r="BB166" s="545">
        <v>10932</v>
      </c>
      <c r="BC166" s="543" t="str">
        <f t="shared" si="2"/>
        <v>札幌市北区新川西二条</v>
      </c>
      <c r="BD166" s="543" t="s">
        <v>409</v>
      </c>
      <c r="BE166" s="544" t="s">
        <v>533</v>
      </c>
      <c r="BG166" s="1230"/>
      <c r="BH166" s="544">
        <v>167</v>
      </c>
      <c r="BI166" s="543" t="s">
        <v>1404</v>
      </c>
      <c r="BJ166" s="543" t="s">
        <v>1915</v>
      </c>
      <c r="BK166" s="543" t="s">
        <v>1802</v>
      </c>
      <c r="BL166" s="543" t="s">
        <v>1613</v>
      </c>
      <c r="BM166" s="549">
        <v>620005</v>
      </c>
      <c r="BN166" s="562" t="s">
        <v>2356</v>
      </c>
      <c r="BO166" s="562" t="s">
        <v>2357</v>
      </c>
      <c r="BQ166" s="525"/>
      <c r="BR166" s="524"/>
      <c r="BU166" s="524"/>
      <c r="BV166" s="524"/>
    </row>
    <row r="167" spans="54:74" ht="40.5">
      <c r="BB167" s="545">
        <v>10933</v>
      </c>
      <c r="BC167" s="543" t="str">
        <f t="shared" si="2"/>
        <v>札幌市北区新川西三条</v>
      </c>
      <c r="BD167" s="543" t="s">
        <v>409</v>
      </c>
      <c r="BE167" s="544" t="s">
        <v>534</v>
      </c>
      <c r="BG167" s="1230"/>
      <c r="BH167" s="544">
        <v>168</v>
      </c>
      <c r="BI167" s="543" t="s">
        <v>1380</v>
      </c>
      <c r="BJ167" s="543" t="s">
        <v>1916</v>
      </c>
      <c r="BK167" s="543" t="s">
        <v>1917</v>
      </c>
      <c r="BL167" s="543" t="s">
        <v>1614</v>
      </c>
      <c r="BM167" s="549">
        <v>620043</v>
      </c>
      <c r="BN167" s="562" t="s">
        <v>2358</v>
      </c>
      <c r="BO167" s="562" t="s">
        <v>2359</v>
      </c>
      <c r="BQ167" s="525"/>
      <c r="BR167" s="524"/>
      <c r="BU167" s="524"/>
      <c r="BV167" s="524"/>
    </row>
    <row r="168" spans="54:74" ht="40.5">
      <c r="BB168" s="545">
        <v>10934</v>
      </c>
      <c r="BC168" s="543" t="str">
        <f t="shared" si="2"/>
        <v>札幌市北区新川西四条</v>
      </c>
      <c r="BD168" s="543" t="s">
        <v>409</v>
      </c>
      <c r="BE168" s="544" t="s">
        <v>535</v>
      </c>
      <c r="BG168" s="1230"/>
      <c r="BH168" s="544">
        <v>169</v>
      </c>
      <c r="BI168" s="543" t="s">
        <v>1377</v>
      </c>
      <c r="BJ168" s="543" t="s">
        <v>1918</v>
      </c>
      <c r="BK168" s="543" t="s">
        <v>1919</v>
      </c>
      <c r="BL168" s="543" t="s">
        <v>1615</v>
      </c>
      <c r="BM168" s="549">
        <v>620931</v>
      </c>
      <c r="BN168" s="562" t="s">
        <v>2350</v>
      </c>
      <c r="BO168" s="562" t="s">
        <v>2351</v>
      </c>
      <c r="BQ168" s="525"/>
      <c r="BR168" s="524"/>
      <c r="BU168" s="524"/>
      <c r="BV168" s="524"/>
    </row>
    <row r="169" spans="54:74" ht="40.5">
      <c r="BB169" s="545">
        <v>10935</v>
      </c>
      <c r="BC169" s="543" t="str">
        <f t="shared" si="2"/>
        <v>札幌市北区新川西五条</v>
      </c>
      <c r="BD169" s="543" t="s">
        <v>409</v>
      </c>
      <c r="BE169" s="544" t="s">
        <v>536</v>
      </c>
      <c r="BG169" s="1230"/>
      <c r="BH169" s="544">
        <v>170</v>
      </c>
      <c r="BI169" s="543" t="s">
        <v>1375</v>
      </c>
      <c r="BJ169" s="543" t="s">
        <v>1920</v>
      </c>
      <c r="BK169" s="543" t="s">
        <v>1921</v>
      </c>
      <c r="BL169" s="543" t="s">
        <v>1616</v>
      </c>
      <c r="BM169" s="549">
        <v>620932</v>
      </c>
      <c r="BN169" s="562" t="s">
        <v>2334</v>
      </c>
      <c r="BO169" s="562" t="s">
        <v>2335</v>
      </c>
      <c r="BQ169" s="525"/>
      <c r="BR169" s="524"/>
      <c r="BU169" s="524"/>
      <c r="BV169" s="524"/>
    </row>
    <row r="170" spans="54:74" ht="40.5">
      <c r="BB170" s="545">
        <v>10901</v>
      </c>
      <c r="BC170" s="543" t="str">
        <f t="shared" si="2"/>
        <v>札幌市北区新琴似一条</v>
      </c>
      <c r="BD170" s="543" t="s">
        <v>409</v>
      </c>
      <c r="BE170" s="544" t="s">
        <v>537</v>
      </c>
      <c r="BG170" s="1230"/>
      <c r="BH170" s="544">
        <v>171</v>
      </c>
      <c r="BI170" s="558" t="s">
        <v>1369</v>
      </c>
      <c r="BJ170" s="543" t="s">
        <v>1922</v>
      </c>
      <c r="BK170" s="543" t="s">
        <v>1923</v>
      </c>
      <c r="BL170" s="543" t="s">
        <v>1617</v>
      </c>
      <c r="BM170" s="549">
        <v>620934</v>
      </c>
      <c r="BN170" s="562" t="s">
        <v>2348</v>
      </c>
      <c r="BO170" s="562" t="s">
        <v>2349</v>
      </c>
      <c r="BQ170" s="525"/>
      <c r="BR170" s="524"/>
      <c r="BU170" s="524"/>
      <c r="BV170" s="524"/>
    </row>
    <row r="171" spans="54:74" ht="40.5">
      <c r="BB171" s="545">
        <v>10902</v>
      </c>
      <c r="BC171" s="543" t="str">
        <f t="shared" si="2"/>
        <v>札幌市北区新琴似二条</v>
      </c>
      <c r="BD171" s="543" t="s">
        <v>409</v>
      </c>
      <c r="BE171" s="544" t="s">
        <v>538</v>
      </c>
      <c r="BG171" s="1230"/>
      <c r="BH171" s="544">
        <v>172</v>
      </c>
      <c r="BI171" s="543" t="s">
        <v>1376</v>
      </c>
      <c r="BJ171" s="543" t="s">
        <v>1924</v>
      </c>
      <c r="BK171" s="543" t="s">
        <v>1925</v>
      </c>
      <c r="BL171" s="543" t="s">
        <v>1618</v>
      </c>
      <c r="BM171" s="549">
        <v>620935</v>
      </c>
      <c r="BN171" s="562" t="s">
        <v>2362</v>
      </c>
      <c r="BO171" s="562" t="s">
        <v>2363</v>
      </c>
      <c r="BQ171" s="525"/>
      <c r="BR171" s="524"/>
      <c r="BU171" s="524"/>
      <c r="BV171" s="524"/>
    </row>
    <row r="172" spans="54:74" ht="40.5">
      <c r="BB172" s="545">
        <v>10903</v>
      </c>
      <c r="BC172" s="543" t="str">
        <f t="shared" si="2"/>
        <v>札幌市北区新琴似三条</v>
      </c>
      <c r="BD172" s="543" t="s">
        <v>409</v>
      </c>
      <c r="BE172" s="544" t="s">
        <v>539</v>
      </c>
      <c r="BG172" s="1230"/>
      <c r="BH172" s="544">
        <v>173</v>
      </c>
      <c r="BI172" s="543" t="s">
        <v>1403</v>
      </c>
      <c r="BJ172" s="543" t="s">
        <v>1924</v>
      </c>
      <c r="BK172" s="543" t="s">
        <v>1926</v>
      </c>
      <c r="BL172" s="543" t="s">
        <v>1619</v>
      </c>
      <c r="BM172" s="549">
        <v>620935</v>
      </c>
      <c r="BN172" s="562" t="s">
        <v>2336</v>
      </c>
      <c r="BO172" s="562" t="s">
        <v>2337</v>
      </c>
      <c r="BQ172" s="525"/>
      <c r="BR172" s="524"/>
      <c r="BU172" s="524"/>
      <c r="BV172" s="524"/>
    </row>
    <row r="173" spans="54:74" ht="40.5">
      <c r="BB173" s="545">
        <v>10904</v>
      </c>
      <c r="BC173" s="543" t="str">
        <f t="shared" si="2"/>
        <v>札幌市北区新琴似四条</v>
      </c>
      <c r="BD173" s="543" t="s">
        <v>409</v>
      </c>
      <c r="BE173" s="544" t="s">
        <v>540</v>
      </c>
      <c r="BG173" s="1230"/>
      <c r="BH173" s="544">
        <v>174</v>
      </c>
      <c r="BI173" s="558" t="s">
        <v>1336</v>
      </c>
      <c r="BJ173" s="543" t="s">
        <v>1927</v>
      </c>
      <c r="BK173" s="543" t="s">
        <v>1928</v>
      </c>
      <c r="BL173" s="543" t="s">
        <v>1620</v>
      </c>
      <c r="BM173" s="549">
        <v>620901</v>
      </c>
      <c r="BN173" s="562" t="s">
        <v>2328</v>
      </c>
      <c r="BO173" s="562" t="s">
        <v>2329</v>
      </c>
      <c r="BQ173" s="525"/>
      <c r="BR173" s="524"/>
      <c r="BU173" s="524"/>
      <c r="BV173" s="524"/>
    </row>
    <row r="174" spans="54:74" ht="41.25" thickBot="1">
      <c r="BB174" s="545">
        <v>10905</v>
      </c>
      <c r="BC174" s="543" t="str">
        <f t="shared" si="2"/>
        <v>札幌市北区新琴似五条</v>
      </c>
      <c r="BD174" s="543" t="s">
        <v>409</v>
      </c>
      <c r="BE174" s="544" t="s">
        <v>541</v>
      </c>
      <c r="BG174" s="1230"/>
      <c r="BH174" s="544">
        <v>175</v>
      </c>
      <c r="BI174" s="558" t="s">
        <v>1341</v>
      </c>
      <c r="BJ174" s="543" t="s">
        <v>1929</v>
      </c>
      <c r="BK174" s="543" t="s">
        <v>1806</v>
      </c>
      <c r="BL174" s="543" t="s">
        <v>1621</v>
      </c>
      <c r="BM174" s="549">
        <v>620905</v>
      </c>
      <c r="BN174" s="562" t="s">
        <v>2368</v>
      </c>
      <c r="BO174" s="562" t="s">
        <v>2327</v>
      </c>
      <c r="BQ174" s="525"/>
      <c r="BR174" s="524"/>
      <c r="BU174" s="524"/>
      <c r="BV174" s="524"/>
    </row>
    <row r="175" spans="54:74" ht="41.25" thickBot="1">
      <c r="BB175" s="545">
        <v>10906</v>
      </c>
      <c r="BC175" s="543" t="str">
        <f t="shared" si="2"/>
        <v>札幌市北区新琴似六条</v>
      </c>
      <c r="BD175" s="543" t="s">
        <v>409</v>
      </c>
      <c r="BE175" s="544" t="s">
        <v>542</v>
      </c>
      <c r="BG175" s="1230" t="s">
        <v>1633</v>
      </c>
      <c r="BH175" s="544">
        <v>176</v>
      </c>
      <c r="BI175" s="543" t="s">
        <v>1330</v>
      </c>
      <c r="BJ175" s="554" t="s">
        <v>1891</v>
      </c>
      <c r="BK175" s="554" t="s">
        <v>1892</v>
      </c>
      <c r="BL175" s="543" t="s">
        <v>1634</v>
      </c>
      <c r="BM175" s="566">
        <v>28072</v>
      </c>
      <c r="BN175" s="562" t="s">
        <v>2580</v>
      </c>
      <c r="BO175" s="562" t="s">
        <v>2581</v>
      </c>
      <c r="BQ175" s="526" t="s">
        <v>2465</v>
      </c>
      <c r="BR175" s="527" t="s">
        <v>2466</v>
      </c>
      <c r="BU175" s="527" t="s">
        <v>2469</v>
      </c>
      <c r="BV175" s="527" t="s">
        <v>2470</v>
      </c>
    </row>
    <row r="176" spans="54:74" ht="41.25" thickBot="1">
      <c r="BB176" s="545">
        <v>10907</v>
      </c>
      <c r="BC176" s="543" t="str">
        <f t="shared" si="2"/>
        <v>札幌市北区新琴似七条</v>
      </c>
      <c r="BD176" s="543" t="s">
        <v>409</v>
      </c>
      <c r="BE176" s="544" t="s">
        <v>543</v>
      </c>
      <c r="BG176" s="1230"/>
      <c r="BH176" s="544">
        <v>177</v>
      </c>
      <c r="BI176" s="543" t="s">
        <v>1275</v>
      </c>
      <c r="BJ176" s="543" t="s">
        <v>1889</v>
      </c>
      <c r="BK176" s="543" t="s">
        <v>1890</v>
      </c>
      <c r="BL176" s="543" t="s">
        <v>1635</v>
      </c>
      <c r="BM176" s="566">
        <v>28072</v>
      </c>
      <c r="BN176" s="562" t="s">
        <v>2610</v>
      </c>
      <c r="BO176" s="562" t="s">
        <v>2611</v>
      </c>
      <c r="BQ176" s="526" t="s">
        <v>2471</v>
      </c>
      <c r="BR176" s="527" t="s">
        <v>2472</v>
      </c>
      <c r="BU176" s="527" t="s">
        <v>2475</v>
      </c>
      <c r="BV176" s="527" t="s">
        <v>2476</v>
      </c>
    </row>
    <row r="177" spans="54:74" ht="41.25" thickBot="1">
      <c r="BB177" s="545">
        <v>10908</v>
      </c>
      <c r="BC177" s="543" t="str">
        <f t="shared" si="2"/>
        <v>札幌市北区新琴似八条</v>
      </c>
      <c r="BD177" s="543" t="s">
        <v>409</v>
      </c>
      <c r="BE177" s="544" t="s">
        <v>544</v>
      </c>
      <c r="BG177" s="1230"/>
      <c r="BH177" s="544">
        <v>178</v>
      </c>
      <c r="BI177" s="543" t="s">
        <v>1303</v>
      </c>
      <c r="BJ177" s="543" t="s">
        <v>1887</v>
      </c>
      <c r="BK177" s="543" t="s">
        <v>1888</v>
      </c>
      <c r="BL177" s="543" t="s">
        <v>1636</v>
      </c>
      <c r="BM177" s="566">
        <v>28073</v>
      </c>
      <c r="BN177" s="562" t="s">
        <v>2514</v>
      </c>
      <c r="BO177" s="562" t="s">
        <v>2515</v>
      </c>
      <c r="BQ177" s="526" t="s">
        <v>2477</v>
      </c>
      <c r="BR177" s="527" t="s">
        <v>2478</v>
      </c>
      <c r="BU177" s="527" t="s">
        <v>2481</v>
      </c>
      <c r="BV177" s="527" t="s">
        <v>2482</v>
      </c>
    </row>
    <row r="178" spans="54:74" ht="41.25" thickBot="1">
      <c r="BB178" s="545">
        <v>10909</v>
      </c>
      <c r="BC178" s="543" t="str">
        <f t="shared" si="2"/>
        <v>札幌市北区新琴似九条</v>
      </c>
      <c r="BD178" s="543" t="s">
        <v>409</v>
      </c>
      <c r="BE178" s="544" t="s">
        <v>545</v>
      </c>
      <c r="BG178" s="1230"/>
      <c r="BH178" s="544">
        <v>179</v>
      </c>
      <c r="BI178" s="543" t="s">
        <v>1622</v>
      </c>
      <c r="BJ178" s="568" t="s">
        <v>1885</v>
      </c>
      <c r="BK178" s="568" t="s">
        <v>1886</v>
      </c>
      <c r="BL178" s="543" t="s">
        <v>1637</v>
      </c>
      <c r="BM178" s="566">
        <v>28073</v>
      </c>
      <c r="BN178" s="562" t="s">
        <v>2622</v>
      </c>
      <c r="BO178" s="562" t="s">
        <v>2623</v>
      </c>
      <c r="BQ178" s="526" t="s">
        <v>2483</v>
      </c>
      <c r="BR178" s="527" t="s">
        <v>2484</v>
      </c>
      <c r="BU178" s="527" t="s">
        <v>2487</v>
      </c>
      <c r="BV178" s="527" t="s">
        <v>2488</v>
      </c>
    </row>
    <row r="179" spans="54:74" ht="14.25" thickBot="1">
      <c r="BB179" s="545">
        <v>10910</v>
      </c>
      <c r="BC179" s="543" t="str">
        <f t="shared" si="2"/>
        <v>札幌市北区新琴似十条</v>
      </c>
      <c r="BD179" s="543" t="s">
        <v>409</v>
      </c>
      <c r="BE179" s="544" t="s">
        <v>546</v>
      </c>
      <c r="BG179" s="1230"/>
      <c r="BH179" s="544">
        <v>180</v>
      </c>
      <c r="BI179" s="543" t="s">
        <v>1425</v>
      </c>
      <c r="BJ179" s="543" t="s">
        <v>1883</v>
      </c>
      <c r="BK179" s="543" t="s">
        <v>1884</v>
      </c>
      <c r="BL179" s="543" t="s">
        <v>1638</v>
      </c>
      <c r="BM179" s="566">
        <v>28075</v>
      </c>
      <c r="BN179" s="550" t="s">
        <v>2643</v>
      </c>
      <c r="BO179" s="543" t="s">
        <v>2644</v>
      </c>
      <c r="BQ179" s="526" t="s">
        <v>2489</v>
      </c>
      <c r="BR179" s="527" t="s">
        <v>2490</v>
      </c>
      <c r="BU179" s="527" t="s">
        <v>2493</v>
      </c>
      <c r="BV179" s="527" t="s">
        <v>2494</v>
      </c>
    </row>
    <row r="180" spans="54:74" ht="41.25" thickBot="1">
      <c r="BB180" s="545">
        <v>10911</v>
      </c>
      <c r="BC180" s="543" t="str">
        <f t="shared" si="2"/>
        <v>札幌市北区新琴似十一条</v>
      </c>
      <c r="BD180" s="543" t="s">
        <v>409</v>
      </c>
      <c r="BE180" s="544" t="s">
        <v>547</v>
      </c>
      <c r="BG180" s="1230"/>
      <c r="BH180" s="544">
        <v>181</v>
      </c>
      <c r="BI180" s="543" t="s">
        <v>1328</v>
      </c>
      <c r="BJ180" s="543" t="s">
        <v>1881</v>
      </c>
      <c r="BK180" s="543" t="s">
        <v>1882</v>
      </c>
      <c r="BL180" s="543" t="s">
        <v>1639</v>
      </c>
      <c r="BM180" s="566">
        <v>28021</v>
      </c>
      <c r="BN180" s="562" t="s">
        <v>2556</v>
      </c>
      <c r="BO180" s="562" t="s">
        <v>2557</v>
      </c>
      <c r="BQ180" s="526" t="s">
        <v>523</v>
      </c>
      <c r="BR180" s="527" t="s">
        <v>2495</v>
      </c>
      <c r="BU180" s="527" t="s">
        <v>2498</v>
      </c>
      <c r="BV180" s="527" t="s">
        <v>2499</v>
      </c>
    </row>
    <row r="181" spans="54:74" ht="41.25" thickBot="1">
      <c r="BB181" s="545">
        <v>10912</v>
      </c>
      <c r="BC181" s="543" t="str">
        <f t="shared" si="2"/>
        <v>札幌市北区新琴似十二条</v>
      </c>
      <c r="BD181" s="543" t="s">
        <v>409</v>
      </c>
      <c r="BE181" s="544" t="s">
        <v>548</v>
      </c>
      <c r="BG181" s="1230"/>
      <c r="BH181" s="544">
        <v>182</v>
      </c>
      <c r="BI181" s="543" t="s">
        <v>1315</v>
      </c>
      <c r="BJ181" s="543" t="s">
        <v>1879</v>
      </c>
      <c r="BK181" s="543" t="s">
        <v>1880</v>
      </c>
      <c r="BL181" s="543" t="s">
        <v>1640</v>
      </c>
      <c r="BM181" s="566">
        <v>28024</v>
      </c>
      <c r="BN181" s="562" t="s">
        <v>2502</v>
      </c>
      <c r="BO181" s="562" t="s">
        <v>2503</v>
      </c>
      <c r="BQ181" s="526" t="s">
        <v>2500</v>
      </c>
      <c r="BR181" s="527" t="s">
        <v>2501</v>
      </c>
      <c r="BU181" s="527" t="s">
        <v>2504</v>
      </c>
      <c r="BV181" s="527" t="s">
        <v>2505</v>
      </c>
    </row>
    <row r="182" spans="54:74" ht="41.25" thickBot="1">
      <c r="BB182" s="545">
        <v>10915</v>
      </c>
      <c r="BC182" s="543" t="str">
        <f t="shared" si="2"/>
        <v>札幌市北区新琴似町</v>
      </c>
      <c r="BD182" s="543" t="s">
        <v>409</v>
      </c>
      <c r="BE182" s="544" t="s">
        <v>549</v>
      </c>
      <c r="BG182" s="1230"/>
      <c r="BH182" s="544">
        <v>183</v>
      </c>
      <c r="BI182" s="543" t="s">
        <v>1623</v>
      </c>
      <c r="BJ182" s="543" t="s">
        <v>1877</v>
      </c>
      <c r="BK182" s="543" t="s">
        <v>1878</v>
      </c>
      <c r="BL182" s="543" t="s">
        <v>1641</v>
      </c>
      <c r="BM182" s="566">
        <v>28025</v>
      </c>
      <c r="BN182" s="562" t="s">
        <v>2568</v>
      </c>
      <c r="BO182" s="562" t="s">
        <v>2569</v>
      </c>
      <c r="BQ182" s="526" t="s">
        <v>2506</v>
      </c>
      <c r="BR182" s="527" t="s">
        <v>2507</v>
      </c>
      <c r="BU182" s="527" t="s">
        <v>2510</v>
      </c>
      <c r="BV182" s="527" t="s">
        <v>2511</v>
      </c>
    </row>
    <row r="183" spans="54:74" ht="41.25" thickBot="1">
      <c r="BB183" s="545">
        <v>28001</v>
      </c>
      <c r="BC183" s="543" t="str">
        <f t="shared" si="2"/>
        <v>札幌市北区太平一条</v>
      </c>
      <c r="BD183" s="543" t="s">
        <v>409</v>
      </c>
      <c r="BE183" s="544" t="s">
        <v>550</v>
      </c>
      <c r="BG183" s="1230"/>
      <c r="BH183" s="544">
        <v>184</v>
      </c>
      <c r="BI183" s="543" t="s">
        <v>1624</v>
      </c>
      <c r="BJ183" s="543" t="s">
        <v>1875</v>
      </c>
      <c r="BK183" s="543" t="s">
        <v>1876</v>
      </c>
      <c r="BL183" s="543" t="s">
        <v>1642</v>
      </c>
      <c r="BM183" s="566">
        <v>10910</v>
      </c>
      <c r="BN183" s="562" t="s">
        <v>2598</v>
      </c>
      <c r="BO183" s="562" t="s">
        <v>2599</v>
      </c>
      <c r="BQ183" s="526" t="s">
        <v>2512</v>
      </c>
      <c r="BR183" s="527" t="s">
        <v>2513</v>
      </c>
      <c r="BU183" s="527" t="s">
        <v>2516</v>
      </c>
      <c r="BV183" s="527" t="s">
        <v>2517</v>
      </c>
    </row>
    <row r="184" spans="54:74" ht="41.25" thickBot="1">
      <c r="BB184" s="545">
        <v>28002</v>
      </c>
      <c r="BC184" s="543" t="str">
        <f t="shared" si="2"/>
        <v>札幌市北区太平二条</v>
      </c>
      <c r="BD184" s="543" t="s">
        <v>409</v>
      </c>
      <c r="BE184" s="544" t="s">
        <v>551</v>
      </c>
      <c r="BG184" s="1230"/>
      <c r="BH184" s="544">
        <v>185</v>
      </c>
      <c r="BI184" s="543" t="s">
        <v>1320</v>
      </c>
      <c r="BJ184" s="543" t="s">
        <v>1873</v>
      </c>
      <c r="BK184" s="543" t="s">
        <v>1874</v>
      </c>
      <c r="BL184" s="543" t="s">
        <v>1643</v>
      </c>
      <c r="BM184" s="566">
        <v>10911</v>
      </c>
      <c r="BN184" s="562" t="s">
        <v>2550</v>
      </c>
      <c r="BO184" s="562" t="s">
        <v>2551</v>
      </c>
      <c r="BQ184" s="526" t="s">
        <v>2518</v>
      </c>
      <c r="BR184" s="527" t="s">
        <v>2519</v>
      </c>
      <c r="BU184" s="527" t="s">
        <v>2522</v>
      </c>
      <c r="BV184" s="527" t="s">
        <v>2523</v>
      </c>
    </row>
    <row r="185" spans="54:74" ht="41.25" thickBot="1">
      <c r="BB185" s="545">
        <v>28003</v>
      </c>
      <c r="BC185" s="543" t="str">
        <f t="shared" si="2"/>
        <v>札幌市北区太平三条</v>
      </c>
      <c r="BD185" s="543" t="s">
        <v>409</v>
      </c>
      <c r="BE185" s="544" t="s">
        <v>552</v>
      </c>
      <c r="BG185" s="1230"/>
      <c r="BH185" s="544">
        <v>186</v>
      </c>
      <c r="BI185" s="543" t="s">
        <v>1319</v>
      </c>
      <c r="BJ185" s="543" t="s">
        <v>1871</v>
      </c>
      <c r="BK185" s="543" t="s">
        <v>1872</v>
      </c>
      <c r="BL185" s="543" t="s">
        <v>1644</v>
      </c>
      <c r="BM185" s="566">
        <v>10911</v>
      </c>
      <c r="BN185" s="562" t="s">
        <v>2538</v>
      </c>
      <c r="BO185" s="562" t="s">
        <v>2539</v>
      </c>
      <c r="BQ185" s="526" t="s">
        <v>2524</v>
      </c>
      <c r="BR185" s="527" t="s">
        <v>2525</v>
      </c>
      <c r="BU185" s="527" t="s">
        <v>2528</v>
      </c>
      <c r="BV185" s="527" t="s">
        <v>2529</v>
      </c>
    </row>
    <row r="186" spans="54:74" ht="41.25" thickBot="1">
      <c r="BB186" s="545">
        <v>28004</v>
      </c>
      <c r="BC186" s="543" t="str">
        <f t="shared" si="2"/>
        <v>札幌市北区太平四条</v>
      </c>
      <c r="BD186" s="543" t="s">
        <v>409</v>
      </c>
      <c r="BE186" s="544" t="s">
        <v>553</v>
      </c>
      <c r="BG186" s="1230"/>
      <c r="BH186" s="544">
        <v>187</v>
      </c>
      <c r="BI186" s="543" t="s">
        <v>1625</v>
      </c>
      <c r="BJ186" s="543" t="s">
        <v>1868</v>
      </c>
      <c r="BK186" s="543" t="s">
        <v>1870</v>
      </c>
      <c r="BL186" s="543" t="s">
        <v>1645</v>
      </c>
      <c r="BM186" s="566">
        <v>10901</v>
      </c>
      <c r="BN186" s="562" t="s">
        <v>2574</v>
      </c>
      <c r="BO186" s="562" t="s">
        <v>2575</v>
      </c>
      <c r="BQ186" s="526" t="s">
        <v>2530</v>
      </c>
      <c r="BR186" s="527" t="s">
        <v>2531</v>
      </c>
      <c r="BU186" s="527" t="s">
        <v>2534</v>
      </c>
      <c r="BV186" s="527" t="s">
        <v>2535</v>
      </c>
    </row>
    <row r="187" spans="54:74" ht="41.25" thickBot="1">
      <c r="BB187" s="545">
        <v>28005</v>
      </c>
      <c r="BC187" s="543" t="str">
        <f t="shared" si="2"/>
        <v>札幌市北区太平五条</v>
      </c>
      <c r="BD187" s="543" t="s">
        <v>409</v>
      </c>
      <c r="BE187" s="544" t="s">
        <v>554</v>
      </c>
      <c r="BG187" s="1230"/>
      <c r="BH187" s="544">
        <v>188</v>
      </c>
      <c r="BI187" s="543" t="s">
        <v>1626</v>
      </c>
      <c r="BJ187" s="543" t="s">
        <v>1868</v>
      </c>
      <c r="BK187" s="543" t="s">
        <v>1869</v>
      </c>
      <c r="BL187" s="543" t="s">
        <v>1646</v>
      </c>
      <c r="BM187" s="566">
        <v>10901</v>
      </c>
      <c r="BN187" s="562" t="s">
        <v>2562</v>
      </c>
      <c r="BO187" s="562" t="s">
        <v>2563</v>
      </c>
      <c r="BQ187" s="526" t="s">
        <v>2536</v>
      </c>
      <c r="BR187" s="527" t="s">
        <v>2537</v>
      </c>
      <c r="BU187" s="527" t="s">
        <v>2540</v>
      </c>
      <c r="BV187" s="527" t="s">
        <v>2541</v>
      </c>
    </row>
    <row r="188" spans="54:74" ht="41.25" thickBot="1">
      <c r="BB188" s="545">
        <v>28006</v>
      </c>
      <c r="BC188" s="543" t="str">
        <f t="shared" si="2"/>
        <v>札幌市北区太平六条</v>
      </c>
      <c r="BD188" s="543" t="s">
        <v>409</v>
      </c>
      <c r="BE188" s="544" t="s">
        <v>555</v>
      </c>
      <c r="BG188" s="1230"/>
      <c r="BH188" s="544">
        <v>189</v>
      </c>
      <c r="BI188" s="543" t="s">
        <v>1627</v>
      </c>
      <c r="BJ188" s="543" t="s">
        <v>1866</v>
      </c>
      <c r="BK188" s="543" t="s">
        <v>1867</v>
      </c>
      <c r="BL188" s="543" t="s">
        <v>1647</v>
      </c>
      <c r="BM188" s="566">
        <v>10905</v>
      </c>
      <c r="BN188" s="562" t="s">
        <v>2526</v>
      </c>
      <c r="BO188" s="562" t="s">
        <v>2527</v>
      </c>
      <c r="BQ188" s="526" t="s">
        <v>2542</v>
      </c>
      <c r="BR188" s="527" t="s">
        <v>2543</v>
      </c>
      <c r="BU188" s="527" t="s">
        <v>2546</v>
      </c>
      <c r="BV188" s="527" t="s">
        <v>2547</v>
      </c>
    </row>
    <row r="189" spans="54:74" ht="41.25" thickBot="1">
      <c r="BB189" s="545">
        <v>28007</v>
      </c>
      <c r="BC189" s="543" t="str">
        <f t="shared" si="2"/>
        <v>札幌市北区太平七条</v>
      </c>
      <c r="BD189" s="543" t="s">
        <v>409</v>
      </c>
      <c r="BE189" s="544" t="s">
        <v>556</v>
      </c>
      <c r="BG189" s="1230"/>
      <c r="BH189" s="544">
        <v>190</v>
      </c>
      <c r="BI189" s="543" t="s">
        <v>1628</v>
      </c>
      <c r="BJ189" s="543" t="s">
        <v>1864</v>
      </c>
      <c r="BK189" s="543" t="s">
        <v>1865</v>
      </c>
      <c r="BL189" s="543" t="s">
        <v>1648</v>
      </c>
      <c r="BM189" s="566">
        <v>10907</v>
      </c>
      <c r="BN189" s="562" t="s">
        <v>2485</v>
      </c>
      <c r="BO189" s="562" t="s">
        <v>2486</v>
      </c>
      <c r="BQ189" s="526" t="s">
        <v>2548</v>
      </c>
      <c r="BR189" s="527" t="s">
        <v>2549</v>
      </c>
      <c r="BU189" s="527" t="s">
        <v>2552</v>
      </c>
      <c r="BV189" s="527" t="s">
        <v>2553</v>
      </c>
    </row>
    <row r="190" spans="54:74" ht="41.25" thickBot="1">
      <c r="BB190" s="545">
        <v>28008</v>
      </c>
      <c r="BC190" s="543" t="str">
        <f t="shared" si="2"/>
        <v>札幌市北区太平八条</v>
      </c>
      <c r="BD190" s="543" t="s">
        <v>409</v>
      </c>
      <c r="BE190" s="544" t="s">
        <v>557</v>
      </c>
      <c r="BG190" s="1230"/>
      <c r="BH190" s="544">
        <v>191</v>
      </c>
      <c r="BI190" s="543" t="s">
        <v>1629</v>
      </c>
      <c r="BJ190" s="543" t="s">
        <v>1862</v>
      </c>
      <c r="BK190" s="543" t="s">
        <v>1863</v>
      </c>
      <c r="BL190" s="543" t="s">
        <v>1649</v>
      </c>
      <c r="BM190" s="566">
        <v>10923</v>
      </c>
      <c r="BN190" s="562" t="s">
        <v>2544</v>
      </c>
      <c r="BO190" s="562" t="s">
        <v>2545</v>
      </c>
      <c r="BQ190" s="526" t="s">
        <v>2554</v>
      </c>
      <c r="BR190" s="527" t="s">
        <v>2555</v>
      </c>
      <c r="BU190" s="527" t="s">
        <v>2558</v>
      </c>
      <c r="BV190" s="527" t="s">
        <v>2559</v>
      </c>
    </row>
    <row r="191" spans="54:74" ht="41.25" thickBot="1">
      <c r="BB191" s="545">
        <v>28009</v>
      </c>
      <c r="BC191" s="543" t="str">
        <f t="shared" ref="BC191:BC254" si="3">BD191&amp;BE191</f>
        <v>札幌市北区太平九条</v>
      </c>
      <c r="BD191" s="543" t="s">
        <v>409</v>
      </c>
      <c r="BE191" s="544" t="s">
        <v>558</v>
      </c>
      <c r="BG191" s="1230"/>
      <c r="BH191" s="544">
        <v>192</v>
      </c>
      <c r="BI191" s="558" t="s">
        <v>1630</v>
      </c>
      <c r="BJ191" s="543" t="s">
        <v>1860</v>
      </c>
      <c r="BK191" s="543" t="s">
        <v>1861</v>
      </c>
      <c r="BL191" s="543" t="s">
        <v>1650</v>
      </c>
      <c r="BM191" s="566">
        <v>10925</v>
      </c>
      <c r="BN191" s="562" t="s">
        <v>2496</v>
      </c>
      <c r="BO191" s="562" t="s">
        <v>2497</v>
      </c>
      <c r="BQ191" s="526" t="s">
        <v>2560</v>
      </c>
      <c r="BR191" s="527" t="s">
        <v>2561</v>
      </c>
      <c r="BU191" s="527" t="s">
        <v>2564</v>
      </c>
      <c r="BV191" s="527" t="s">
        <v>2565</v>
      </c>
    </row>
    <row r="192" spans="54:74" ht="41.25" thickBot="1">
      <c r="BB192" s="545">
        <v>28010</v>
      </c>
      <c r="BC192" s="543" t="str">
        <f t="shared" si="3"/>
        <v>札幌市北区太平十条</v>
      </c>
      <c r="BD192" s="543" t="s">
        <v>409</v>
      </c>
      <c r="BE192" s="544" t="s">
        <v>559</v>
      </c>
      <c r="BG192" s="1230"/>
      <c r="BH192" s="544">
        <v>193</v>
      </c>
      <c r="BI192" s="543" t="s">
        <v>1329</v>
      </c>
      <c r="BJ192" s="543" t="s">
        <v>1858</v>
      </c>
      <c r="BK192" s="543" t="s">
        <v>1859</v>
      </c>
      <c r="BL192" s="543" t="s">
        <v>1651</v>
      </c>
      <c r="BM192" s="566">
        <v>28001</v>
      </c>
      <c r="BN192" s="562" t="s">
        <v>2604</v>
      </c>
      <c r="BO192" s="562" t="s">
        <v>2605</v>
      </c>
      <c r="BQ192" s="526" t="s">
        <v>2566</v>
      </c>
      <c r="BR192" s="527" t="s">
        <v>2567</v>
      </c>
      <c r="BU192" s="527" t="s">
        <v>2570</v>
      </c>
      <c r="BV192" s="527" t="s">
        <v>2571</v>
      </c>
    </row>
    <row r="193" spans="54:74" ht="41.25" thickBot="1">
      <c r="BB193" s="545">
        <v>28011</v>
      </c>
      <c r="BC193" s="543" t="str">
        <f t="shared" si="3"/>
        <v>札幌市北区太平十一条</v>
      </c>
      <c r="BD193" s="543" t="s">
        <v>409</v>
      </c>
      <c r="BE193" s="544" t="s">
        <v>560</v>
      </c>
      <c r="BG193" s="1230"/>
      <c r="BH193" s="544">
        <v>194</v>
      </c>
      <c r="BI193" s="543" t="s">
        <v>1364</v>
      </c>
      <c r="BJ193" s="543" t="s">
        <v>1856</v>
      </c>
      <c r="BK193" s="543" t="s">
        <v>1857</v>
      </c>
      <c r="BL193" s="543" t="s">
        <v>1652</v>
      </c>
      <c r="BM193" s="566">
        <v>28041</v>
      </c>
      <c r="BN193" s="562" t="s">
        <v>2508</v>
      </c>
      <c r="BO193" s="562" t="s">
        <v>2509</v>
      </c>
      <c r="BQ193" s="526" t="s">
        <v>2572</v>
      </c>
      <c r="BR193" s="527" t="s">
        <v>2573</v>
      </c>
      <c r="BU193" s="527" t="s">
        <v>2576</v>
      </c>
      <c r="BV193" s="527" t="s">
        <v>2577</v>
      </c>
    </row>
    <row r="194" spans="54:74" ht="41.25" thickBot="1">
      <c r="BB194" s="545">
        <v>28012</v>
      </c>
      <c r="BC194" s="543" t="str">
        <f t="shared" si="3"/>
        <v>札幌市北区太平十二条</v>
      </c>
      <c r="BD194" s="543" t="s">
        <v>409</v>
      </c>
      <c r="BE194" s="544" t="s">
        <v>561</v>
      </c>
      <c r="BG194" s="1230"/>
      <c r="BH194" s="544">
        <v>195</v>
      </c>
      <c r="BI194" s="558" t="s">
        <v>1631</v>
      </c>
      <c r="BJ194" s="543" t="s">
        <v>1854</v>
      </c>
      <c r="BK194" s="543" t="s">
        <v>1855</v>
      </c>
      <c r="BL194" s="543" t="s">
        <v>1653</v>
      </c>
      <c r="BM194" s="566">
        <v>20855</v>
      </c>
      <c r="BN194" s="562" t="s">
        <v>2586</v>
      </c>
      <c r="BO194" s="562" t="s">
        <v>2587</v>
      </c>
      <c r="BQ194" s="526" t="s">
        <v>2578</v>
      </c>
      <c r="BR194" s="527" t="s">
        <v>2579</v>
      </c>
      <c r="BU194" s="527" t="s">
        <v>2582</v>
      </c>
      <c r="BV194" s="527" t="s">
        <v>2583</v>
      </c>
    </row>
    <row r="195" spans="54:74" ht="41.25" thickBot="1">
      <c r="BB195" s="545">
        <v>28061</v>
      </c>
      <c r="BC195" s="543" t="str">
        <f t="shared" si="3"/>
        <v>札幌市北区拓北一条</v>
      </c>
      <c r="BD195" s="543" t="s">
        <v>409</v>
      </c>
      <c r="BE195" s="544" t="s">
        <v>562</v>
      </c>
      <c r="BG195" s="1230"/>
      <c r="BH195" s="544">
        <v>196</v>
      </c>
      <c r="BI195" s="558" t="s">
        <v>1344</v>
      </c>
      <c r="BJ195" s="543" t="s">
        <v>1852</v>
      </c>
      <c r="BK195" s="543" t="s">
        <v>1853</v>
      </c>
      <c r="BL195" s="543" t="s">
        <v>1654</v>
      </c>
      <c r="BM195" s="566">
        <v>20856</v>
      </c>
      <c r="BN195" s="562" t="s">
        <v>2616</v>
      </c>
      <c r="BO195" s="562" t="s">
        <v>2617</v>
      </c>
      <c r="BQ195" s="526" t="s">
        <v>2584</v>
      </c>
      <c r="BR195" s="527" t="s">
        <v>2585</v>
      </c>
      <c r="BU195" s="527" t="s">
        <v>2588</v>
      </c>
      <c r="BV195" s="527" t="s">
        <v>2589</v>
      </c>
    </row>
    <row r="196" spans="54:74" ht="41.25" thickBot="1">
      <c r="BB196" s="545">
        <v>28062</v>
      </c>
      <c r="BC196" s="543" t="str">
        <f t="shared" si="3"/>
        <v>札幌市北区拓北二条</v>
      </c>
      <c r="BD196" s="543" t="s">
        <v>409</v>
      </c>
      <c r="BE196" s="544" t="s">
        <v>563</v>
      </c>
      <c r="BG196" s="1230"/>
      <c r="BH196" s="544">
        <v>197</v>
      </c>
      <c r="BI196" s="543" t="s">
        <v>1342</v>
      </c>
      <c r="BJ196" s="543" t="s">
        <v>1850</v>
      </c>
      <c r="BK196" s="543" t="s">
        <v>1851</v>
      </c>
      <c r="BL196" s="543" t="s">
        <v>1655</v>
      </c>
      <c r="BM196" s="566">
        <v>20857</v>
      </c>
      <c r="BN196" s="562" t="s">
        <v>2491</v>
      </c>
      <c r="BO196" s="562" t="s">
        <v>2492</v>
      </c>
      <c r="BQ196" s="526" t="s">
        <v>2590</v>
      </c>
      <c r="BR196" s="527" t="s">
        <v>2591</v>
      </c>
      <c r="BU196" s="527" t="s">
        <v>2594</v>
      </c>
      <c r="BV196" s="527" t="s">
        <v>2595</v>
      </c>
    </row>
    <row r="197" spans="54:74" ht="41.25" thickBot="1">
      <c r="BB197" s="545">
        <v>28063</v>
      </c>
      <c r="BC197" s="543" t="str">
        <f t="shared" si="3"/>
        <v>札幌市北区拓北三条</v>
      </c>
      <c r="BD197" s="543" t="s">
        <v>409</v>
      </c>
      <c r="BE197" s="544" t="s">
        <v>564</v>
      </c>
      <c r="BG197" s="1230"/>
      <c r="BH197" s="544">
        <v>198</v>
      </c>
      <c r="BI197" s="558" t="s">
        <v>1343</v>
      </c>
      <c r="BJ197" s="543" t="s">
        <v>1848</v>
      </c>
      <c r="BK197" s="543" t="s">
        <v>1849</v>
      </c>
      <c r="BL197" s="543" t="s">
        <v>1656</v>
      </c>
      <c r="BM197" s="566">
        <v>20859</v>
      </c>
      <c r="BN197" s="562" t="s">
        <v>2633</v>
      </c>
      <c r="BO197" s="562" t="s">
        <v>2634</v>
      </c>
      <c r="BQ197" s="526" t="s">
        <v>2596</v>
      </c>
      <c r="BR197" s="527" t="s">
        <v>2597</v>
      </c>
      <c r="BU197" s="527" t="s">
        <v>2600</v>
      </c>
      <c r="BV197" s="527" t="s">
        <v>2601</v>
      </c>
    </row>
    <row r="198" spans="54:74" ht="41.25" thickBot="1">
      <c r="BB198" s="545">
        <v>28064</v>
      </c>
      <c r="BC198" s="543" t="str">
        <f t="shared" si="3"/>
        <v>札幌市北区拓北四条</v>
      </c>
      <c r="BD198" s="543" t="s">
        <v>409</v>
      </c>
      <c r="BE198" s="544" t="s">
        <v>565</v>
      </c>
      <c r="BG198" s="1230"/>
      <c r="BH198" s="544">
        <v>199</v>
      </c>
      <c r="BI198" s="543" t="s">
        <v>1419</v>
      </c>
      <c r="BJ198" s="543" t="s">
        <v>1846</v>
      </c>
      <c r="BK198" s="543" t="s">
        <v>1847</v>
      </c>
      <c r="BL198" s="543" t="s">
        <v>1657</v>
      </c>
      <c r="BM198" s="566">
        <v>28081</v>
      </c>
      <c r="BN198" s="562" t="s">
        <v>2627</v>
      </c>
      <c r="BO198" s="562" t="s">
        <v>2628</v>
      </c>
      <c r="BQ198" s="526" t="s">
        <v>2602</v>
      </c>
      <c r="BR198" s="527" t="s">
        <v>2603</v>
      </c>
      <c r="BU198" s="527" t="s">
        <v>2606</v>
      </c>
      <c r="BV198" s="527" t="s">
        <v>2607</v>
      </c>
    </row>
    <row r="199" spans="54:74" ht="41.25" thickBot="1">
      <c r="BB199" s="545">
        <v>28065</v>
      </c>
      <c r="BC199" s="543" t="str">
        <f t="shared" si="3"/>
        <v>札幌市北区拓北五条</v>
      </c>
      <c r="BD199" s="543" t="s">
        <v>409</v>
      </c>
      <c r="BE199" s="544" t="s">
        <v>566</v>
      </c>
      <c r="BG199" s="1230"/>
      <c r="BH199" s="544">
        <v>200</v>
      </c>
      <c r="BI199" s="543" t="s">
        <v>1305</v>
      </c>
      <c r="BJ199" s="543" t="s">
        <v>1844</v>
      </c>
      <c r="BK199" s="543" t="s">
        <v>1845</v>
      </c>
      <c r="BL199" s="543" t="s">
        <v>1658</v>
      </c>
      <c r="BM199" s="566">
        <v>10019</v>
      </c>
      <c r="BN199" s="562" t="s">
        <v>2473</v>
      </c>
      <c r="BO199" s="562" t="s">
        <v>2474</v>
      </c>
      <c r="BQ199" s="526" t="s">
        <v>2608</v>
      </c>
      <c r="BR199" s="527" t="s">
        <v>2609</v>
      </c>
      <c r="BU199" s="527" t="s">
        <v>2612</v>
      </c>
      <c r="BV199" s="527" t="s">
        <v>2613</v>
      </c>
    </row>
    <row r="200" spans="54:74" ht="41.25" thickBot="1">
      <c r="BB200" s="545">
        <v>28066</v>
      </c>
      <c r="BC200" s="543" t="str">
        <f t="shared" si="3"/>
        <v>札幌市北区拓北六条</v>
      </c>
      <c r="BD200" s="543" t="s">
        <v>409</v>
      </c>
      <c r="BE200" s="544" t="s">
        <v>567</v>
      </c>
      <c r="BG200" s="1230"/>
      <c r="BH200" s="544">
        <v>201</v>
      </c>
      <c r="BI200" s="543" t="s">
        <v>1632</v>
      </c>
      <c r="BJ200" s="543" t="s">
        <v>1842</v>
      </c>
      <c r="BK200" s="543" t="s">
        <v>1843</v>
      </c>
      <c r="BL200" s="543" t="s">
        <v>1659</v>
      </c>
      <c r="BM200" s="566">
        <v>10024</v>
      </c>
      <c r="BN200" s="562" t="s">
        <v>2479</v>
      </c>
      <c r="BO200" s="562" t="s">
        <v>2480</v>
      </c>
      <c r="BQ200" s="526" t="s">
        <v>2614</v>
      </c>
      <c r="BR200" s="527" t="s">
        <v>2615</v>
      </c>
      <c r="BU200" s="527" t="s">
        <v>2618</v>
      </c>
      <c r="BV200" s="527" t="s">
        <v>2619</v>
      </c>
    </row>
    <row r="201" spans="54:74" ht="41.25" thickBot="1">
      <c r="BB201" s="545">
        <v>28067</v>
      </c>
      <c r="BC201" s="543" t="str">
        <f t="shared" si="3"/>
        <v>札幌市北区拓北七条</v>
      </c>
      <c r="BD201" s="543" t="s">
        <v>409</v>
      </c>
      <c r="BE201" s="544" t="s">
        <v>568</v>
      </c>
      <c r="BG201" s="1230"/>
      <c r="BH201" s="544">
        <v>202</v>
      </c>
      <c r="BI201" s="543" t="s">
        <v>1322</v>
      </c>
      <c r="BJ201" s="543" t="s">
        <v>1840</v>
      </c>
      <c r="BK201" s="543" t="s">
        <v>1841</v>
      </c>
      <c r="BL201" s="543" t="s">
        <v>1660</v>
      </c>
      <c r="BM201" s="566">
        <v>10027</v>
      </c>
      <c r="BN201" s="562" t="s">
        <v>2532</v>
      </c>
      <c r="BO201" s="562" t="s">
        <v>2533</v>
      </c>
      <c r="BQ201" s="526" t="s">
        <v>2620</v>
      </c>
      <c r="BR201" s="527" t="s">
        <v>2621</v>
      </c>
      <c r="BU201" s="527" t="s">
        <v>2624</v>
      </c>
      <c r="BV201" s="527" t="s">
        <v>2625</v>
      </c>
    </row>
    <row r="202" spans="54:74" ht="41.25" thickBot="1">
      <c r="BB202" s="545">
        <v>28068</v>
      </c>
      <c r="BC202" s="543" t="str">
        <f t="shared" si="3"/>
        <v>札幌市北区拓北八条</v>
      </c>
      <c r="BD202" s="543" t="s">
        <v>409</v>
      </c>
      <c r="BE202" s="544" t="s">
        <v>569</v>
      </c>
      <c r="BG202" s="1230"/>
      <c r="BH202" s="544">
        <v>203</v>
      </c>
      <c r="BI202" s="543" t="s">
        <v>1390</v>
      </c>
      <c r="BJ202" s="543" t="s">
        <v>1838</v>
      </c>
      <c r="BK202" s="543" t="s">
        <v>1839</v>
      </c>
      <c r="BL202" s="543" t="s">
        <v>1661</v>
      </c>
      <c r="BM202" s="566">
        <v>10031</v>
      </c>
      <c r="BN202" s="562" t="s">
        <v>2592</v>
      </c>
      <c r="BO202" s="562" t="s">
        <v>2593</v>
      </c>
      <c r="BQ202" s="526" t="s">
        <v>596</v>
      </c>
      <c r="BR202" s="527" t="s">
        <v>2626</v>
      </c>
      <c r="BU202" s="527" t="s">
        <v>2629</v>
      </c>
      <c r="BV202" s="527" t="s">
        <v>2630</v>
      </c>
    </row>
    <row r="203" spans="54:74" ht="41.25" thickBot="1">
      <c r="BB203" s="545">
        <v>20851</v>
      </c>
      <c r="BC203" s="543" t="str">
        <f t="shared" si="3"/>
        <v>札幌市北区屯田一条</v>
      </c>
      <c r="BD203" s="543" t="s">
        <v>409</v>
      </c>
      <c r="BE203" s="544" t="s">
        <v>570</v>
      </c>
      <c r="BG203" s="1230"/>
      <c r="BH203" s="544">
        <v>204</v>
      </c>
      <c r="BI203" s="543" t="s">
        <v>1421</v>
      </c>
      <c r="BJ203" s="543" t="s">
        <v>1836</v>
      </c>
      <c r="BK203" s="543" t="s">
        <v>1837</v>
      </c>
      <c r="BL203" s="543" t="s">
        <v>1662</v>
      </c>
      <c r="BM203" s="566">
        <v>10034</v>
      </c>
      <c r="BN203" s="562" t="s">
        <v>2520</v>
      </c>
      <c r="BO203" s="562" t="s">
        <v>2521</v>
      </c>
      <c r="BQ203" s="526" t="s">
        <v>2631</v>
      </c>
      <c r="BR203" s="527" t="s">
        <v>2632</v>
      </c>
      <c r="BU203" s="527" t="s">
        <v>2635</v>
      </c>
      <c r="BV203" s="527" t="s">
        <v>2636</v>
      </c>
    </row>
    <row r="204" spans="54:74" ht="40.5">
      <c r="BB204" s="545">
        <v>20852</v>
      </c>
      <c r="BC204" s="543" t="str">
        <f t="shared" si="3"/>
        <v>札幌市北区屯田二条</v>
      </c>
      <c r="BD204" s="543" t="s">
        <v>409</v>
      </c>
      <c r="BE204" s="544" t="s">
        <v>571</v>
      </c>
      <c r="BG204" s="1230"/>
      <c r="BH204" s="544">
        <v>205</v>
      </c>
      <c r="BI204" s="558" t="s">
        <v>1293</v>
      </c>
      <c r="BJ204" s="543" t="s">
        <v>1815</v>
      </c>
      <c r="BK204" s="543" t="s">
        <v>1816</v>
      </c>
      <c r="BL204" s="543" t="s">
        <v>1663</v>
      </c>
      <c r="BM204" s="566">
        <v>600809</v>
      </c>
      <c r="BN204" s="562" t="s">
        <v>2467</v>
      </c>
      <c r="BO204" s="562" t="s">
        <v>2468</v>
      </c>
      <c r="BQ204" s="1096" t="s">
        <v>2637</v>
      </c>
      <c r="BR204" s="528" t="s">
        <v>2638</v>
      </c>
      <c r="BS204" s="1066" t="s">
        <v>2640</v>
      </c>
      <c r="BT204" s="1066" t="s">
        <v>2641</v>
      </c>
      <c r="BU204" s="1066" t="s">
        <v>2475</v>
      </c>
      <c r="BV204" s="1066" t="s">
        <v>2642</v>
      </c>
    </row>
    <row r="205" spans="54:74" ht="14.25" thickBot="1">
      <c r="BB205" s="545">
        <v>20853</v>
      </c>
      <c r="BC205" s="543" t="str">
        <f t="shared" si="3"/>
        <v>札幌市北区屯田三条</v>
      </c>
      <c r="BD205" s="543" t="s">
        <v>409</v>
      </c>
      <c r="BE205" s="544" t="s">
        <v>572</v>
      </c>
      <c r="BQ205" s="1097"/>
      <c r="BR205" s="529" t="s">
        <v>2639</v>
      </c>
      <c r="BS205" s="1067"/>
      <c r="BT205" s="1067"/>
      <c r="BU205" s="1067"/>
      <c r="BV205" s="1067"/>
    </row>
    <row r="206" spans="54:74">
      <c r="BB206" s="545">
        <v>20854</v>
      </c>
      <c r="BC206" s="543" t="str">
        <f t="shared" si="3"/>
        <v>札幌市北区屯田四条</v>
      </c>
      <c r="BD206" s="543" t="s">
        <v>409</v>
      </c>
      <c r="BE206" s="544" t="s">
        <v>573</v>
      </c>
    </row>
    <row r="207" spans="54:74">
      <c r="BB207" s="545">
        <v>20855</v>
      </c>
      <c r="BC207" s="543" t="str">
        <f t="shared" si="3"/>
        <v>札幌市北区屯田五条</v>
      </c>
      <c r="BD207" s="543" t="s">
        <v>409</v>
      </c>
      <c r="BE207" s="544" t="s">
        <v>574</v>
      </c>
    </row>
    <row r="208" spans="54:74">
      <c r="BB208" s="545">
        <v>20856</v>
      </c>
      <c r="BC208" s="543" t="str">
        <f t="shared" si="3"/>
        <v>札幌市北区屯田六条</v>
      </c>
      <c r="BD208" s="543" t="s">
        <v>409</v>
      </c>
      <c r="BE208" s="544" t="s">
        <v>575</v>
      </c>
    </row>
    <row r="209" spans="54:57">
      <c r="BB209" s="545">
        <v>20857</v>
      </c>
      <c r="BC209" s="543" t="str">
        <f t="shared" si="3"/>
        <v>札幌市北区屯田七条</v>
      </c>
      <c r="BD209" s="543" t="s">
        <v>409</v>
      </c>
      <c r="BE209" s="544" t="s">
        <v>576</v>
      </c>
    </row>
    <row r="210" spans="54:57">
      <c r="BB210" s="545">
        <v>20858</v>
      </c>
      <c r="BC210" s="543" t="str">
        <f t="shared" si="3"/>
        <v>札幌市北区屯田八条</v>
      </c>
      <c r="BD210" s="543" t="s">
        <v>409</v>
      </c>
      <c r="BE210" s="544" t="s">
        <v>577</v>
      </c>
    </row>
    <row r="211" spans="54:57">
      <c r="BB211" s="545">
        <v>20859</v>
      </c>
      <c r="BC211" s="543" t="str">
        <f t="shared" si="3"/>
        <v>札幌市北区屯田九条</v>
      </c>
      <c r="BD211" s="543" t="s">
        <v>409</v>
      </c>
      <c r="BE211" s="544" t="s">
        <v>578</v>
      </c>
    </row>
    <row r="212" spans="54:57">
      <c r="BB212" s="545">
        <v>20860</v>
      </c>
      <c r="BC212" s="543" t="str">
        <f t="shared" si="3"/>
        <v>札幌市北区屯田十条</v>
      </c>
      <c r="BD212" s="543" t="s">
        <v>409</v>
      </c>
      <c r="BE212" s="544" t="s">
        <v>579</v>
      </c>
    </row>
    <row r="213" spans="54:57">
      <c r="BB213" s="545">
        <v>20861</v>
      </c>
      <c r="BC213" s="543" t="str">
        <f t="shared" si="3"/>
        <v>札幌市北区屯田十一条</v>
      </c>
      <c r="BD213" s="543" t="s">
        <v>409</v>
      </c>
      <c r="BE213" s="544" t="s">
        <v>580</v>
      </c>
    </row>
    <row r="214" spans="54:57">
      <c r="BB214" s="545">
        <v>20865</v>
      </c>
      <c r="BC214" s="543" t="str">
        <f t="shared" si="3"/>
        <v>札幌市北区屯田町</v>
      </c>
      <c r="BD214" s="543" t="s">
        <v>409</v>
      </c>
      <c r="BE214" s="544" t="s">
        <v>581</v>
      </c>
    </row>
    <row r="215" spans="54:57">
      <c r="BB215" s="545">
        <v>28038</v>
      </c>
      <c r="BC215" s="543" t="str">
        <f t="shared" si="3"/>
        <v>札幌市北区西茨戸</v>
      </c>
      <c r="BD215" s="543" t="s">
        <v>409</v>
      </c>
      <c r="BE215" s="544" t="s">
        <v>582</v>
      </c>
    </row>
    <row r="216" spans="54:57">
      <c r="BB216" s="545">
        <v>28031</v>
      </c>
      <c r="BC216" s="543" t="str">
        <f t="shared" si="3"/>
        <v>札幌市北区西茨戸一条</v>
      </c>
      <c r="BD216" s="543" t="s">
        <v>409</v>
      </c>
      <c r="BE216" s="544" t="s">
        <v>583</v>
      </c>
    </row>
    <row r="217" spans="54:57">
      <c r="BB217" s="545">
        <v>28032</v>
      </c>
      <c r="BC217" s="543" t="str">
        <f t="shared" si="3"/>
        <v>札幌市北区西茨戸二条</v>
      </c>
      <c r="BD217" s="543" t="s">
        <v>409</v>
      </c>
      <c r="BE217" s="544" t="s">
        <v>584</v>
      </c>
    </row>
    <row r="218" spans="54:57">
      <c r="BB218" s="545">
        <v>28033</v>
      </c>
      <c r="BC218" s="543" t="str">
        <f t="shared" si="3"/>
        <v>札幌市北区西茨戸三条</v>
      </c>
      <c r="BD218" s="543" t="s">
        <v>409</v>
      </c>
      <c r="BE218" s="544" t="s">
        <v>585</v>
      </c>
    </row>
    <row r="219" spans="54:57">
      <c r="BB219" s="545">
        <v>28034</v>
      </c>
      <c r="BC219" s="543" t="str">
        <f t="shared" si="3"/>
        <v>札幌市北区西茨戸四条</v>
      </c>
      <c r="BD219" s="543" t="s">
        <v>409</v>
      </c>
      <c r="BE219" s="544" t="s">
        <v>586</v>
      </c>
    </row>
    <row r="220" spans="54:57">
      <c r="BB220" s="545">
        <v>28035</v>
      </c>
      <c r="BC220" s="543" t="str">
        <f t="shared" si="3"/>
        <v>札幌市北区西茨戸五条</v>
      </c>
      <c r="BD220" s="543" t="s">
        <v>409</v>
      </c>
      <c r="BE220" s="544" t="s">
        <v>587</v>
      </c>
    </row>
    <row r="221" spans="54:57">
      <c r="BB221" s="545">
        <v>28036</v>
      </c>
      <c r="BC221" s="543" t="str">
        <f t="shared" si="3"/>
        <v>札幌市北区西茨戸六条</v>
      </c>
      <c r="BD221" s="543" t="s">
        <v>409</v>
      </c>
      <c r="BE221" s="544" t="s">
        <v>588</v>
      </c>
    </row>
    <row r="222" spans="54:57">
      <c r="BB222" s="545">
        <v>28037</v>
      </c>
      <c r="BC222" s="543" t="str">
        <f t="shared" si="3"/>
        <v>札幌市北区西茨戸七条</v>
      </c>
      <c r="BD222" s="543" t="s">
        <v>409</v>
      </c>
      <c r="BE222" s="544" t="s">
        <v>589</v>
      </c>
    </row>
    <row r="223" spans="54:57">
      <c r="BB223" s="545">
        <v>28043</v>
      </c>
      <c r="BC223" s="543" t="str">
        <f t="shared" si="3"/>
        <v>札幌市北区東茨戸</v>
      </c>
      <c r="BD223" s="543" t="s">
        <v>409</v>
      </c>
      <c r="BE223" s="544" t="s">
        <v>590</v>
      </c>
    </row>
    <row r="224" spans="54:57">
      <c r="BB224" s="545">
        <v>28041</v>
      </c>
      <c r="BC224" s="543" t="str">
        <f t="shared" si="3"/>
        <v>札幌市北区東茨戸一条</v>
      </c>
      <c r="BD224" s="543" t="s">
        <v>409</v>
      </c>
      <c r="BE224" s="544" t="s">
        <v>591</v>
      </c>
    </row>
    <row r="225" spans="54:57">
      <c r="BB225" s="545">
        <v>28042</v>
      </c>
      <c r="BC225" s="543" t="str">
        <f t="shared" si="3"/>
        <v>札幌市北区東茨戸二条</v>
      </c>
      <c r="BD225" s="543" t="s">
        <v>409</v>
      </c>
      <c r="BE225" s="544" t="s">
        <v>592</v>
      </c>
    </row>
    <row r="226" spans="54:57">
      <c r="BB226" s="545">
        <v>28044</v>
      </c>
      <c r="BC226" s="543" t="str">
        <f t="shared" si="3"/>
        <v>札幌市北区東茨戸三条</v>
      </c>
      <c r="BD226" s="543" t="s">
        <v>409</v>
      </c>
      <c r="BE226" s="544" t="s">
        <v>593</v>
      </c>
    </row>
    <row r="227" spans="54:57">
      <c r="BB227" s="545">
        <v>28045</v>
      </c>
      <c r="BC227" s="543" t="str">
        <f t="shared" si="3"/>
        <v>札幌市北区東茨戸四条</v>
      </c>
      <c r="BD227" s="543" t="s">
        <v>409</v>
      </c>
      <c r="BE227" s="544" t="s">
        <v>594</v>
      </c>
    </row>
    <row r="228" spans="54:57">
      <c r="BB228" s="545">
        <v>28091</v>
      </c>
      <c r="BC228" s="543" t="str">
        <f t="shared" si="3"/>
        <v>札幌市北区南あいの里</v>
      </c>
      <c r="BD228" s="543" t="s">
        <v>409</v>
      </c>
      <c r="BE228" s="544" t="s">
        <v>595</v>
      </c>
    </row>
    <row r="229" spans="54:57">
      <c r="BB229" s="545">
        <v>28081</v>
      </c>
      <c r="BC229" s="543" t="str">
        <f t="shared" si="3"/>
        <v>札幌市北区百合が原</v>
      </c>
      <c r="BD229" s="543" t="s">
        <v>409</v>
      </c>
      <c r="BE229" s="544" t="s">
        <v>596</v>
      </c>
    </row>
    <row r="230" spans="54:57">
      <c r="BB230" s="545">
        <v>28082</v>
      </c>
      <c r="BC230" s="543" t="str">
        <f t="shared" si="3"/>
        <v>札幌市北区百合が原公園</v>
      </c>
      <c r="BD230" s="543" t="s">
        <v>409</v>
      </c>
      <c r="BE230" s="544" t="s">
        <v>597</v>
      </c>
    </row>
    <row r="231" spans="54:57">
      <c r="BB231" s="545">
        <v>650000</v>
      </c>
      <c r="BC231" s="543" t="str">
        <f t="shared" si="3"/>
        <v>札幌市東区</v>
      </c>
      <c r="BD231" s="543" t="s">
        <v>410</v>
      </c>
    </row>
    <row r="232" spans="54:57">
      <c r="BB232" s="545">
        <v>70880</v>
      </c>
      <c r="BC232" s="543" t="str">
        <f t="shared" si="3"/>
        <v>札幌市東区丘珠町</v>
      </c>
      <c r="BD232" s="543" t="s">
        <v>410</v>
      </c>
      <c r="BE232" s="544" t="s">
        <v>598</v>
      </c>
    </row>
    <row r="233" spans="54:57">
      <c r="BB233" s="545">
        <v>70881</v>
      </c>
      <c r="BC233" s="543" t="str">
        <f t="shared" si="3"/>
        <v>札幌市東区北丘珠一条</v>
      </c>
      <c r="BD233" s="543" t="s">
        <v>410</v>
      </c>
      <c r="BE233" s="544" t="s">
        <v>599</v>
      </c>
    </row>
    <row r="234" spans="54:57">
      <c r="BB234" s="545">
        <v>70882</v>
      </c>
      <c r="BC234" s="543" t="str">
        <f t="shared" si="3"/>
        <v>札幌市東区北丘珠二条</v>
      </c>
      <c r="BD234" s="543" t="s">
        <v>410</v>
      </c>
      <c r="BE234" s="544" t="s">
        <v>600</v>
      </c>
    </row>
    <row r="235" spans="54:57">
      <c r="BB235" s="545">
        <v>70883</v>
      </c>
      <c r="BC235" s="543" t="str">
        <f t="shared" si="3"/>
        <v>札幌市東区北丘珠三条</v>
      </c>
      <c r="BD235" s="543" t="s">
        <v>410</v>
      </c>
      <c r="BE235" s="544" t="s">
        <v>601</v>
      </c>
    </row>
    <row r="236" spans="54:57">
      <c r="BB236" s="545">
        <v>70884</v>
      </c>
      <c r="BC236" s="543" t="str">
        <f t="shared" si="3"/>
        <v>札幌市東区北丘珠四条</v>
      </c>
      <c r="BD236" s="543" t="s">
        <v>410</v>
      </c>
      <c r="BE236" s="544" t="s">
        <v>602</v>
      </c>
    </row>
    <row r="237" spans="54:57">
      <c r="BB237" s="545">
        <v>70885</v>
      </c>
      <c r="BC237" s="543" t="str">
        <f t="shared" si="3"/>
        <v>札幌市東区北丘珠五条</v>
      </c>
      <c r="BD237" s="543" t="s">
        <v>410</v>
      </c>
      <c r="BE237" s="544" t="s">
        <v>603</v>
      </c>
    </row>
    <row r="238" spans="54:57">
      <c r="BB238" s="545">
        <v>70886</v>
      </c>
      <c r="BC238" s="543" t="str">
        <f t="shared" si="3"/>
        <v>札幌市東区北丘珠六条</v>
      </c>
      <c r="BD238" s="543" t="s">
        <v>410</v>
      </c>
      <c r="BE238" s="544" t="s">
        <v>604</v>
      </c>
    </row>
    <row r="239" spans="54:57">
      <c r="BB239" s="545">
        <v>650004</v>
      </c>
      <c r="BC239" s="543" t="str">
        <f t="shared" si="3"/>
        <v>札幌市東区北四条東</v>
      </c>
      <c r="BD239" s="543" t="s">
        <v>410</v>
      </c>
      <c r="BE239" s="544" t="s">
        <v>1162</v>
      </c>
    </row>
    <row r="240" spans="54:57">
      <c r="BB240" s="545">
        <v>600905</v>
      </c>
      <c r="BC240" s="543" t="str">
        <f t="shared" si="3"/>
        <v>札幌市東区北五条東</v>
      </c>
      <c r="BD240" s="543" t="s">
        <v>410</v>
      </c>
      <c r="BE240" s="544" t="s">
        <v>1161</v>
      </c>
    </row>
    <row r="241" spans="54:57">
      <c r="BB241" s="545">
        <v>650005</v>
      </c>
      <c r="BC241" s="543" t="str">
        <f t="shared" si="3"/>
        <v>札幌市東区北五条東</v>
      </c>
      <c r="BD241" s="543" t="s">
        <v>410</v>
      </c>
      <c r="BE241" s="544" t="s">
        <v>1161</v>
      </c>
    </row>
    <row r="242" spans="54:57">
      <c r="BB242" s="545">
        <v>600906</v>
      </c>
      <c r="BC242" s="543" t="str">
        <f t="shared" si="3"/>
        <v>札幌市東区北六条東</v>
      </c>
      <c r="BD242" s="543" t="s">
        <v>410</v>
      </c>
      <c r="BE242" s="544" t="s">
        <v>1160</v>
      </c>
    </row>
    <row r="243" spans="54:57">
      <c r="BB243" s="545">
        <v>650006</v>
      </c>
      <c r="BC243" s="543" t="str">
        <f t="shared" si="3"/>
        <v>札幌市東区北六条東</v>
      </c>
      <c r="BD243" s="543" t="s">
        <v>410</v>
      </c>
      <c r="BE243" s="544" t="s">
        <v>1159</v>
      </c>
    </row>
    <row r="244" spans="54:57">
      <c r="BB244" s="545">
        <v>600907</v>
      </c>
      <c r="BC244" s="543" t="str">
        <f t="shared" si="3"/>
        <v>札幌市東区北七条東</v>
      </c>
      <c r="BD244" s="543" t="s">
        <v>410</v>
      </c>
      <c r="BE244" s="544" t="s">
        <v>1158</v>
      </c>
    </row>
    <row r="245" spans="54:57">
      <c r="BB245" s="545">
        <v>650007</v>
      </c>
      <c r="BC245" s="543" t="str">
        <f t="shared" si="3"/>
        <v>札幌市東区北七条東</v>
      </c>
      <c r="BD245" s="543" t="s">
        <v>410</v>
      </c>
      <c r="BE245" s="544" t="s">
        <v>1158</v>
      </c>
    </row>
    <row r="246" spans="54:57">
      <c r="BB246" s="545">
        <v>600908</v>
      </c>
      <c r="BC246" s="543" t="str">
        <f t="shared" si="3"/>
        <v>札幌市東区北八条東</v>
      </c>
      <c r="BD246" s="543" t="s">
        <v>410</v>
      </c>
      <c r="BE246" s="544" t="s">
        <v>1157</v>
      </c>
    </row>
    <row r="247" spans="54:57">
      <c r="BB247" s="545">
        <v>650008</v>
      </c>
      <c r="BC247" s="543" t="str">
        <f t="shared" si="3"/>
        <v>札幌市東区北八条東</v>
      </c>
      <c r="BD247" s="543" t="s">
        <v>410</v>
      </c>
      <c r="BE247" s="544" t="s">
        <v>1156</v>
      </c>
    </row>
    <row r="248" spans="54:57">
      <c r="BB248" s="545">
        <v>600909</v>
      </c>
      <c r="BC248" s="543" t="str">
        <f t="shared" si="3"/>
        <v>札幌市東区北九条東</v>
      </c>
      <c r="BD248" s="543" t="s">
        <v>410</v>
      </c>
      <c r="BE248" s="544" t="s">
        <v>1155</v>
      </c>
    </row>
    <row r="249" spans="54:57">
      <c r="BB249" s="545">
        <v>650009</v>
      </c>
      <c r="BC249" s="543" t="str">
        <f t="shared" si="3"/>
        <v>札幌市東区北九条東</v>
      </c>
      <c r="BD249" s="543" t="s">
        <v>410</v>
      </c>
      <c r="BE249" s="544" t="s">
        <v>1155</v>
      </c>
    </row>
    <row r="250" spans="54:57">
      <c r="BB250" s="545">
        <v>650010</v>
      </c>
      <c r="BC250" s="543" t="str">
        <f t="shared" si="3"/>
        <v>札幌市東区北十条東</v>
      </c>
      <c r="BD250" s="543" t="s">
        <v>410</v>
      </c>
      <c r="BE250" s="544" t="s">
        <v>605</v>
      </c>
    </row>
    <row r="251" spans="54:57">
      <c r="BB251" s="545">
        <v>650011</v>
      </c>
      <c r="BC251" s="543" t="str">
        <f t="shared" si="3"/>
        <v>札幌市東区北十一条東</v>
      </c>
      <c r="BD251" s="543" t="s">
        <v>410</v>
      </c>
      <c r="BE251" s="544" t="s">
        <v>606</v>
      </c>
    </row>
    <row r="252" spans="54:57">
      <c r="BB252" s="545">
        <v>650012</v>
      </c>
      <c r="BC252" s="543" t="str">
        <f t="shared" si="3"/>
        <v>札幌市東区北十二条東</v>
      </c>
      <c r="BD252" s="543" t="s">
        <v>410</v>
      </c>
      <c r="BE252" s="544" t="s">
        <v>607</v>
      </c>
    </row>
    <row r="253" spans="54:57">
      <c r="BB253" s="545">
        <v>650013</v>
      </c>
      <c r="BC253" s="543" t="str">
        <f t="shared" si="3"/>
        <v>札幌市東区北十三条東</v>
      </c>
      <c r="BD253" s="543" t="s">
        <v>410</v>
      </c>
      <c r="BE253" s="544" t="s">
        <v>608</v>
      </c>
    </row>
    <row r="254" spans="54:57">
      <c r="BB254" s="545">
        <v>650014</v>
      </c>
      <c r="BC254" s="543" t="str">
        <f t="shared" si="3"/>
        <v>札幌市東区北十四条東</v>
      </c>
      <c r="BD254" s="543" t="s">
        <v>410</v>
      </c>
      <c r="BE254" s="544" t="s">
        <v>609</v>
      </c>
    </row>
    <row r="255" spans="54:57">
      <c r="BB255" s="545">
        <v>650015</v>
      </c>
      <c r="BC255" s="543" t="str">
        <f t="shared" ref="BC255:BC318" si="4">BD255&amp;BE255</f>
        <v>札幌市東区北十五条東</v>
      </c>
      <c r="BD255" s="543" t="s">
        <v>410</v>
      </c>
      <c r="BE255" s="544" t="s">
        <v>610</v>
      </c>
    </row>
    <row r="256" spans="54:57">
      <c r="BB256" s="545">
        <v>650016</v>
      </c>
      <c r="BC256" s="543" t="str">
        <f t="shared" si="4"/>
        <v>札幌市東区北十六条東</v>
      </c>
      <c r="BD256" s="543" t="s">
        <v>410</v>
      </c>
      <c r="BE256" s="544" t="s">
        <v>611</v>
      </c>
    </row>
    <row r="257" spans="54:57">
      <c r="BB257" s="545">
        <v>650017</v>
      </c>
      <c r="BC257" s="543" t="str">
        <f t="shared" si="4"/>
        <v>札幌市東区北十七条東</v>
      </c>
      <c r="BD257" s="543" t="s">
        <v>410</v>
      </c>
      <c r="BE257" s="544" t="s">
        <v>612</v>
      </c>
    </row>
    <row r="258" spans="54:57">
      <c r="BB258" s="545">
        <v>650018</v>
      </c>
      <c r="BC258" s="543" t="str">
        <f t="shared" si="4"/>
        <v>札幌市東区北十八条東</v>
      </c>
      <c r="BD258" s="543" t="s">
        <v>410</v>
      </c>
      <c r="BE258" s="544" t="s">
        <v>613</v>
      </c>
    </row>
    <row r="259" spans="54:57">
      <c r="BB259" s="545">
        <v>650019</v>
      </c>
      <c r="BC259" s="543" t="str">
        <f t="shared" si="4"/>
        <v>札幌市東区北十九条東</v>
      </c>
      <c r="BD259" s="543" t="s">
        <v>410</v>
      </c>
      <c r="BE259" s="544" t="s">
        <v>614</v>
      </c>
    </row>
    <row r="260" spans="54:57">
      <c r="BB260" s="545">
        <v>650020</v>
      </c>
      <c r="BC260" s="543" t="str">
        <f t="shared" si="4"/>
        <v>札幌市東区北二十条東</v>
      </c>
      <c r="BD260" s="543" t="s">
        <v>410</v>
      </c>
      <c r="BE260" s="544" t="s">
        <v>615</v>
      </c>
    </row>
    <row r="261" spans="54:57">
      <c r="BB261" s="545">
        <v>650021</v>
      </c>
      <c r="BC261" s="543" t="str">
        <f t="shared" si="4"/>
        <v>札幌市東区北二十一条東</v>
      </c>
      <c r="BD261" s="543" t="s">
        <v>410</v>
      </c>
      <c r="BE261" s="544" t="s">
        <v>616</v>
      </c>
    </row>
    <row r="262" spans="54:57">
      <c r="BB262" s="545">
        <v>650022</v>
      </c>
      <c r="BC262" s="543" t="str">
        <f t="shared" si="4"/>
        <v>札幌市東区北二十二条東</v>
      </c>
      <c r="BD262" s="543" t="s">
        <v>410</v>
      </c>
      <c r="BE262" s="544" t="s">
        <v>617</v>
      </c>
    </row>
    <row r="263" spans="54:57">
      <c r="BB263" s="545">
        <v>650023</v>
      </c>
      <c r="BC263" s="543" t="str">
        <f t="shared" si="4"/>
        <v>札幌市東区北二十三条東</v>
      </c>
      <c r="BD263" s="543" t="s">
        <v>410</v>
      </c>
      <c r="BE263" s="544" t="s">
        <v>618</v>
      </c>
    </row>
    <row r="264" spans="54:57">
      <c r="BB264" s="545">
        <v>650024</v>
      </c>
      <c r="BC264" s="543" t="str">
        <f t="shared" si="4"/>
        <v>札幌市東区北二十四条東</v>
      </c>
      <c r="BD264" s="543" t="s">
        <v>410</v>
      </c>
      <c r="BE264" s="544" t="s">
        <v>619</v>
      </c>
    </row>
    <row r="265" spans="54:57">
      <c r="BB265" s="545">
        <v>650025</v>
      </c>
      <c r="BC265" s="543" t="str">
        <f t="shared" si="4"/>
        <v>札幌市東区北二十五条東</v>
      </c>
      <c r="BD265" s="543" t="s">
        <v>410</v>
      </c>
      <c r="BE265" s="544" t="s">
        <v>620</v>
      </c>
    </row>
    <row r="266" spans="54:57">
      <c r="BB266" s="545">
        <v>650026</v>
      </c>
      <c r="BC266" s="543" t="str">
        <f t="shared" si="4"/>
        <v>札幌市東区北二十六条東</v>
      </c>
      <c r="BD266" s="543" t="s">
        <v>410</v>
      </c>
      <c r="BE266" s="544" t="s">
        <v>621</v>
      </c>
    </row>
    <row r="267" spans="54:57">
      <c r="BB267" s="545">
        <v>650027</v>
      </c>
      <c r="BC267" s="543" t="str">
        <f t="shared" si="4"/>
        <v>札幌市東区北二十七条東</v>
      </c>
      <c r="BD267" s="543" t="s">
        <v>410</v>
      </c>
      <c r="BE267" s="544" t="s">
        <v>622</v>
      </c>
    </row>
    <row r="268" spans="54:57">
      <c r="BB268" s="545">
        <v>650028</v>
      </c>
      <c r="BC268" s="543" t="str">
        <f t="shared" si="4"/>
        <v>札幌市東区北二十八条東</v>
      </c>
      <c r="BD268" s="543" t="s">
        <v>410</v>
      </c>
      <c r="BE268" s="544" t="s">
        <v>623</v>
      </c>
    </row>
    <row r="269" spans="54:57">
      <c r="BB269" s="545">
        <v>650030</v>
      </c>
      <c r="BC269" s="543" t="str">
        <f t="shared" si="4"/>
        <v>札幌市東区北三十条東</v>
      </c>
      <c r="BD269" s="543" t="s">
        <v>410</v>
      </c>
      <c r="BE269" s="544" t="s">
        <v>624</v>
      </c>
    </row>
    <row r="270" spans="54:57">
      <c r="BB270" s="545">
        <v>650031</v>
      </c>
      <c r="BC270" s="543" t="str">
        <f t="shared" si="4"/>
        <v>札幌市東区北三十一条東</v>
      </c>
      <c r="BD270" s="543" t="s">
        <v>410</v>
      </c>
      <c r="BE270" s="544" t="s">
        <v>625</v>
      </c>
    </row>
    <row r="271" spans="54:57">
      <c r="BB271" s="545">
        <v>650032</v>
      </c>
      <c r="BC271" s="543" t="str">
        <f t="shared" si="4"/>
        <v>札幌市東区北三十二条東</v>
      </c>
      <c r="BD271" s="543" t="s">
        <v>410</v>
      </c>
      <c r="BE271" s="544" t="s">
        <v>626</v>
      </c>
    </row>
    <row r="272" spans="54:57">
      <c r="BB272" s="545">
        <v>650033</v>
      </c>
      <c r="BC272" s="543" t="str">
        <f t="shared" si="4"/>
        <v>札幌市東区北三十三条東</v>
      </c>
      <c r="BD272" s="543" t="s">
        <v>410</v>
      </c>
      <c r="BE272" s="544" t="s">
        <v>627</v>
      </c>
    </row>
    <row r="273" spans="54:57">
      <c r="BB273" s="545">
        <v>70834</v>
      </c>
      <c r="BC273" s="543" t="str">
        <f t="shared" si="4"/>
        <v>札幌市東区北三十四条東</v>
      </c>
      <c r="BD273" s="543" t="s">
        <v>410</v>
      </c>
      <c r="BE273" s="544" t="s">
        <v>628</v>
      </c>
    </row>
    <row r="274" spans="54:57">
      <c r="BB274" s="545">
        <v>70835</v>
      </c>
      <c r="BC274" s="543" t="str">
        <f t="shared" si="4"/>
        <v>札幌市東区北三十五条東</v>
      </c>
      <c r="BD274" s="543" t="s">
        <v>410</v>
      </c>
      <c r="BE274" s="544" t="s">
        <v>629</v>
      </c>
    </row>
    <row r="275" spans="54:57">
      <c r="BB275" s="545">
        <v>70836</v>
      </c>
      <c r="BC275" s="543" t="str">
        <f t="shared" si="4"/>
        <v>札幌市東区北三十六条東</v>
      </c>
      <c r="BD275" s="543" t="s">
        <v>410</v>
      </c>
      <c r="BE275" s="544" t="s">
        <v>630</v>
      </c>
    </row>
    <row r="276" spans="54:57">
      <c r="BB276" s="545">
        <v>70837</v>
      </c>
      <c r="BC276" s="543" t="str">
        <f t="shared" si="4"/>
        <v>札幌市東区北三十七条東</v>
      </c>
      <c r="BD276" s="543" t="s">
        <v>410</v>
      </c>
      <c r="BE276" s="544" t="s">
        <v>631</v>
      </c>
    </row>
    <row r="277" spans="54:57">
      <c r="BB277" s="545">
        <v>70838</v>
      </c>
      <c r="BC277" s="543" t="str">
        <f t="shared" si="4"/>
        <v>札幌市東区北三十八条東</v>
      </c>
      <c r="BD277" s="543" t="s">
        <v>410</v>
      </c>
      <c r="BE277" s="544" t="s">
        <v>632</v>
      </c>
    </row>
    <row r="278" spans="54:57">
      <c r="BB278" s="545">
        <v>70839</v>
      </c>
      <c r="BC278" s="543" t="str">
        <f t="shared" si="4"/>
        <v>札幌市東区北三十九条東</v>
      </c>
      <c r="BD278" s="543" t="s">
        <v>410</v>
      </c>
      <c r="BE278" s="544" t="s">
        <v>633</v>
      </c>
    </row>
    <row r="279" spans="54:57">
      <c r="BB279" s="545">
        <v>70840</v>
      </c>
      <c r="BC279" s="543" t="str">
        <f t="shared" si="4"/>
        <v>札幌市東区北四十条東</v>
      </c>
      <c r="BD279" s="543" t="s">
        <v>410</v>
      </c>
      <c r="BE279" s="544" t="s">
        <v>634</v>
      </c>
    </row>
    <row r="280" spans="54:57">
      <c r="BB280" s="545">
        <v>70841</v>
      </c>
      <c r="BC280" s="543" t="str">
        <f t="shared" si="4"/>
        <v>札幌市東区北四十一条東</v>
      </c>
      <c r="BD280" s="543" t="s">
        <v>410</v>
      </c>
      <c r="BE280" s="544" t="s">
        <v>635</v>
      </c>
    </row>
    <row r="281" spans="54:57">
      <c r="BB281" s="545">
        <v>70842</v>
      </c>
      <c r="BC281" s="543" t="str">
        <f t="shared" si="4"/>
        <v>札幌市東区北四十二条東</v>
      </c>
      <c r="BD281" s="543" t="s">
        <v>410</v>
      </c>
      <c r="BE281" s="544" t="s">
        <v>636</v>
      </c>
    </row>
    <row r="282" spans="54:57">
      <c r="BB282" s="545">
        <v>70843</v>
      </c>
      <c r="BC282" s="543" t="str">
        <f t="shared" si="4"/>
        <v>札幌市東区北四十三条東</v>
      </c>
      <c r="BD282" s="543" t="s">
        <v>410</v>
      </c>
      <c r="BE282" s="544" t="s">
        <v>637</v>
      </c>
    </row>
    <row r="283" spans="54:57">
      <c r="BB283" s="545">
        <v>70844</v>
      </c>
      <c r="BC283" s="543" t="str">
        <f t="shared" si="4"/>
        <v>札幌市東区北四十四条東</v>
      </c>
      <c r="BD283" s="543" t="s">
        <v>410</v>
      </c>
      <c r="BE283" s="544" t="s">
        <v>638</v>
      </c>
    </row>
    <row r="284" spans="54:57">
      <c r="BB284" s="545">
        <v>70845</v>
      </c>
      <c r="BC284" s="543" t="str">
        <f t="shared" si="4"/>
        <v>札幌市東区北四十五条東</v>
      </c>
      <c r="BD284" s="543" t="s">
        <v>410</v>
      </c>
      <c r="BE284" s="544" t="s">
        <v>639</v>
      </c>
    </row>
    <row r="285" spans="54:57">
      <c r="BB285" s="545">
        <v>70846</v>
      </c>
      <c r="BC285" s="543" t="str">
        <f t="shared" si="4"/>
        <v>札幌市東区北四十六条東</v>
      </c>
      <c r="BD285" s="543" t="s">
        <v>410</v>
      </c>
      <c r="BE285" s="544" t="s">
        <v>640</v>
      </c>
    </row>
    <row r="286" spans="54:57">
      <c r="BB286" s="545">
        <v>70847</v>
      </c>
      <c r="BC286" s="543" t="str">
        <f t="shared" si="4"/>
        <v>札幌市東区北四十七条東</v>
      </c>
      <c r="BD286" s="543" t="s">
        <v>410</v>
      </c>
      <c r="BE286" s="544" t="s">
        <v>641</v>
      </c>
    </row>
    <row r="287" spans="54:57">
      <c r="BB287" s="545">
        <v>70848</v>
      </c>
      <c r="BC287" s="543" t="str">
        <f t="shared" si="4"/>
        <v>札幌市東区北四十八条東</v>
      </c>
      <c r="BD287" s="543" t="s">
        <v>410</v>
      </c>
      <c r="BE287" s="544" t="s">
        <v>642</v>
      </c>
    </row>
    <row r="288" spans="54:57">
      <c r="BB288" s="545">
        <v>70849</v>
      </c>
      <c r="BC288" s="543" t="str">
        <f t="shared" si="4"/>
        <v>札幌市東区北四十九条東</v>
      </c>
      <c r="BD288" s="543" t="s">
        <v>410</v>
      </c>
      <c r="BE288" s="544" t="s">
        <v>643</v>
      </c>
    </row>
    <row r="289" spans="54:57">
      <c r="BB289" s="545">
        <v>70850</v>
      </c>
      <c r="BC289" s="543" t="str">
        <f t="shared" si="4"/>
        <v>札幌市東区北五十条東</v>
      </c>
      <c r="BD289" s="543" t="s">
        <v>410</v>
      </c>
      <c r="BE289" s="544" t="s">
        <v>644</v>
      </c>
    </row>
    <row r="290" spans="54:57">
      <c r="BB290" s="545">
        <v>70851</v>
      </c>
      <c r="BC290" s="543" t="str">
        <f t="shared" si="4"/>
        <v>札幌市東区北五十一条東</v>
      </c>
      <c r="BD290" s="543" t="s">
        <v>410</v>
      </c>
      <c r="BE290" s="544" t="s">
        <v>645</v>
      </c>
    </row>
    <row r="291" spans="54:57">
      <c r="BB291" s="545">
        <v>70852</v>
      </c>
      <c r="BC291" s="543" t="str">
        <f t="shared" si="4"/>
        <v>札幌市東区栄町</v>
      </c>
      <c r="BD291" s="543" t="s">
        <v>410</v>
      </c>
      <c r="BE291" s="544" t="s">
        <v>646</v>
      </c>
    </row>
    <row r="292" spans="54:57">
      <c r="BB292" s="545">
        <v>650043</v>
      </c>
      <c r="BC292" s="543" t="str">
        <f t="shared" si="4"/>
        <v>札幌市東区苗穂町</v>
      </c>
      <c r="BD292" s="543" t="s">
        <v>410</v>
      </c>
      <c r="BE292" s="544" t="s">
        <v>647</v>
      </c>
    </row>
    <row r="293" spans="54:57">
      <c r="BB293" s="545">
        <v>70001</v>
      </c>
      <c r="BC293" s="543" t="str">
        <f t="shared" si="4"/>
        <v>札幌市東区中沼一条</v>
      </c>
      <c r="BD293" s="543" t="s">
        <v>410</v>
      </c>
      <c r="BE293" s="544" t="s">
        <v>648</v>
      </c>
    </row>
    <row r="294" spans="54:57">
      <c r="BB294" s="545">
        <v>70002</v>
      </c>
      <c r="BC294" s="543" t="str">
        <f t="shared" si="4"/>
        <v>札幌市東区中沼二条</v>
      </c>
      <c r="BD294" s="543" t="s">
        <v>410</v>
      </c>
      <c r="BE294" s="544" t="s">
        <v>649</v>
      </c>
    </row>
    <row r="295" spans="54:57">
      <c r="BB295" s="545">
        <v>70003</v>
      </c>
      <c r="BC295" s="543" t="str">
        <f t="shared" si="4"/>
        <v>札幌市東区中沼三条</v>
      </c>
      <c r="BD295" s="543" t="s">
        <v>410</v>
      </c>
      <c r="BE295" s="544" t="s">
        <v>650</v>
      </c>
    </row>
    <row r="296" spans="54:57">
      <c r="BB296" s="545">
        <v>70004</v>
      </c>
      <c r="BC296" s="543" t="str">
        <f t="shared" si="4"/>
        <v>札幌市東区中沼四条</v>
      </c>
      <c r="BD296" s="543" t="s">
        <v>410</v>
      </c>
      <c r="BE296" s="544" t="s">
        <v>651</v>
      </c>
    </row>
    <row r="297" spans="54:57">
      <c r="BB297" s="545">
        <v>70005</v>
      </c>
      <c r="BC297" s="543" t="str">
        <f t="shared" si="4"/>
        <v>札幌市東区中沼五条</v>
      </c>
      <c r="BD297" s="543" t="s">
        <v>410</v>
      </c>
      <c r="BE297" s="544" t="s">
        <v>652</v>
      </c>
    </row>
    <row r="298" spans="54:57">
      <c r="BB298" s="545">
        <v>70006</v>
      </c>
      <c r="BC298" s="543" t="str">
        <f t="shared" si="4"/>
        <v>札幌市東区中沼六条</v>
      </c>
      <c r="BD298" s="543" t="s">
        <v>410</v>
      </c>
      <c r="BE298" s="544" t="s">
        <v>653</v>
      </c>
    </row>
    <row r="299" spans="54:57">
      <c r="BB299" s="545">
        <v>70890</v>
      </c>
      <c r="BC299" s="543" t="str">
        <f t="shared" si="4"/>
        <v>札幌市東区中沼町</v>
      </c>
      <c r="BD299" s="543" t="s">
        <v>410</v>
      </c>
      <c r="BE299" s="544" t="s">
        <v>654</v>
      </c>
    </row>
    <row r="300" spans="54:57">
      <c r="BB300" s="545">
        <v>70891</v>
      </c>
      <c r="BC300" s="543" t="str">
        <f t="shared" si="4"/>
        <v>札幌市東区中沼西一条</v>
      </c>
      <c r="BD300" s="543" t="s">
        <v>410</v>
      </c>
      <c r="BE300" s="544" t="s">
        <v>655</v>
      </c>
    </row>
    <row r="301" spans="54:57">
      <c r="BB301" s="545">
        <v>70892</v>
      </c>
      <c r="BC301" s="543" t="str">
        <f t="shared" si="4"/>
        <v>札幌市東区中沼西二条</v>
      </c>
      <c r="BD301" s="543" t="s">
        <v>410</v>
      </c>
      <c r="BE301" s="544" t="s">
        <v>656</v>
      </c>
    </row>
    <row r="302" spans="54:57">
      <c r="BB302" s="545">
        <v>70893</v>
      </c>
      <c r="BC302" s="543" t="str">
        <f t="shared" si="4"/>
        <v>札幌市東区中沼西三条</v>
      </c>
      <c r="BD302" s="543" t="s">
        <v>410</v>
      </c>
      <c r="BE302" s="544" t="s">
        <v>657</v>
      </c>
    </row>
    <row r="303" spans="54:57">
      <c r="BB303" s="545">
        <v>70894</v>
      </c>
      <c r="BC303" s="543" t="str">
        <f t="shared" si="4"/>
        <v>札幌市東区中沼西四条</v>
      </c>
      <c r="BD303" s="543" t="s">
        <v>410</v>
      </c>
      <c r="BE303" s="544" t="s">
        <v>658</v>
      </c>
    </row>
    <row r="304" spans="54:57">
      <c r="BB304" s="545">
        <v>70895</v>
      </c>
      <c r="BC304" s="543" t="str">
        <f t="shared" si="4"/>
        <v>札幌市東区中沼西五条</v>
      </c>
      <c r="BD304" s="543" t="s">
        <v>410</v>
      </c>
      <c r="BE304" s="544" t="s">
        <v>659</v>
      </c>
    </row>
    <row r="305" spans="54:57">
      <c r="BB305" s="545">
        <v>70821</v>
      </c>
      <c r="BC305" s="543" t="str">
        <f t="shared" si="4"/>
        <v>札幌市東区東雁来一条</v>
      </c>
      <c r="BD305" s="543" t="s">
        <v>410</v>
      </c>
      <c r="BE305" s="544" t="s">
        <v>660</v>
      </c>
    </row>
    <row r="306" spans="54:57">
      <c r="BB306" s="545">
        <v>70822</v>
      </c>
      <c r="BC306" s="543" t="str">
        <f t="shared" si="4"/>
        <v>札幌市東区東雁来二条</v>
      </c>
      <c r="BD306" s="543" t="s">
        <v>410</v>
      </c>
      <c r="BE306" s="544" t="s">
        <v>661</v>
      </c>
    </row>
    <row r="307" spans="54:57">
      <c r="BB307" s="545">
        <v>70823</v>
      </c>
      <c r="BC307" s="543" t="str">
        <f t="shared" si="4"/>
        <v>札幌市東区東雁来三条</v>
      </c>
      <c r="BD307" s="543" t="s">
        <v>410</v>
      </c>
      <c r="BE307" s="544" t="s">
        <v>662</v>
      </c>
    </row>
    <row r="308" spans="54:57">
      <c r="BB308" s="545">
        <v>70824</v>
      </c>
      <c r="BC308" s="543" t="str">
        <f t="shared" si="4"/>
        <v>札幌市東区東雁来四条</v>
      </c>
      <c r="BD308" s="543" t="s">
        <v>410</v>
      </c>
      <c r="BE308" s="544" t="s">
        <v>663</v>
      </c>
    </row>
    <row r="309" spans="54:57">
      <c r="BB309" s="545">
        <v>70825</v>
      </c>
      <c r="BC309" s="543" t="str">
        <f t="shared" si="4"/>
        <v>札幌市東区東雁来五条</v>
      </c>
      <c r="BD309" s="543" t="s">
        <v>410</v>
      </c>
      <c r="BE309" s="544" t="s">
        <v>664</v>
      </c>
    </row>
    <row r="310" spans="54:57">
      <c r="BB310" s="545">
        <v>70826</v>
      </c>
      <c r="BC310" s="543" t="str">
        <f t="shared" si="4"/>
        <v>札幌市東区東雁来六条</v>
      </c>
      <c r="BD310" s="543" t="s">
        <v>410</v>
      </c>
      <c r="BE310" s="544" t="s">
        <v>665</v>
      </c>
    </row>
    <row r="311" spans="54:57">
      <c r="BB311" s="545">
        <v>70827</v>
      </c>
      <c r="BC311" s="543" t="str">
        <f t="shared" si="4"/>
        <v>札幌市東区東雁来七条</v>
      </c>
      <c r="BD311" s="543" t="s">
        <v>410</v>
      </c>
      <c r="BE311" s="544" t="s">
        <v>666</v>
      </c>
    </row>
    <row r="312" spans="54:57">
      <c r="BB312" s="545">
        <v>70828</v>
      </c>
      <c r="BC312" s="543" t="str">
        <f t="shared" si="4"/>
        <v>札幌市東区東雁来八条</v>
      </c>
      <c r="BD312" s="543" t="s">
        <v>410</v>
      </c>
      <c r="BE312" s="544" t="s">
        <v>667</v>
      </c>
    </row>
    <row r="313" spans="54:57">
      <c r="BB313" s="545">
        <v>70829</v>
      </c>
      <c r="BC313" s="543" t="str">
        <f t="shared" si="4"/>
        <v>札幌市東区東雁来九条</v>
      </c>
      <c r="BD313" s="543" t="s">
        <v>410</v>
      </c>
      <c r="BE313" s="544" t="s">
        <v>668</v>
      </c>
    </row>
    <row r="314" spans="54:57">
      <c r="BB314" s="545">
        <v>70030</v>
      </c>
      <c r="BC314" s="543" t="str">
        <f t="shared" si="4"/>
        <v>札幌市東区東雁来十条</v>
      </c>
      <c r="BD314" s="543" t="s">
        <v>410</v>
      </c>
      <c r="BE314" s="544" t="s">
        <v>669</v>
      </c>
    </row>
    <row r="315" spans="54:57">
      <c r="BB315" s="545">
        <v>70031</v>
      </c>
      <c r="BC315" s="543" t="str">
        <f t="shared" si="4"/>
        <v>札幌市東区東雁来十一条</v>
      </c>
      <c r="BD315" s="543" t="s">
        <v>410</v>
      </c>
      <c r="BE315" s="544" t="s">
        <v>670</v>
      </c>
    </row>
    <row r="316" spans="54:57">
      <c r="BB316" s="545">
        <v>70032</v>
      </c>
      <c r="BC316" s="543" t="str">
        <f t="shared" si="4"/>
        <v>札幌市東区東雁来十二条</v>
      </c>
      <c r="BD316" s="543" t="s">
        <v>410</v>
      </c>
      <c r="BE316" s="544" t="s">
        <v>671</v>
      </c>
    </row>
    <row r="317" spans="54:57">
      <c r="BB317" s="545">
        <v>70033</v>
      </c>
      <c r="BC317" s="543" t="str">
        <f t="shared" si="4"/>
        <v>札幌市東区東雁来十三条</v>
      </c>
      <c r="BD317" s="543" t="s">
        <v>410</v>
      </c>
      <c r="BE317" s="544" t="s">
        <v>672</v>
      </c>
    </row>
    <row r="318" spans="54:57">
      <c r="BB318" s="545">
        <v>70034</v>
      </c>
      <c r="BC318" s="543" t="str">
        <f t="shared" si="4"/>
        <v>札幌市東区東雁来十四条</v>
      </c>
      <c r="BD318" s="543" t="s">
        <v>410</v>
      </c>
      <c r="BE318" s="544" t="s">
        <v>673</v>
      </c>
    </row>
    <row r="319" spans="54:57">
      <c r="BB319" s="545">
        <v>70820</v>
      </c>
      <c r="BC319" s="543" t="str">
        <f t="shared" ref="BC319:BC382" si="5">BD319&amp;BE319</f>
        <v>札幌市東区東雁来町</v>
      </c>
      <c r="BD319" s="543" t="s">
        <v>410</v>
      </c>
      <c r="BE319" s="544" t="s">
        <v>674</v>
      </c>
    </row>
    <row r="320" spans="54:57">
      <c r="BB320" s="545">
        <v>70801</v>
      </c>
      <c r="BC320" s="543" t="str">
        <f t="shared" si="5"/>
        <v>札幌市東区東苗穂一条</v>
      </c>
      <c r="BD320" s="543" t="s">
        <v>410</v>
      </c>
      <c r="BE320" s="544" t="s">
        <v>675</v>
      </c>
    </row>
    <row r="321" spans="54:57">
      <c r="BB321" s="545">
        <v>70802</v>
      </c>
      <c r="BC321" s="543" t="str">
        <f t="shared" si="5"/>
        <v>札幌市東区東苗穂二条</v>
      </c>
      <c r="BD321" s="543" t="s">
        <v>410</v>
      </c>
      <c r="BE321" s="544" t="s">
        <v>676</v>
      </c>
    </row>
    <row r="322" spans="54:57">
      <c r="BB322" s="545">
        <v>70803</v>
      </c>
      <c r="BC322" s="543" t="str">
        <f t="shared" si="5"/>
        <v>札幌市東区東苗穂三条</v>
      </c>
      <c r="BD322" s="543" t="s">
        <v>410</v>
      </c>
      <c r="BE322" s="544" t="s">
        <v>677</v>
      </c>
    </row>
    <row r="323" spans="54:57">
      <c r="BB323" s="545">
        <v>70804</v>
      </c>
      <c r="BC323" s="543" t="str">
        <f t="shared" si="5"/>
        <v>札幌市東区東苗穂四条</v>
      </c>
      <c r="BD323" s="543" t="s">
        <v>410</v>
      </c>
      <c r="BE323" s="544" t="s">
        <v>678</v>
      </c>
    </row>
    <row r="324" spans="54:57">
      <c r="BB324" s="545">
        <v>70805</v>
      </c>
      <c r="BC324" s="543" t="str">
        <f t="shared" si="5"/>
        <v>札幌市東区東苗穂五条</v>
      </c>
      <c r="BD324" s="543" t="s">
        <v>410</v>
      </c>
      <c r="BE324" s="544" t="s">
        <v>679</v>
      </c>
    </row>
    <row r="325" spans="54:57">
      <c r="BB325" s="545">
        <v>70806</v>
      </c>
      <c r="BC325" s="543" t="str">
        <f t="shared" si="5"/>
        <v>札幌市東区東苗穂六条</v>
      </c>
      <c r="BD325" s="543" t="s">
        <v>410</v>
      </c>
      <c r="BE325" s="544" t="s">
        <v>680</v>
      </c>
    </row>
    <row r="326" spans="54:57">
      <c r="BB326" s="545">
        <v>70807</v>
      </c>
      <c r="BC326" s="543" t="str">
        <f t="shared" si="5"/>
        <v>札幌市東区東苗穂七条</v>
      </c>
      <c r="BD326" s="543" t="s">
        <v>410</v>
      </c>
      <c r="BE326" s="544" t="s">
        <v>681</v>
      </c>
    </row>
    <row r="327" spans="54:57">
      <c r="BB327" s="545">
        <v>70808</v>
      </c>
      <c r="BC327" s="543" t="str">
        <f t="shared" si="5"/>
        <v>札幌市東区東苗穂八条</v>
      </c>
      <c r="BD327" s="543" t="s">
        <v>410</v>
      </c>
      <c r="BE327" s="544" t="s">
        <v>682</v>
      </c>
    </row>
    <row r="328" spans="54:57">
      <c r="BB328" s="545">
        <v>70809</v>
      </c>
      <c r="BC328" s="543" t="str">
        <f t="shared" si="5"/>
        <v>札幌市東区東苗穂九条</v>
      </c>
      <c r="BD328" s="543" t="s">
        <v>410</v>
      </c>
      <c r="BE328" s="544" t="s">
        <v>683</v>
      </c>
    </row>
    <row r="329" spans="54:57">
      <c r="BB329" s="545">
        <v>70810</v>
      </c>
      <c r="BC329" s="543" t="str">
        <f t="shared" si="5"/>
        <v>札幌市東区東苗穂十条</v>
      </c>
      <c r="BD329" s="543" t="s">
        <v>410</v>
      </c>
      <c r="BE329" s="544" t="s">
        <v>684</v>
      </c>
    </row>
    <row r="330" spans="54:57">
      <c r="BB330" s="545">
        <v>70811</v>
      </c>
      <c r="BC330" s="543" t="str">
        <f t="shared" si="5"/>
        <v>札幌市東区東苗穂十一条</v>
      </c>
      <c r="BD330" s="543" t="s">
        <v>410</v>
      </c>
      <c r="BE330" s="544" t="s">
        <v>685</v>
      </c>
    </row>
    <row r="331" spans="54:57">
      <c r="BB331" s="545">
        <v>70812</v>
      </c>
      <c r="BC331" s="543" t="str">
        <f t="shared" si="5"/>
        <v>札幌市東区東苗穂十二条</v>
      </c>
      <c r="BD331" s="543" t="s">
        <v>410</v>
      </c>
      <c r="BE331" s="544" t="s">
        <v>686</v>
      </c>
    </row>
    <row r="332" spans="54:57">
      <c r="BB332" s="545">
        <v>70813</v>
      </c>
      <c r="BC332" s="543" t="str">
        <f t="shared" si="5"/>
        <v>札幌市東区東苗穂十三条</v>
      </c>
      <c r="BD332" s="543" t="s">
        <v>410</v>
      </c>
      <c r="BE332" s="544" t="s">
        <v>687</v>
      </c>
    </row>
    <row r="333" spans="54:57">
      <c r="BB333" s="545">
        <v>70814</v>
      </c>
      <c r="BC333" s="543" t="str">
        <f t="shared" si="5"/>
        <v>札幌市東区東苗穂十四条</v>
      </c>
      <c r="BD333" s="543" t="s">
        <v>410</v>
      </c>
      <c r="BE333" s="544" t="s">
        <v>688</v>
      </c>
    </row>
    <row r="334" spans="54:57">
      <c r="BB334" s="545">
        <v>70815</v>
      </c>
      <c r="BC334" s="543" t="str">
        <f t="shared" si="5"/>
        <v>札幌市東区東苗穂十五条</v>
      </c>
      <c r="BD334" s="543" t="s">
        <v>410</v>
      </c>
      <c r="BE334" s="544" t="s">
        <v>689</v>
      </c>
    </row>
    <row r="335" spans="54:57">
      <c r="BB335" s="545">
        <v>70819</v>
      </c>
      <c r="BC335" s="543" t="str">
        <f t="shared" si="5"/>
        <v>札幌市東区東苗穂町</v>
      </c>
      <c r="BD335" s="543" t="s">
        <v>410</v>
      </c>
      <c r="BE335" s="544" t="s">
        <v>690</v>
      </c>
    </row>
    <row r="336" spans="54:57">
      <c r="BB336" s="545">
        <v>70861</v>
      </c>
      <c r="BC336" s="543" t="str">
        <f t="shared" si="5"/>
        <v>札幌市東区伏古一条</v>
      </c>
      <c r="BD336" s="543" t="s">
        <v>410</v>
      </c>
      <c r="BE336" s="544" t="s">
        <v>691</v>
      </c>
    </row>
    <row r="337" spans="54:57">
      <c r="BB337" s="545">
        <v>70862</v>
      </c>
      <c r="BC337" s="543" t="str">
        <f t="shared" si="5"/>
        <v>札幌市東区伏古二条</v>
      </c>
      <c r="BD337" s="543" t="s">
        <v>410</v>
      </c>
      <c r="BE337" s="544" t="s">
        <v>692</v>
      </c>
    </row>
    <row r="338" spans="54:57">
      <c r="BB338" s="545">
        <v>70863</v>
      </c>
      <c r="BC338" s="543" t="str">
        <f t="shared" si="5"/>
        <v>札幌市東区伏古三条</v>
      </c>
      <c r="BD338" s="543" t="s">
        <v>410</v>
      </c>
      <c r="BE338" s="544" t="s">
        <v>693</v>
      </c>
    </row>
    <row r="339" spans="54:57">
      <c r="BB339" s="545">
        <v>70864</v>
      </c>
      <c r="BC339" s="543" t="str">
        <f t="shared" si="5"/>
        <v>札幌市東区伏古四条</v>
      </c>
      <c r="BD339" s="543" t="s">
        <v>410</v>
      </c>
      <c r="BE339" s="544" t="s">
        <v>694</v>
      </c>
    </row>
    <row r="340" spans="54:57">
      <c r="BB340" s="545">
        <v>70865</v>
      </c>
      <c r="BC340" s="543" t="str">
        <f t="shared" si="5"/>
        <v>札幌市東区伏古五条</v>
      </c>
      <c r="BD340" s="543" t="s">
        <v>410</v>
      </c>
      <c r="BE340" s="544" t="s">
        <v>695</v>
      </c>
    </row>
    <row r="341" spans="54:57">
      <c r="BB341" s="545">
        <v>70866</v>
      </c>
      <c r="BC341" s="543" t="str">
        <f t="shared" si="5"/>
        <v>札幌市東区伏古六条</v>
      </c>
      <c r="BD341" s="543" t="s">
        <v>410</v>
      </c>
      <c r="BE341" s="544" t="s">
        <v>696</v>
      </c>
    </row>
    <row r="342" spans="54:57">
      <c r="BB342" s="545">
        <v>70867</v>
      </c>
      <c r="BC342" s="543" t="str">
        <f t="shared" si="5"/>
        <v>札幌市東区伏古七条</v>
      </c>
      <c r="BD342" s="543" t="s">
        <v>410</v>
      </c>
      <c r="BE342" s="544" t="s">
        <v>697</v>
      </c>
    </row>
    <row r="343" spans="54:57">
      <c r="BB343" s="545">
        <v>70868</v>
      </c>
      <c r="BC343" s="543" t="str">
        <f t="shared" si="5"/>
        <v>札幌市東区伏古八条</v>
      </c>
      <c r="BD343" s="543" t="s">
        <v>410</v>
      </c>
      <c r="BE343" s="544" t="s">
        <v>698</v>
      </c>
    </row>
    <row r="344" spans="54:57">
      <c r="BB344" s="545">
        <v>70869</v>
      </c>
      <c r="BC344" s="543" t="str">
        <f t="shared" si="5"/>
        <v>札幌市東区伏古九条</v>
      </c>
      <c r="BD344" s="543" t="s">
        <v>410</v>
      </c>
      <c r="BE344" s="544" t="s">
        <v>699</v>
      </c>
    </row>
    <row r="345" spans="54:57">
      <c r="BB345" s="545">
        <v>70870</v>
      </c>
      <c r="BC345" s="543" t="str">
        <f t="shared" si="5"/>
        <v>札幌市東区伏古十条</v>
      </c>
      <c r="BD345" s="543" t="s">
        <v>410</v>
      </c>
      <c r="BE345" s="544" t="s">
        <v>700</v>
      </c>
    </row>
    <row r="346" spans="54:57">
      <c r="BB346" s="545">
        <v>70871</v>
      </c>
      <c r="BC346" s="543" t="str">
        <f t="shared" si="5"/>
        <v>札幌市東区伏古十一条</v>
      </c>
      <c r="BD346" s="543" t="s">
        <v>410</v>
      </c>
      <c r="BE346" s="544" t="s">
        <v>701</v>
      </c>
    </row>
    <row r="347" spans="54:57">
      <c r="BB347" s="545">
        <v>70872</v>
      </c>
      <c r="BC347" s="543" t="str">
        <f t="shared" si="5"/>
        <v>札幌市東区伏古十二条</v>
      </c>
      <c r="BD347" s="543" t="s">
        <v>410</v>
      </c>
      <c r="BE347" s="544" t="s">
        <v>702</v>
      </c>
    </row>
    <row r="348" spans="54:57">
      <c r="BB348" s="545">
        <v>70873</v>
      </c>
      <c r="BC348" s="543" t="str">
        <f t="shared" si="5"/>
        <v>札幌市東区伏古十三条</v>
      </c>
      <c r="BD348" s="543" t="s">
        <v>410</v>
      </c>
      <c r="BE348" s="544" t="s">
        <v>703</v>
      </c>
    </row>
    <row r="349" spans="54:57">
      <c r="BB349" s="545">
        <v>70874</v>
      </c>
      <c r="BC349" s="543" t="str">
        <f t="shared" si="5"/>
        <v>札幌市東区伏古十四条</v>
      </c>
      <c r="BD349" s="543" t="s">
        <v>410</v>
      </c>
      <c r="BE349" s="544" t="s">
        <v>704</v>
      </c>
    </row>
    <row r="350" spans="54:57">
      <c r="BB350" s="545">
        <v>650041</v>
      </c>
      <c r="BC350" s="543" t="str">
        <f t="shared" si="5"/>
        <v>札幌市東区本町一条</v>
      </c>
      <c r="BD350" s="543" t="s">
        <v>410</v>
      </c>
      <c r="BE350" s="544" t="s">
        <v>705</v>
      </c>
    </row>
    <row r="351" spans="54:57">
      <c r="BB351" s="545">
        <v>650042</v>
      </c>
      <c r="BC351" s="543" t="str">
        <f t="shared" si="5"/>
        <v>札幌市東区本町二条</v>
      </c>
      <c r="BD351" s="543" t="s">
        <v>410</v>
      </c>
      <c r="BE351" s="544" t="s">
        <v>706</v>
      </c>
    </row>
    <row r="352" spans="54:57">
      <c r="BB352" s="545">
        <v>70011</v>
      </c>
      <c r="BC352" s="543" t="str">
        <f t="shared" si="5"/>
        <v>札幌市東区モエレ沼公園</v>
      </c>
      <c r="BD352" s="543" t="s">
        <v>410</v>
      </c>
      <c r="BE352" s="544" t="s">
        <v>707</v>
      </c>
    </row>
    <row r="353" spans="54:57">
      <c r="BB353" s="545">
        <v>30000</v>
      </c>
      <c r="BC353" s="543" t="str">
        <f t="shared" si="5"/>
        <v>札幌市白石区</v>
      </c>
      <c r="BD353" s="543" t="s">
        <v>411</v>
      </c>
    </row>
    <row r="354" spans="54:57">
      <c r="BB354" s="545">
        <v>30851</v>
      </c>
      <c r="BC354" s="543" t="str">
        <f t="shared" si="5"/>
        <v>札幌市白石区川北一条</v>
      </c>
      <c r="BD354" s="543" t="s">
        <v>411</v>
      </c>
      <c r="BE354" s="544" t="s">
        <v>708</v>
      </c>
    </row>
    <row r="355" spans="54:57">
      <c r="BB355" s="545">
        <v>30852</v>
      </c>
      <c r="BC355" s="543" t="str">
        <f t="shared" si="5"/>
        <v>札幌市白石区川北二条</v>
      </c>
      <c r="BD355" s="543" t="s">
        <v>411</v>
      </c>
      <c r="BE355" s="544" t="s">
        <v>709</v>
      </c>
    </row>
    <row r="356" spans="54:57">
      <c r="BB356" s="545">
        <v>30853</v>
      </c>
      <c r="BC356" s="543" t="str">
        <f t="shared" si="5"/>
        <v>札幌市白石区川北三条</v>
      </c>
      <c r="BD356" s="543" t="s">
        <v>411</v>
      </c>
      <c r="BE356" s="544" t="s">
        <v>710</v>
      </c>
    </row>
    <row r="357" spans="54:57">
      <c r="BB357" s="545">
        <v>30854</v>
      </c>
      <c r="BC357" s="543" t="str">
        <f t="shared" si="5"/>
        <v>札幌市白石区川北四条</v>
      </c>
      <c r="BD357" s="543" t="s">
        <v>411</v>
      </c>
      <c r="BE357" s="544" t="s">
        <v>711</v>
      </c>
    </row>
    <row r="358" spans="54:57">
      <c r="BB358" s="545">
        <v>30855</v>
      </c>
      <c r="BC358" s="543" t="str">
        <f t="shared" si="5"/>
        <v>札幌市白石区川北五条</v>
      </c>
      <c r="BD358" s="543" t="s">
        <v>411</v>
      </c>
      <c r="BE358" s="544" t="s">
        <v>712</v>
      </c>
    </row>
    <row r="359" spans="54:57">
      <c r="BB359" s="545">
        <v>30869</v>
      </c>
      <c r="BC359" s="543" t="str">
        <f t="shared" si="5"/>
        <v>札幌市白石区川下</v>
      </c>
      <c r="BD359" s="543" t="s">
        <v>411</v>
      </c>
      <c r="BE359" s="544" t="s">
        <v>713</v>
      </c>
    </row>
    <row r="360" spans="54:57">
      <c r="BB360" s="545">
        <v>30861</v>
      </c>
      <c r="BC360" s="543" t="str">
        <f t="shared" si="5"/>
        <v>札幌市白石区川下一条</v>
      </c>
      <c r="BD360" s="543" t="s">
        <v>411</v>
      </c>
      <c r="BE360" s="544" t="s">
        <v>714</v>
      </c>
    </row>
    <row r="361" spans="54:57">
      <c r="BB361" s="545">
        <v>30862</v>
      </c>
      <c r="BC361" s="543" t="str">
        <f t="shared" si="5"/>
        <v>札幌市白石区川下二条</v>
      </c>
      <c r="BD361" s="543" t="s">
        <v>411</v>
      </c>
      <c r="BE361" s="544" t="s">
        <v>715</v>
      </c>
    </row>
    <row r="362" spans="54:57">
      <c r="BB362" s="545">
        <v>30863</v>
      </c>
      <c r="BC362" s="543" t="str">
        <f t="shared" si="5"/>
        <v>札幌市白石区川下三条</v>
      </c>
      <c r="BD362" s="543" t="s">
        <v>411</v>
      </c>
      <c r="BE362" s="544" t="s">
        <v>716</v>
      </c>
    </row>
    <row r="363" spans="54:57">
      <c r="BB363" s="545">
        <v>30864</v>
      </c>
      <c r="BC363" s="543" t="str">
        <f t="shared" si="5"/>
        <v>札幌市白石区川下四条</v>
      </c>
      <c r="BD363" s="543" t="s">
        <v>411</v>
      </c>
      <c r="BE363" s="544" t="s">
        <v>717</v>
      </c>
    </row>
    <row r="364" spans="54:57">
      <c r="BB364" s="545">
        <v>30865</v>
      </c>
      <c r="BC364" s="543" t="str">
        <f t="shared" si="5"/>
        <v>札幌市白石区川下五条</v>
      </c>
      <c r="BD364" s="543" t="s">
        <v>411</v>
      </c>
      <c r="BE364" s="544" t="s">
        <v>718</v>
      </c>
    </row>
    <row r="365" spans="54:57">
      <c r="BB365" s="545">
        <v>30859</v>
      </c>
      <c r="BC365" s="543" t="str">
        <f t="shared" si="5"/>
        <v>札幌市白石区川北</v>
      </c>
      <c r="BD365" s="543" t="s">
        <v>411</v>
      </c>
      <c r="BE365" s="544" t="s">
        <v>719</v>
      </c>
    </row>
    <row r="366" spans="54:57">
      <c r="BB366" s="545">
        <v>30801</v>
      </c>
      <c r="BC366" s="543" t="str">
        <f t="shared" si="5"/>
        <v>札幌市白石区菊水一条</v>
      </c>
      <c r="BD366" s="543" t="s">
        <v>411</v>
      </c>
      <c r="BE366" s="544" t="s">
        <v>720</v>
      </c>
    </row>
    <row r="367" spans="54:57">
      <c r="BB367" s="545">
        <v>30802</v>
      </c>
      <c r="BC367" s="543" t="str">
        <f t="shared" si="5"/>
        <v>札幌市白石区菊水二条</v>
      </c>
      <c r="BD367" s="543" t="s">
        <v>411</v>
      </c>
      <c r="BE367" s="544" t="s">
        <v>721</v>
      </c>
    </row>
    <row r="368" spans="54:57">
      <c r="BB368" s="545">
        <v>30803</v>
      </c>
      <c r="BC368" s="543" t="str">
        <f t="shared" si="5"/>
        <v>札幌市白石区菊水三条</v>
      </c>
      <c r="BD368" s="543" t="s">
        <v>411</v>
      </c>
      <c r="BE368" s="544" t="s">
        <v>722</v>
      </c>
    </row>
    <row r="369" spans="54:57">
      <c r="BB369" s="545">
        <v>30804</v>
      </c>
      <c r="BC369" s="543" t="str">
        <f t="shared" si="5"/>
        <v>札幌市白石区菊水四条</v>
      </c>
      <c r="BD369" s="543" t="s">
        <v>411</v>
      </c>
      <c r="BE369" s="544" t="s">
        <v>723</v>
      </c>
    </row>
    <row r="370" spans="54:57">
      <c r="BB370" s="545">
        <v>30805</v>
      </c>
      <c r="BC370" s="543" t="str">
        <f t="shared" si="5"/>
        <v>札幌市白石区菊水五条</v>
      </c>
      <c r="BD370" s="543" t="s">
        <v>411</v>
      </c>
      <c r="BE370" s="544" t="s">
        <v>724</v>
      </c>
    </row>
    <row r="371" spans="54:57">
      <c r="BB371" s="545">
        <v>30806</v>
      </c>
      <c r="BC371" s="543" t="str">
        <f t="shared" si="5"/>
        <v>札幌市白石区菊水六条</v>
      </c>
      <c r="BD371" s="543" t="s">
        <v>411</v>
      </c>
      <c r="BE371" s="544" t="s">
        <v>725</v>
      </c>
    </row>
    <row r="372" spans="54:57">
      <c r="BB372" s="545">
        <v>30807</v>
      </c>
      <c r="BC372" s="543" t="str">
        <f t="shared" si="5"/>
        <v>札幌市白石区菊水七条</v>
      </c>
      <c r="BD372" s="543" t="s">
        <v>411</v>
      </c>
      <c r="BE372" s="544" t="s">
        <v>726</v>
      </c>
    </row>
    <row r="373" spans="54:57">
      <c r="BB373" s="545">
        <v>30808</v>
      </c>
      <c r="BC373" s="543" t="str">
        <f t="shared" si="5"/>
        <v>札幌市白石区菊水八条</v>
      </c>
      <c r="BD373" s="543" t="s">
        <v>411</v>
      </c>
      <c r="BE373" s="544" t="s">
        <v>727</v>
      </c>
    </row>
    <row r="374" spans="54:57">
      <c r="BB374" s="545">
        <v>30809</v>
      </c>
      <c r="BC374" s="543" t="str">
        <f t="shared" si="5"/>
        <v>札幌市白石区菊水九条</v>
      </c>
      <c r="BD374" s="543" t="s">
        <v>411</v>
      </c>
      <c r="BE374" s="544" t="s">
        <v>728</v>
      </c>
    </row>
    <row r="375" spans="54:57">
      <c r="BB375" s="545">
        <v>30811</v>
      </c>
      <c r="BC375" s="543" t="str">
        <f t="shared" si="5"/>
        <v>札幌市白石区菊水上町一条</v>
      </c>
      <c r="BD375" s="543" t="s">
        <v>411</v>
      </c>
      <c r="BE375" s="544" t="s">
        <v>729</v>
      </c>
    </row>
    <row r="376" spans="54:57">
      <c r="BB376" s="545">
        <v>30812</v>
      </c>
      <c r="BC376" s="543" t="str">
        <f t="shared" si="5"/>
        <v>札幌市白石区菊水上町二条</v>
      </c>
      <c r="BD376" s="543" t="s">
        <v>411</v>
      </c>
      <c r="BE376" s="544" t="s">
        <v>730</v>
      </c>
    </row>
    <row r="377" spans="54:57">
      <c r="BB377" s="545">
        <v>30813</v>
      </c>
      <c r="BC377" s="543" t="str">
        <f t="shared" si="5"/>
        <v>札幌市白石区菊水上町三条</v>
      </c>
      <c r="BD377" s="543" t="s">
        <v>411</v>
      </c>
      <c r="BE377" s="544" t="s">
        <v>731</v>
      </c>
    </row>
    <row r="378" spans="54:57">
      <c r="BB378" s="545">
        <v>30814</v>
      </c>
      <c r="BC378" s="543" t="str">
        <f t="shared" si="5"/>
        <v>札幌市白石区菊水上町四条</v>
      </c>
      <c r="BD378" s="543" t="s">
        <v>411</v>
      </c>
      <c r="BE378" s="544" t="s">
        <v>732</v>
      </c>
    </row>
    <row r="379" spans="54:57">
      <c r="BB379" s="545">
        <v>30821</v>
      </c>
      <c r="BC379" s="543" t="str">
        <f t="shared" si="5"/>
        <v>札幌市白石区菊水元町一条</v>
      </c>
      <c r="BD379" s="543" t="s">
        <v>411</v>
      </c>
      <c r="BE379" s="544" t="s">
        <v>733</v>
      </c>
    </row>
    <row r="380" spans="54:57">
      <c r="BB380" s="545">
        <v>30822</v>
      </c>
      <c r="BC380" s="543" t="str">
        <f t="shared" si="5"/>
        <v>札幌市白石区菊水元町二条</v>
      </c>
      <c r="BD380" s="543" t="s">
        <v>411</v>
      </c>
      <c r="BE380" s="544" t="s">
        <v>734</v>
      </c>
    </row>
    <row r="381" spans="54:57">
      <c r="BB381" s="545">
        <v>30823</v>
      </c>
      <c r="BC381" s="543" t="str">
        <f t="shared" si="5"/>
        <v>札幌市白石区菊水元町三条</v>
      </c>
      <c r="BD381" s="543" t="s">
        <v>411</v>
      </c>
      <c r="BE381" s="544" t="s">
        <v>735</v>
      </c>
    </row>
    <row r="382" spans="54:57">
      <c r="BB382" s="545">
        <v>30824</v>
      </c>
      <c r="BC382" s="543" t="str">
        <f t="shared" si="5"/>
        <v>札幌市白石区菊水元町四条</v>
      </c>
      <c r="BD382" s="543" t="s">
        <v>411</v>
      </c>
      <c r="BE382" s="544" t="s">
        <v>736</v>
      </c>
    </row>
    <row r="383" spans="54:57">
      <c r="BB383" s="545">
        <v>30825</v>
      </c>
      <c r="BC383" s="543" t="str">
        <f t="shared" ref="BC383:BC446" si="6">BD383&amp;BE383</f>
        <v>札幌市白石区菊水元町五条</v>
      </c>
      <c r="BD383" s="543" t="s">
        <v>411</v>
      </c>
      <c r="BE383" s="544" t="s">
        <v>737</v>
      </c>
    </row>
    <row r="384" spans="54:57">
      <c r="BB384" s="545">
        <v>30826</v>
      </c>
      <c r="BC384" s="543" t="str">
        <f t="shared" si="6"/>
        <v>札幌市白石区菊水元町六条</v>
      </c>
      <c r="BD384" s="543" t="s">
        <v>411</v>
      </c>
      <c r="BE384" s="544" t="s">
        <v>738</v>
      </c>
    </row>
    <row r="385" spans="54:57">
      <c r="BB385" s="545">
        <v>30827</v>
      </c>
      <c r="BC385" s="543" t="str">
        <f t="shared" si="6"/>
        <v>札幌市白石区菊水元町七条</v>
      </c>
      <c r="BD385" s="543" t="s">
        <v>411</v>
      </c>
      <c r="BE385" s="544" t="s">
        <v>739</v>
      </c>
    </row>
    <row r="386" spans="54:57">
      <c r="BB386" s="545">
        <v>30828</v>
      </c>
      <c r="BC386" s="543" t="str">
        <f t="shared" si="6"/>
        <v>札幌市白石区菊水元町八条</v>
      </c>
      <c r="BD386" s="543" t="s">
        <v>411</v>
      </c>
      <c r="BE386" s="544" t="s">
        <v>740</v>
      </c>
    </row>
    <row r="387" spans="54:57">
      <c r="BB387" s="545">
        <v>30829</v>
      </c>
      <c r="BC387" s="543" t="str">
        <f t="shared" si="6"/>
        <v>札幌市白石区菊水元町九条</v>
      </c>
      <c r="BD387" s="543" t="s">
        <v>411</v>
      </c>
      <c r="BE387" s="544" t="s">
        <v>741</v>
      </c>
    </row>
    <row r="388" spans="54:57">
      <c r="BB388" s="545">
        <v>30830</v>
      </c>
      <c r="BC388" s="543" t="str">
        <f t="shared" si="6"/>
        <v>札幌市白石区菊水元町十条</v>
      </c>
      <c r="BD388" s="543" t="s">
        <v>411</v>
      </c>
      <c r="BE388" s="544" t="s">
        <v>742</v>
      </c>
    </row>
    <row r="389" spans="54:57">
      <c r="BB389" s="545">
        <v>30849</v>
      </c>
      <c r="BC389" s="543" t="str">
        <f t="shared" si="6"/>
        <v>札幌市白石区北郷</v>
      </c>
      <c r="BD389" s="543" t="s">
        <v>411</v>
      </c>
      <c r="BE389" s="544" t="s">
        <v>743</v>
      </c>
    </row>
    <row r="390" spans="54:57">
      <c r="BB390" s="545">
        <v>30831</v>
      </c>
      <c r="BC390" s="543" t="str">
        <f t="shared" si="6"/>
        <v>札幌市白石区北郷一条</v>
      </c>
      <c r="BD390" s="543" t="s">
        <v>411</v>
      </c>
      <c r="BE390" s="544" t="s">
        <v>744</v>
      </c>
    </row>
    <row r="391" spans="54:57">
      <c r="BB391" s="545">
        <v>30832</v>
      </c>
      <c r="BC391" s="543" t="str">
        <f t="shared" si="6"/>
        <v>札幌市白石区北郷二条</v>
      </c>
      <c r="BD391" s="543" t="s">
        <v>411</v>
      </c>
      <c r="BE391" s="544" t="s">
        <v>745</v>
      </c>
    </row>
    <row r="392" spans="54:57">
      <c r="BB392" s="545">
        <v>30833</v>
      </c>
      <c r="BC392" s="543" t="str">
        <f t="shared" si="6"/>
        <v>札幌市白石区北郷三条</v>
      </c>
      <c r="BD392" s="543" t="s">
        <v>411</v>
      </c>
      <c r="BE392" s="544" t="s">
        <v>746</v>
      </c>
    </row>
    <row r="393" spans="54:57">
      <c r="BB393" s="545">
        <v>30834</v>
      </c>
      <c r="BC393" s="543" t="str">
        <f t="shared" si="6"/>
        <v>札幌市白石区北郷四条</v>
      </c>
      <c r="BD393" s="543" t="s">
        <v>411</v>
      </c>
      <c r="BE393" s="544" t="s">
        <v>747</v>
      </c>
    </row>
    <row r="394" spans="54:57">
      <c r="BB394" s="545">
        <v>30835</v>
      </c>
      <c r="BC394" s="543" t="str">
        <f t="shared" si="6"/>
        <v>札幌市白石区北郷五条</v>
      </c>
      <c r="BD394" s="543" t="s">
        <v>411</v>
      </c>
      <c r="BE394" s="544" t="s">
        <v>748</v>
      </c>
    </row>
    <row r="395" spans="54:57">
      <c r="BB395" s="545">
        <v>30836</v>
      </c>
      <c r="BC395" s="543" t="str">
        <f t="shared" si="6"/>
        <v>札幌市白石区北郷六条</v>
      </c>
      <c r="BD395" s="543" t="s">
        <v>411</v>
      </c>
      <c r="BE395" s="544" t="s">
        <v>749</v>
      </c>
    </row>
    <row r="396" spans="54:57">
      <c r="BB396" s="545">
        <v>30837</v>
      </c>
      <c r="BC396" s="543" t="str">
        <f t="shared" si="6"/>
        <v>札幌市白石区北郷七条</v>
      </c>
      <c r="BD396" s="543" t="s">
        <v>411</v>
      </c>
      <c r="BE396" s="544" t="s">
        <v>750</v>
      </c>
    </row>
    <row r="397" spans="54:57">
      <c r="BB397" s="545">
        <v>30838</v>
      </c>
      <c r="BC397" s="543" t="str">
        <f t="shared" si="6"/>
        <v>札幌市白石区北郷八条</v>
      </c>
      <c r="BD397" s="543" t="s">
        <v>411</v>
      </c>
      <c r="BE397" s="544" t="s">
        <v>751</v>
      </c>
    </row>
    <row r="398" spans="54:57">
      <c r="BB398" s="545">
        <v>30839</v>
      </c>
      <c r="BC398" s="543" t="str">
        <f t="shared" si="6"/>
        <v>札幌市白石区北郷九条</v>
      </c>
      <c r="BD398" s="543" t="s">
        <v>411</v>
      </c>
      <c r="BE398" s="544" t="s">
        <v>752</v>
      </c>
    </row>
    <row r="399" spans="54:57">
      <c r="BB399" s="545">
        <v>30840</v>
      </c>
      <c r="BC399" s="543" t="str">
        <f t="shared" si="6"/>
        <v>札幌市白石区北郷十条</v>
      </c>
      <c r="BD399" s="543" t="s">
        <v>411</v>
      </c>
      <c r="BE399" s="544" t="s">
        <v>753</v>
      </c>
    </row>
    <row r="400" spans="54:57">
      <c r="BB400" s="545">
        <v>30021</v>
      </c>
      <c r="BC400" s="543" t="str">
        <f t="shared" si="6"/>
        <v>札幌市白石区栄通</v>
      </c>
      <c r="BD400" s="543" t="s">
        <v>411</v>
      </c>
      <c r="BE400" s="544" t="s">
        <v>754</v>
      </c>
    </row>
    <row r="401" spans="54:57">
      <c r="BB401" s="545">
        <v>30011</v>
      </c>
      <c r="BC401" s="543" t="str">
        <f t="shared" si="6"/>
        <v>札幌市白石区中央一条</v>
      </c>
      <c r="BD401" s="543" t="s">
        <v>411</v>
      </c>
      <c r="BE401" s="544" t="s">
        <v>755</v>
      </c>
    </row>
    <row r="402" spans="54:57">
      <c r="BB402" s="545">
        <v>30012</v>
      </c>
      <c r="BC402" s="543" t="str">
        <f t="shared" si="6"/>
        <v>札幌市白石区中央二条</v>
      </c>
      <c r="BD402" s="543" t="s">
        <v>411</v>
      </c>
      <c r="BE402" s="544" t="s">
        <v>756</v>
      </c>
    </row>
    <row r="403" spans="54:57">
      <c r="BB403" s="545">
        <v>30013</v>
      </c>
      <c r="BC403" s="543" t="str">
        <f t="shared" si="6"/>
        <v>札幌市白石区中央三条</v>
      </c>
      <c r="BD403" s="543" t="s">
        <v>411</v>
      </c>
      <c r="BE403" s="544" t="s">
        <v>757</v>
      </c>
    </row>
    <row r="404" spans="54:57">
      <c r="BB404" s="545">
        <v>30022</v>
      </c>
      <c r="BC404" s="543" t="str">
        <f t="shared" si="6"/>
        <v>札幌市白石区南郷通</v>
      </c>
      <c r="BD404" s="543" t="s">
        <v>411</v>
      </c>
      <c r="BE404" s="544" t="s">
        <v>2118</v>
      </c>
    </row>
    <row r="405" spans="54:57">
      <c r="BB405" s="545">
        <v>30023</v>
      </c>
      <c r="BC405" s="543" t="str">
        <f t="shared" si="6"/>
        <v>札幌市白石区南郷通</v>
      </c>
      <c r="BD405" s="543" t="s">
        <v>411</v>
      </c>
      <c r="BE405" s="544" t="s">
        <v>2119</v>
      </c>
    </row>
    <row r="406" spans="54:57">
      <c r="BB406" s="545">
        <v>30001</v>
      </c>
      <c r="BC406" s="543" t="str">
        <f t="shared" si="6"/>
        <v>札幌市白石区東札幌一条</v>
      </c>
      <c r="BD406" s="543" t="s">
        <v>411</v>
      </c>
      <c r="BE406" s="544" t="s">
        <v>758</v>
      </c>
    </row>
    <row r="407" spans="54:57">
      <c r="BB407" s="545">
        <v>30002</v>
      </c>
      <c r="BC407" s="543" t="str">
        <f t="shared" si="6"/>
        <v>札幌市白石区東札幌二条</v>
      </c>
      <c r="BD407" s="543" t="s">
        <v>411</v>
      </c>
      <c r="BE407" s="544" t="s">
        <v>759</v>
      </c>
    </row>
    <row r="408" spans="54:57">
      <c r="BB408" s="545">
        <v>30003</v>
      </c>
      <c r="BC408" s="543" t="str">
        <f t="shared" si="6"/>
        <v>札幌市白石区東札幌三条</v>
      </c>
      <c r="BD408" s="543" t="s">
        <v>411</v>
      </c>
      <c r="BE408" s="544" t="s">
        <v>760</v>
      </c>
    </row>
    <row r="409" spans="54:57">
      <c r="BB409" s="545">
        <v>30004</v>
      </c>
      <c r="BC409" s="543" t="str">
        <f t="shared" si="6"/>
        <v>札幌市白石区東札幌四条</v>
      </c>
      <c r="BD409" s="543" t="s">
        <v>411</v>
      </c>
      <c r="BE409" s="544" t="s">
        <v>761</v>
      </c>
    </row>
    <row r="410" spans="54:57">
      <c r="BB410" s="545">
        <v>30005</v>
      </c>
      <c r="BC410" s="543" t="str">
        <f t="shared" si="6"/>
        <v>札幌市白石区東札幌五条</v>
      </c>
      <c r="BD410" s="543" t="s">
        <v>411</v>
      </c>
      <c r="BE410" s="544" t="s">
        <v>762</v>
      </c>
    </row>
    <row r="411" spans="54:57">
      <c r="BB411" s="545">
        <v>30006</v>
      </c>
      <c r="BC411" s="543" t="str">
        <f t="shared" si="6"/>
        <v>札幌市白石区東札幌六条</v>
      </c>
      <c r="BD411" s="543" t="s">
        <v>411</v>
      </c>
      <c r="BE411" s="544" t="s">
        <v>763</v>
      </c>
    </row>
    <row r="412" spans="54:57">
      <c r="BB412" s="545">
        <v>30876</v>
      </c>
      <c r="BC412" s="543" t="str">
        <f t="shared" si="6"/>
        <v>札幌市白石区東米里</v>
      </c>
      <c r="BD412" s="543" t="s">
        <v>411</v>
      </c>
      <c r="BE412" s="544" t="s">
        <v>764</v>
      </c>
    </row>
    <row r="413" spans="54:57">
      <c r="BB413" s="545">
        <v>30028</v>
      </c>
      <c r="BC413" s="543" t="str">
        <f t="shared" si="6"/>
        <v>札幌市白石区平和通</v>
      </c>
      <c r="BD413" s="543" t="s">
        <v>411</v>
      </c>
      <c r="BE413" s="544" t="s">
        <v>2120</v>
      </c>
    </row>
    <row r="414" spans="54:57">
      <c r="BB414" s="545">
        <v>30029</v>
      </c>
      <c r="BC414" s="543" t="str">
        <f t="shared" si="6"/>
        <v>札幌市白石区平和通</v>
      </c>
      <c r="BD414" s="543" t="s">
        <v>411</v>
      </c>
      <c r="BE414" s="544" t="s">
        <v>2121</v>
      </c>
    </row>
    <row r="415" spans="54:57">
      <c r="BB415" s="545">
        <v>30024</v>
      </c>
      <c r="BC415" s="543" t="str">
        <f t="shared" si="6"/>
        <v>札幌市白石区本郷通</v>
      </c>
      <c r="BD415" s="543" t="s">
        <v>411</v>
      </c>
      <c r="BE415" s="544" t="s">
        <v>2122</v>
      </c>
    </row>
    <row r="416" spans="54:57">
      <c r="BB416" s="545">
        <v>30025</v>
      </c>
      <c r="BC416" s="543" t="str">
        <f t="shared" si="6"/>
        <v>札幌市白石区本郷通</v>
      </c>
      <c r="BD416" s="543" t="s">
        <v>411</v>
      </c>
      <c r="BE416" s="544" t="s">
        <v>2123</v>
      </c>
    </row>
    <row r="417" spans="54:57">
      <c r="BB417" s="545">
        <v>30026</v>
      </c>
      <c r="BC417" s="543" t="str">
        <f t="shared" si="6"/>
        <v>札幌市白石区本通</v>
      </c>
      <c r="BD417" s="543" t="s">
        <v>411</v>
      </c>
      <c r="BE417" s="544" t="s">
        <v>2124</v>
      </c>
    </row>
    <row r="418" spans="54:57">
      <c r="BB418" s="545">
        <v>30027</v>
      </c>
      <c r="BC418" s="543" t="str">
        <f t="shared" si="6"/>
        <v>札幌市白石区本通</v>
      </c>
      <c r="BD418" s="543" t="s">
        <v>411</v>
      </c>
      <c r="BE418" s="544" t="s">
        <v>2125</v>
      </c>
    </row>
    <row r="419" spans="54:57">
      <c r="BB419" s="545">
        <v>30871</v>
      </c>
      <c r="BC419" s="543" t="str">
        <f t="shared" si="6"/>
        <v>札幌市白石区米里一条</v>
      </c>
      <c r="BD419" s="543" t="s">
        <v>411</v>
      </c>
      <c r="BE419" s="544" t="s">
        <v>765</v>
      </c>
    </row>
    <row r="420" spans="54:57">
      <c r="BB420" s="545">
        <v>30872</v>
      </c>
      <c r="BC420" s="543" t="str">
        <f t="shared" si="6"/>
        <v>札幌市白石区米里二条</v>
      </c>
      <c r="BD420" s="543" t="s">
        <v>411</v>
      </c>
      <c r="BE420" s="544" t="s">
        <v>766</v>
      </c>
    </row>
    <row r="421" spans="54:57">
      <c r="BB421" s="545">
        <v>30873</v>
      </c>
      <c r="BC421" s="543" t="str">
        <f t="shared" si="6"/>
        <v>札幌市白石区米里三条</v>
      </c>
      <c r="BD421" s="543" t="s">
        <v>411</v>
      </c>
      <c r="BE421" s="544" t="s">
        <v>767</v>
      </c>
    </row>
    <row r="422" spans="54:57">
      <c r="BB422" s="545">
        <v>30874</v>
      </c>
      <c r="BC422" s="543" t="str">
        <f t="shared" si="6"/>
        <v>札幌市白石区米里四条</v>
      </c>
      <c r="BD422" s="543" t="s">
        <v>411</v>
      </c>
      <c r="BE422" s="544" t="s">
        <v>768</v>
      </c>
    </row>
    <row r="423" spans="54:57">
      <c r="BB423" s="545">
        <v>30875</v>
      </c>
      <c r="BC423" s="543" t="str">
        <f t="shared" si="6"/>
        <v>札幌市白石区米里五条</v>
      </c>
      <c r="BD423" s="543" t="s">
        <v>411</v>
      </c>
      <c r="BE423" s="544" t="s">
        <v>769</v>
      </c>
    </row>
    <row r="424" spans="54:57">
      <c r="BB424" s="545">
        <v>30030</v>
      </c>
      <c r="BC424" s="543" t="str">
        <f t="shared" si="6"/>
        <v>札幌市白石区流通センター</v>
      </c>
      <c r="BD424" s="543" t="s">
        <v>411</v>
      </c>
      <c r="BE424" s="544" t="s">
        <v>770</v>
      </c>
    </row>
    <row r="425" spans="54:57">
      <c r="BB425" s="545">
        <v>620000</v>
      </c>
      <c r="BC425" s="543" t="str">
        <f t="shared" si="6"/>
        <v>札幌市豊平区</v>
      </c>
      <c r="BD425" s="543" t="s">
        <v>412</v>
      </c>
    </row>
    <row r="426" spans="54:57">
      <c r="BB426" s="545">
        <v>620911</v>
      </c>
      <c r="BC426" s="543" t="str">
        <f t="shared" si="6"/>
        <v>札幌市豊平区旭町</v>
      </c>
      <c r="BD426" s="543" t="s">
        <v>412</v>
      </c>
      <c r="BE426" s="544" t="s">
        <v>771</v>
      </c>
    </row>
    <row r="427" spans="54:57">
      <c r="BB427" s="545">
        <v>620912</v>
      </c>
      <c r="BC427" s="543" t="str">
        <f t="shared" si="6"/>
        <v>札幌市豊平区水車町</v>
      </c>
      <c r="BD427" s="543" t="s">
        <v>412</v>
      </c>
      <c r="BE427" s="544" t="s">
        <v>772</v>
      </c>
    </row>
    <row r="428" spans="54:57">
      <c r="BB428" s="545">
        <v>620020</v>
      </c>
      <c r="BC428" s="543" t="str">
        <f t="shared" si="6"/>
        <v>札幌市豊平区月寒中央通</v>
      </c>
      <c r="BD428" s="543" t="s">
        <v>412</v>
      </c>
      <c r="BE428" s="544" t="s">
        <v>773</v>
      </c>
    </row>
    <row r="429" spans="54:57">
      <c r="BB429" s="545">
        <v>620021</v>
      </c>
      <c r="BC429" s="543" t="str">
        <f t="shared" si="6"/>
        <v>札幌市豊平区月寒西一条</v>
      </c>
      <c r="BD429" s="543" t="s">
        <v>412</v>
      </c>
      <c r="BE429" s="544" t="s">
        <v>774</v>
      </c>
    </row>
    <row r="430" spans="54:57">
      <c r="BB430" s="545">
        <v>620022</v>
      </c>
      <c r="BC430" s="543" t="str">
        <f t="shared" si="6"/>
        <v>札幌市豊平区月寒西二条</v>
      </c>
      <c r="BD430" s="543" t="s">
        <v>412</v>
      </c>
      <c r="BE430" s="544" t="s">
        <v>775</v>
      </c>
    </row>
    <row r="431" spans="54:57">
      <c r="BB431" s="545">
        <v>620023</v>
      </c>
      <c r="BC431" s="543" t="str">
        <f t="shared" si="6"/>
        <v>札幌市豊平区月寒西三条</v>
      </c>
      <c r="BD431" s="543" t="s">
        <v>412</v>
      </c>
      <c r="BE431" s="544" t="s">
        <v>776</v>
      </c>
    </row>
    <row r="432" spans="54:57">
      <c r="BB432" s="545">
        <v>620024</v>
      </c>
      <c r="BC432" s="543" t="str">
        <f t="shared" si="6"/>
        <v>札幌市豊平区月寒西四条</v>
      </c>
      <c r="BD432" s="543" t="s">
        <v>412</v>
      </c>
      <c r="BE432" s="544" t="s">
        <v>777</v>
      </c>
    </row>
    <row r="433" spans="54:57">
      <c r="BB433" s="545">
        <v>620025</v>
      </c>
      <c r="BC433" s="543" t="str">
        <f t="shared" si="6"/>
        <v>札幌市豊平区月寒西五条</v>
      </c>
      <c r="BD433" s="543" t="s">
        <v>412</v>
      </c>
      <c r="BE433" s="544" t="s">
        <v>778</v>
      </c>
    </row>
    <row r="434" spans="54:57">
      <c r="BB434" s="545">
        <v>620051</v>
      </c>
      <c r="BC434" s="543" t="str">
        <f t="shared" si="6"/>
        <v>札幌市豊平区月寒東一条</v>
      </c>
      <c r="BD434" s="543" t="s">
        <v>412</v>
      </c>
      <c r="BE434" s="544" t="s">
        <v>779</v>
      </c>
    </row>
    <row r="435" spans="54:57">
      <c r="BB435" s="545">
        <v>620052</v>
      </c>
      <c r="BC435" s="543" t="str">
        <f t="shared" si="6"/>
        <v>札幌市豊平区月寒東二条</v>
      </c>
      <c r="BD435" s="543" t="s">
        <v>412</v>
      </c>
      <c r="BE435" s="544" t="s">
        <v>780</v>
      </c>
    </row>
    <row r="436" spans="54:57">
      <c r="BB436" s="545">
        <v>620053</v>
      </c>
      <c r="BC436" s="543" t="str">
        <f t="shared" si="6"/>
        <v>札幌市豊平区月寒東三条</v>
      </c>
      <c r="BD436" s="543" t="s">
        <v>412</v>
      </c>
      <c r="BE436" s="544" t="s">
        <v>781</v>
      </c>
    </row>
    <row r="437" spans="54:57">
      <c r="BB437" s="545">
        <v>620054</v>
      </c>
      <c r="BC437" s="543" t="str">
        <f t="shared" si="6"/>
        <v>札幌市豊平区月寒東四条</v>
      </c>
      <c r="BD437" s="543" t="s">
        <v>412</v>
      </c>
      <c r="BE437" s="544" t="s">
        <v>782</v>
      </c>
    </row>
    <row r="438" spans="54:57">
      <c r="BB438" s="545">
        <v>620055</v>
      </c>
      <c r="BC438" s="543" t="str">
        <f t="shared" si="6"/>
        <v>札幌市豊平区月寒東五条</v>
      </c>
      <c r="BD438" s="543" t="s">
        <v>412</v>
      </c>
      <c r="BE438" s="544" t="s">
        <v>783</v>
      </c>
    </row>
    <row r="439" spans="54:57">
      <c r="BB439" s="545">
        <v>620901</v>
      </c>
      <c r="BC439" s="543" t="str">
        <f t="shared" si="6"/>
        <v>札幌市豊平区豊平一条</v>
      </c>
      <c r="BD439" s="543" t="s">
        <v>412</v>
      </c>
      <c r="BE439" s="544" t="s">
        <v>784</v>
      </c>
    </row>
    <row r="440" spans="54:57">
      <c r="BB440" s="545">
        <v>620902</v>
      </c>
      <c r="BC440" s="543" t="str">
        <f t="shared" si="6"/>
        <v>札幌市豊平区豊平二条</v>
      </c>
      <c r="BD440" s="543" t="s">
        <v>412</v>
      </c>
      <c r="BE440" s="544" t="s">
        <v>785</v>
      </c>
    </row>
    <row r="441" spans="54:57">
      <c r="BB441" s="545">
        <v>620903</v>
      </c>
      <c r="BC441" s="543" t="str">
        <f t="shared" si="6"/>
        <v>札幌市豊平区豊平三条</v>
      </c>
      <c r="BD441" s="543" t="s">
        <v>412</v>
      </c>
      <c r="BE441" s="544" t="s">
        <v>786</v>
      </c>
    </row>
    <row r="442" spans="54:57">
      <c r="BB442" s="545">
        <v>620904</v>
      </c>
      <c r="BC442" s="543" t="str">
        <f t="shared" si="6"/>
        <v>札幌市豊平区豊平四条</v>
      </c>
      <c r="BD442" s="543" t="s">
        <v>412</v>
      </c>
      <c r="BE442" s="544" t="s">
        <v>787</v>
      </c>
    </row>
    <row r="443" spans="54:57">
      <c r="BB443" s="545">
        <v>620905</v>
      </c>
      <c r="BC443" s="543" t="str">
        <f t="shared" si="6"/>
        <v>札幌市豊平区豊平五条</v>
      </c>
      <c r="BD443" s="543" t="s">
        <v>412</v>
      </c>
      <c r="BE443" s="544" t="s">
        <v>788</v>
      </c>
    </row>
    <row r="444" spans="54:57">
      <c r="BB444" s="545">
        <v>620906</v>
      </c>
      <c r="BC444" s="543" t="str">
        <f t="shared" si="6"/>
        <v>札幌市豊平区豊平六条</v>
      </c>
      <c r="BD444" s="543" t="s">
        <v>412</v>
      </c>
      <c r="BE444" s="544" t="s">
        <v>789</v>
      </c>
    </row>
    <row r="445" spans="54:57">
      <c r="BB445" s="545">
        <v>620907</v>
      </c>
      <c r="BC445" s="543" t="str">
        <f t="shared" si="6"/>
        <v>札幌市豊平区豊平七条</v>
      </c>
      <c r="BD445" s="543" t="s">
        <v>412</v>
      </c>
      <c r="BE445" s="544" t="s">
        <v>790</v>
      </c>
    </row>
    <row r="446" spans="54:57">
      <c r="BB446" s="545">
        <v>620908</v>
      </c>
      <c r="BC446" s="543" t="str">
        <f t="shared" si="6"/>
        <v>札幌市豊平区豊平八条</v>
      </c>
      <c r="BD446" s="543" t="s">
        <v>412</v>
      </c>
      <c r="BE446" s="544" t="s">
        <v>791</v>
      </c>
    </row>
    <row r="447" spans="54:57">
      <c r="BB447" s="545">
        <v>620909</v>
      </c>
      <c r="BC447" s="543" t="str">
        <f t="shared" ref="BC447:BC510" si="7">BD447&amp;BE447</f>
        <v>札幌市豊平区豊平九条</v>
      </c>
      <c r="BD447" s="543" t="s">
        <v>412</v>
      </c>
      <c r="BE447" s="544" t="s">
        <v>792</v>
      </c>
    </row>
    <row r="448" spans="54:57">
      <c r="BB448" s="545">
        <v>620921</v>
      </c>
      <c r="BC448" s="543" t="str">
        <f t="shared" si="7"/>
        <v>札幌市豊平区中の島一条</v>
      </c>
      <c r="BD448" s="543" t="s">
        <v>412</v>
      </c>
      <c r="BE448" s="544" t="s">
        <v>793</v>
      </c>
    </row>
    <row r="449" spans="54:57">
      <c r="BB449" s="545">
        <v>620922</v>
      </c>
      <c r="BC449" s="543" t="str">
        <f t="shared" si="7"/>
        <v>札幌市豊平区中の島二条</v>
      </c>
      <c r="BD449" s="543" t="s">
        <v>412</v>
      </c>
      <c r="BE449" s="544" t="s">
        <v>794</v>
      </c>
    </row>
    <row r="450" spans="54:57">
      <c r="BB450" s="545">
        <v>620039</v>
      </c>
      <c r="BC450" s="543" t="str">
        <f t="shared" si="7"/>
        <v>札幌市豊平区西岡</v>
      </c>
      <c r="BD450" s="543" t="s">
        <v>412</v>
      </c>
      <c r="BE450" s="544" t="s">
        <v>795</v>
      </c>
    </row>
    <row r="451" spans="54:57">
      <c r="BB451" s="545">
        <v>620031</v>
      </c>
      <c r="BC451" s="543" t="str">
        <f t="shared" si="7"/>
        <v>札幌市豊平区西岡一条</v>
      </c>
      <c r="BD451" s="543" t="s">
        <v>412</v>
      </c>
      <c r="BE451" s="544" t="s">
        <v>796</v>
      </c>
    </row>
    <row r="452" spans="54:57">
      <c r="BB452" s="545">
        <v>620032</v>
      </c>
      <c r="BC452" s="543" t="str">
        <f t="shared" si="7"/>
        <v>札幌市豊平区西岡二条</v>
      </c>
      <c r="BD452" s="543" t="s">
        <v>412</v>
      </c>
      <c r="BE452" s="544" t="s">
        <v>797</v>
      </c>
    </row>
    <row r="453" spans="54:57">
      <c r="BB453" s="545">
        <v>620033</v>
      </c>
      <c r="BC453" s="543" t="str">
        <f t="shared" si="7"/>
        <v>札幌市豊平区西岡三条</v>
      </c>
      <c r="BD453" s="543" t="s">
        <v>412</v>
      </c>
      <c r="BE453" s="544" t="s">
        <v>798</v>
      </c>
    </row>
    <row r="454" spans="54:57">
      <c r="BB454" s="545">
        <v>620034</v>
      </c>
      <c r="BC454" s="543" t="str">
        <f t="shared" si="7"/>
        <v>札幌市豊平区西岡四条</v>
      </c>
      <c r="BD454" s="543" t="s">
        <v>412</v>
      </c>
      <c r="BE454" s="544" t="s">
        <v>799</v>
      </c>
    </row>
    <row r="455" spans="54:57">
      <c r="BB455" s="545">
        <v>620035</v>
      </c>
      <c r="BC455" s="543" t="str">
        <f t="shared" si="7"/>
        <v>札幌市豊平区西岡五条</v>
      </c>
      <c r="BD455" s="543" t="s">
        <v>412</v>
      </c>
      <c r="BE455" s="544" t="s">
        <v>800</v>
      </c>
    </row>
    <row r="456" spans="54:57">
      <c r="BB456" s="545">
        <v>620045</v>
      </c>
      <c r="BC456" s="543" t="str">
        <f t="shared" si="7"/>
        <v>札幌市豊平区羊ケ丘</v>
      </c>
      <c r="BD456" s="543" t="s">
        <v>412</v>
      </c>
      <c r="BE456" s="544" t="s">
        <v>801</v>
      </c>
    </row>
    <row r="457" spans="54:57">
      <c r="BB457" s="545">
        <v>620931</v>
      </c>
      <c r="BC457" s="543" t="str">
        <f t="shared" si="7"/>
        <v>札幌市豊平区平岸一条</v>
      </c>
      <c r="BD457" s="543" t="s">
        <v>412</v>
      </c>
      <c r="BE457" s="544" t="s">
        <v>802</v>
      </c>
    </row>
    <row r="458" spans="54:57">
      <c r="BB458" s="545">
        <v>620932</v>
      </c>
      <c r="BC458" s="543" t="str">
        <f t="shared" si="7"/>
        <v>札幌市豊平区平岸二条</v>
      </c>
      <c r="BD458" s="543" t="s">
        <v>412</v>
      </c>
      <c r="BE458" s="544" t="s">
        <v>803</v>
      </c>
    </row>
    <row r="459" spans="54:57">
      <c r="BB459" s="545">
        <v>620933</v>
      </c>
      <c r="BC459" s="543" t="str">
        <f t="shared" si="7"/>
        <v>札幌市豊平区平岸三条</v>
      </c>
      <c r="BD459" s="543" t="s">
        <v>412</v>
      </c>
      <c r="BE459" s="544" t="s">
        <v>804</v>
      </c>
    </row>
    <row r="460" spans="54:57">
      <c r="BB460" s="545">
        <v>620934</v>
      </c>
      <c r="BC460" s="543" t="str">
        <f t="shared" si="7"/>
        <v>札幌市豊平区平岸四条</v>
      </c>
      <c r="BD460" s="543" t="s">
        <v>412</v>
      </c>
      <c r="BE460" s="544" t="s">
        <v>805</v>
      </c>
    </row>
    <row r="461" spans="54:57">
      <c r="BB461" s="545">
        <v>620935</v>
      </c>
      <c r="BC461" s="543" t="str">
        <f t="shared" si="7"/>
        <v>札幌市豊平区平岸五条</v>
      </c>
      <c r="BD461" s="543" t="s">
        <v>412</v>
      </c>
      <c r="BE461" s="544" t="s">
        <v>806</v>
      </c>
    </row>
    <row r="462" spans="54:57">
      <c r="BB462" s="545">
        <v>620936</v>
      </c>
      <c r="BC462" s="543" t="str">
        <f t="shared" si="7"/>
        <v>札幌市豊平区平岸六条</v>
      </c>
      <c r="BD462" s="543" t="s">
        <v>412</v>
      </c>
      <c r="BE462" s="544" t="s">
        <v>807</v>
      </c>
    </row>
    <row r="463" spans="54:57">
      <c r="BB463" s="545">
        <v>620937</v>
      </c>
      <c r="BC463" s="543" t="str">
        <f t="shared" si="7"/>
        <v>札幌市豊平区平岸七条</v>
      </c>
      <c r="BD463" s="543" t="s">
        <v>412</v>
      </c>
      <c r="BE463" s="544" t="s">
        <v>808</v>
      </c>
    </row>
    <row r="464" spans="54:57">
      <c r="BB464" s="545">
        <v>620938</v>
      </c>
      <c r="BC464" s="543" t="str">
        <f t="shared" si="7"/>
        <v>札幌市豊平区平岸八条</v>
      </c>
      <c r="BD464" s="543" t="s">
        <v>412</v>
      </c>
      <c r="BE464" s="544" t="s">
        <v>809</v>
      </c>
    </row>
    <row r="465" spans="54:57">
      <c r="BB465" s="545">
        <v>620041</v>
      </c>
      <c r="BC465" s="543" t="str">
        <f t="shared" si="7"/>
        <v>札幌市豊平区福住一条</v>
      </c>
      <c r="BD465" s="543" t="s">
        <v>412</v>
      </c>
      <c r="BE465" s="544" t="s">
        <v>810</v>
      </c>
    </row>
    <row r="466" spans="54:57">
      <c r="BB466" s="545">
        <v>620042</v>
      </c>
      <c r="BC466" s="543" t="str">
        <f t="shared" si="7"/>
        <v>札幌市豊平区福住二条</v>
      </c>
      <c r="BD466" s="543" t="s">
        <v>412</v>
      </c>
      <c r="BE466" s="544" t="s">
        <v>811</v>
      </c>
    </row>
    <row r="467" spans="54:57">
      <c r="BB467" s="545">
        <v>620043</v>
      </c>
      <c r="BC467" s="543" t="str">
        <f t="shared" si="7"/>
        <v>札幌市豊平区福住三条</v>
      </c>
      <c r="BD467" s="543" t="s">
        <v>412</v>
      </c>
      <c r="BE467" s="544" t="s">
        <v>812</v>
      </c>
    </row>
    <row r="468" spans="54:57">
      <c r="BB468" s="545">
        <v>620001</v>
      </c>
      <c r="BC468" s="543" t="str">
        <f t="shared" si="7"/>
        <v>札幌市豊平区美園一条</v>
      </c>
      <c r="BD468" s="543" t="s">
        <v>412</v>
      </c>
      <c r="BE468" s="544" t="s">
        <v>813</v>
      </c>
    </row>
    <row r="469" spans="54:57">
      <c r="BB469" s="545">
        <v>620002</v>
      </c>
      <c r="BC469" s="543" t="str">
        <f t="shared" si="7"/>
        <v>札幌市豊平区美園二条</v>
      </c>
      <c r="BD469" s="543" t="s">
        <v>412</v>
      </c>
      <c r="BE469" s="544" t="s">
        <v>814</v>
      </c>
    </row>
    <row r="470" spans="54:57">
      <c r="BB470" s="545">
        <v>620003</v>
      </c>
      <c r="BC470" s="543" t="str">
        <f t="shared" si="7"/>
        <v>札幌市豊平区美園三条</v>
      </c>
      <c r="BD470" s="543" t="s">
        <v>412</v>
      </c>
      <c r="BE470" s="544" t="s">
        <v>815</v>
      </c>
    </row>
    <row r="471" spans="54:57">
      <c r="BB471" s="545">
        <v>620004</v>
      </c>
      <c r="BC471" s="543" t="str">
        <f t="shared" si="7"/>
        <v>札幌市豊平区美園四条</v>
      </c>
      <c r="BD471" s="543" t="s">
        <v>412</v>
      </c>
      <c r="BE471" s="544" t="s">
        <v>816</v>
      </c>
    </row>
    <row r="472" spans="54:57">
      <c r="BB472" s="545">
        <v>620005</v>
      </c>
      <c r="BC472" s="543" t="str">
        <f t="shared" si="7"/>
        <v>札幌市豊平区美園五条</v>
      </c>
      <c r="BD472" s="543" t="s">
        <v>412</v>
      </c>
      <c r="BE472" s="544" t="s">
        <v>817</v>
      </c>
    </row>
    <row r="473" spans="54:57">
      <c r="BB473" s="545">
        <v>620006</v>
      </c>
      <c r="BC473" s="543" t="str">
        <f t="shared" si="7"/>
        <v>札幌市豊平区美園六条</v>
      </c>
      <c r="BD473" s="543" t="s">
        <v>412</v>
      </c>
      <c r="BE473" s="544" t="s">
        <v>818</v>
      </c>
    </row>
    <row r="474" spans="54:57">
      <c r="BB474" s="545">
        <v>620007</v>
      </c>
      <c r="BC474" s="543" t="str">
        <f t="shared" si="7"/>
        <v>札幌市豊平区美園七条</v>
      </c>
      <c r="BD474" s="543" t="s">
        <v>412</v>
      </c>
      <c r="BE474" s="544" t="s">
        <v>819</v>
      </c>
    </row>
    <row r="475" spans="54:57">
      <c r="BB475" s="545">
        <v>620008</v>
      </c>
      <c r="BC475" s="543" t="str">
        <f t="shared" si="7"/>
        <v>札幌市豊平区美園八条</v>
      </c>
      <c r="BD475" s="543" t="s">
        <v>412</v>
      </c>
      <c r="BE475" s="544" t="s">
        <v>820</v>
      </c>
    </row>
    <row r="476" spans="54:57">
      <c r="BB476" s="545">
        <v>620009</v>
      </c>
      <c r="BC476" s="543" t="str">
        <f t="shared" si="7"/>
        <v>札幌市豊平区美園九条</v>
      </c>
      <c r="BD476" s="543" t="s">
        <v>412</v>
      </c>
      <c r="BE476" s="544" t="s">
        <v>821</v>
      </c>
    </row>
    <row r="477" spans="54:57">
      <c r="BB477" s="545">
        <v>620010</v>
      </c>
      <c r="BC477" s="543" t="str">
        <f t="shared" si="7"/>
        <v>札幌市豊平区美園十条</v>
      </c>
      <c r="BD477" s="543" t="s">
        <v>412</v>
      </c>
      <c r="BE477" s="544" t="s">
        <v>822</v>
      </c>
    </row>
    <row r="478" spans="54:57">
      <c r="BB478" s="545">
        <v>620011</v>
      </c>
      <c r="BC478" s="543" t="str">
        <f t="shared" si="7"/>
        <v>札幌市豊平区美園十一条</v>
      </c>
      <c r="BD478" s="543" t="s">
        <v>412</v>
      </c>
      <c r="BE478" s="544" t="s">
        <v>823</v>
      </c>
    </row>
    <row r="479" spans="54:57">
      <c r="BB479" s="545">
        <v>620012</v>
      </c>
      <c r="BC479" s="543" t="str">
        <f t="shared" si="7"/>
        <v>札幌市豊平区美園十二条</v>
      </c>
      <c r="BD479" s="543" t="s">
        <v>412</v>
      </c>
      <c r="BE479" s="544" t="s">
        <v>824</v>
      </c>
    </row>
    <row r="480" spans="54:57">
      <c r="BB480" s="545">
        <v>50000</v>
      </c>
      <c r="BC480" s="543" t="str">
        <f t="shared" si="7"/>
        <v>札幌市南区</v>
      </c>
      <c r="BD480" s="543" t="s">
        <v>413</v>
      </c>
    </row>
    <row r="481" spans="54:57">
      <c r="BB481" s="545">
        <v>50849</v>
      </c>
      <c r="BC481" s="543" t="str">
        <f t="shared" si="7"/>
        <v>札幌市南区石山</v>
      </c>
      <c r="BD481" s="543" t="s">
        <v>413</v>
      </c>
      <c r="BE481" s="544" t="s">
        <v>825</v>
      </c>
    </row>
    <row r="482" spans="54:57">
      <c r="BB482" s="545">
        <v>50850</v>
      </c>
      <c r="BC482" s="543" t="str">
        <f t="shared" si="7"/>
        <v>札幌市南区石山東</v>
      </c>
      <c r="BD482" s="543" t="s">
        <v>413</v>
      </c>
      <c r="BE482" s="544" t="s">
        <v>826</v>
      </c>
    </row>
    <row r="483" spans="54:57">
      <c r="BB483" s="545">
        <v>50841</v>
      </c>
      <c r="BC483" s="543" t="str">
        <f t="shared" si="7"/>
        <v>札幌市南区石山一条</v>
      </c>
      <c r="BD483" s="543" t="s">
        <v>413</v>
      </c>
      <c r="BE483" s="544" t="s">
        <v>827</v>
      </c>
    </row>
    <row r="484" spans="54:57">
      <c r="BB484" s="545">
        <v>50842</v>
      </c>
      <c r="BC484" s="543" t="str">
        <f t="shared" si="7"/>
        <v>札幌市南区石山二条</v>
      </c>
      <c r="BD484" s="543" t="s">
        <v>413</v>
      </c>
      <c r="BE484" s="544" t="s">
        <v>828</v>
      </c>
    </row>
    <row r="485" spans="54:57">
      <c r="BB485" s="545">
        <v>50843</v>
      </c>
      <c r="BC485" s="543" t="str">
        <f t="shared" si="7"/>
        <v>札幌市南区石山三条</v>
      </c>
      <c r="BD485" s="543" t="s">
        <v>413</v>
      </c>
      <c r="BE485" s="544" t="s">
        <v>829</v>
      </c>
    </row>
    <row r="486" spans="54:57">
      <c r="BB486" s="545">
        <v>50844</v>
      </c>
      <c r="BC486" s="543" t="str">
        <f t="shared" si="7"/>
        <v>札幌市南区石山四条</v>
      </c>
      <c r="BD486" s="543" t="s">
        <v>413</v>
      </c>
      <c r="BE486" s="544" t="s">
        <v>830</v>
      </c>
    </row>
    <row r="487" spans="54:57">
      <c r="BB487" s="545">
        <v>50801</v>
      </c>
      <c r="BC487" s="543" t="str">
        <f t="shared" si="7"/>
        <v>札幌市南区川沿一条</v>
      </c>
      <c r="BD487" s="543" t="s">
        <v>413</v>
      </c>
      <c r="BE487" s="544" t="s">
        <v>831</v>
      </c>
    </row>
    <row r="488" spans="54:57">
      <c r="BB488" s="545">
        <v>50802</v>
      </c>
      <c r="BC488" s="543" t="str">
        <f t="shared" si="7"/>
        <v>札幌市南区川沿二条</v>
      </c>
      <c r="BD488" s="543" t="s">
        <v>413</v>
      </c>
      <c r="BE488" s="544" t="s">
        <v>832</v>
      </c>
    </row>
    <row r="489" spans="54:57">
      <c r="BB489" s="545">
        <v>50803</v>
      </c>
      <c r="BC489" s="543" t="str">
        <f t="shared" si="7"/>
        <v>札幌市南区川沿三条</v>
      </c>
      <c r="BD489" s="543" t="s">
        <v>413</v>
      </c>
      <c r="BE489" s="544" t="s">
        <v>833</v>
      </c>
    </row>
    <row r="490" spans="54:57">
      <c r="BB490" s="545">
        <v>50804</v>
      </c>
      <c r="BC490" s="543" t="str">
        <f t="shared" si="7"/>
        <v>札幌市南区川沿四条</v>
      </c>
      <c r="BD490" s="543" t="s">
        <v>413</v>
      </c>
      <c r="BE490" s="544" t="s">
        <v>834</v>
      </c>
    </row>
    <row r="491" spans="54:57">
      <c r="BB491" s="545">
        <v>50805</v>
      </c>
      <c r="BC491" s="543" t="str">
        <f t="shared" si="7"/>
        <v>札幌市南区川沿五条</v>
      </c>
      <c r="BD491" s="543" t="s">
        <v>413</v>
      </c>
      <c r="BE491" s="544" t="s">
        <v>835</v>
      </c>
    </row>
    <row r="492" spans="54:57">
      <c r="BB492" s="545">
        <v>50806</v>
      </c>
      <c r="BC492" s="543" t="str">
        <f t="shared" si="7"/>
        <v>札幌市南区川沿六条</v>
      </c>
      <c r="BD492" s="543" t="s">
        <v>413</v>
      </c>
      <c r="BE492" s="544" t="s">
        <v>836</v>
      </c>
    </row>
    <row r="493" spans="54:57">
      <c r="BB493" s="545">
        <v>50807</v>
      </c>
      <c r="BC493" s="543" t="str">
        <f t="shared" si="7"/>
        <v>札幌市南区川沿七条</v>
      </c>
      <c r="BD493" s="543" t="s">
        <v>413</v>
      </c>
      <c r="BE493" s="544" t="s">
        <v>837</v>
      </c>
    </row>
    <row r="494" spans="54:57">
      <c r="BB494" s="545">
        <v>50808</v>
      </c>
      <c r="BC494" s="543" t="str">
        <f t="shared" si="7"/>
        <v>札幌市南区川沿八条</v>
      </c>
      <c r="BD494" s="543" t="s">
        <v>413</v>
      </c>
      <c r="BE494" s="544" t="s">
        <v>838</v>
      </c>
    </row>
    <row r="495" spans="54:57">
      <c r="BB495" s="545">
        <v>50809</v>
      </c>
      <c r="BC495" s="543" t="str">
        <f t="shared" si="7"/>
        <v>札幌市南区川沿九条</v>
      </c>
      <c r="BD495" s="543" t="s">
        <v>413</v>
      </c>
      <c r="BE495" s="544" t="s">
        <v>839</v>
      </c>
    </row>
    <row r="496" spans="54:57">
      <c r="BB496" s="545">
        <v>50810</v>
      </c>
      <c r="BC496" s="543" t="str">
        <f t="shared" si="7"/>
        <v>札幌市南区川沿十条</v>
      </c>
      <c r="BD496" s="543" t="s">
        <v>413</v>
      </c>
      <c r="BE496" s="544" t="s">
        <v>840</v>
      </c>
    </row>
    <row r="497" spans="54:57">
      <c r="BB497" s="545">
        <v>50811</v>
      </c>
      <c r="BC497" s="543" t="str">
        <f t="shared" si="7"/>
        <v>札幌市南区川沿十一条</v>
      </c>
      <c r="BD497" s="543" t="s">
        <v>413</v>
      </c>
      <c r="BE497" s="544" t="s">
        <v>841</v>
      </c>
    </row>
    <row r="498" spans="54:57">
      <c r="BB498" s="545">
        <v>50812</v>
      </c>
      <c r="BC498" s="543" t="str">
        <f t="shared" si="7"/>
        <v>札幌市南区川沿十二条</v>
      </c>
      <c r="BD498" s="543" t="s">
        <v>413</v>
      </c>
      <c r="BE498" s="544" t="s">
        <v>842</v>
      </c>
    </row>
    <row r="499" spans="54:57">
      <c r="BB499" s="545">
        <v>50813</v>
      </c>
      <c r="BC499" s="543" t="str">
        <f t="shared" si="7"/>
        <v>札幌市南区川沿十三条</v>
      </c>
      <c r="BD499" s="543" t="s">
        <v>413</v>
      </c>
      <c r="BE499" s="544" t="s">
        <v>843</v>
      </c>
    </row>
    <row r="500" spans="54:57">
      <c r="BB500" s="545">
        <v>50814</v>
      </c>
      <c r="BC500" s="543" t="str">
        <f t="shared" si="7"/>
        <v>札幌市南区川沿十四条</v>
      </c>
      <c r="BD500" s="543" t="s">
        <v>413</v>
      </c>
      <c r="BE500" s="544" t="s">
        <v>844</v>
      </c>
    </row>
    <row r="501" spans="54:57">
      <c r="BB501" s="545">
        <v>50815</v>
      </c>
      <c r="BC501" s="543" t="str">
        <f t="shared" si="7"/>
        <v>札幌市南区川沿十五条</v>
      </c>
      <c r="BD501" s="543" t="s">
        <v>413</v>
      </c>
      <c r="BE501" s="544" t="s">
        <v>845</v>
      </c>
    </row>
    <row r="502" spans="54:57">
      <c r="BB502" s="545">
        <v>50816</v>
      </c>
      <c r="BC502" s="543" t="str">
        <f t="shared" si="7"/>
        <v>札幌市南区川沿十六条</v>
      </c>
      <c r="BD502" s="543" t="s">
        <v>413</v>
      </c>
      <c r="BE502" s="544" t="s">
        <v>846</v>
      </c>
    </row>
    <row r="503" spans="54:57">
      <c r="BB503" s="545">
        <v>50817</v>
      </c>
      <c r="BC503" s="543" t="str">
        <f t="shared" si="7"/>
        <v>札幌市南区川沿十七条</v>
      </c>
      <c r="BD503" s="543" t="s">
        <v>413</v>
      </c>
      <c r="BE503" s="544" t="s">
        <v>847</v>
      </c>
    </row>
    <row r="504" spans="54:57">
      <c r="BB504" s="545">
        <v>50818</v>
      </c>
      <c r="BC504" s="543" t="str">
        <f t="shared" si="7"/>
        <v>札幌市南区川沿十八条</v>
      </c>
      <c r="BD504" s="543" t="s">
        <v>413</v>
      </c>
      <c r="BE504" s="544" t="s">
        <v>848</v>
      </c>
    </row>
    <row r="505" spans="54:57">
      <c r="BB505" s="545">
        <v>50832</v>
      </c>
      <c r="BC505" s="543" t="str">
        <f t="shared" si="7"/>
        <v>札幌市南区北ノ沢</v>
      </c>
      <c r="BD505" s="543" t="s">
        <v>413</v>
      </c>
      <c r="BE505" s="544" t="s">
        <v>849</v>
      </c>
    </row>
    <row r="506" spans="54:57">
      <c r="BB506" s="545">
        <v>50864</v>
      </c>
      <c r="BC506" s="543" t="str">
        <f t="shared" si="7"/>
        <v>札幌市南区芸術の森</v>
      </c>
      <c r="BD506" s="543" t="s">
        <v>413</v>
      </c>
      <c r="BE506" s="544" t="s">
        <v>850</v>
      </c>
    </row>
    <row r="507" spans="54:57">
      <c r="BB507" s="545">
        <v>612274</v>
      </c>
      <c r="BC507" s="543" t="str">
        <f t="shared" si="7"/>
        <v>札幌市南区小金湯</v>
      </c>
      <c r="BD507" s="543" t="s">
        <v>413</v>
      </c>
      <c r="BE507" s="544" t="s">
        <v>851</v>
      </c>
    </row>
    <row r="508" spans="54:57">
      <c r="BB508" s="545">
        <v>612301</v>
      </c>
      <c r="BC508" s="543" t="str">
        <f t="shared" si="7"/>
        <v>札幌市南区定山渓</v>
      </c>
      <c r="BD508" s="543" t="s">
        <v>413</v>
      </c>
      <c r="BE508" s="544" t="s">
        <v>852</v>
      </c>
    </row>
    <row r="509" spans="54:57">
      <c r="BB509" s="545">
        <v>612302</v>
      </c>
      <c r="BC509" s="543" t="str">
        <f t="shared" si="7"/>
        <v>札幌市南区定山渓温泉東</v>
      </c>
      <c r="BD509" s="543" t="s">
        <v>413</v>
      </c>
      <c r="BE509" s="544" t="s">
        <v>853</v>
      </c>
    </row>
    <row r="510" spans="54:57">
      <c r="BB510" s="545">
        <v>612303</v>
      </c>
      <c r="BC510" s="543" t="str">
        <f t="shared" si="7"/>
        <v>札幌市南区定山渓温泉西</v>
      </c>
      <c r="BD510" s="543" t="s">
        <v>413</v>
      </c>
      <c r="BE510" s="544" t="s">
        <v>854</v>
      </c>
    </row>
    <row r="511" spans="54:57">
      <c r="BB511" s="545">
        <v>612276</v>
      </c>
      <c r="BC511" s="543" t="str">
        <f t="shared" ref="BC511:BC574" si="8">BD511&amp;BE511</f>
        <v>札幌市南区白川</v>
      </c>
      <c r="BD511" s="543" t="s">
        <v>413</v>
      </c>
      <c r="BE511" s="544" t="s">
        <v>855</v>
      </c>
    </row>
    <row r="512" spans="54:57">
      <c r="BB512" s="545">
        <v>50007</v>
      </c>
      <c r="BC512" s="543" t="str">
        <f t="shared" si="8"/>
        <v>札幌市南区澄川</v>
      </c>
      <c r="BD512" s="543" t="s">
        <v>413</v>
      </c>
      <c r="BE512" s="544" t="s">
        <v>856</v>
      </c>
    </row>
    <row r="513" spans="54:57">
      <c r="BB513" s="545">
        <v>50001</v>
      </c>
      <c r="BC513" s="543" t="str">
        <f t="shared" si="8"/>
        <v>札幌市南区澄川一条</v>
      </c>
      <c r="BD513" s="543" t="s">
        <v>413</v>
      </c>
      <c r="BE513" s="544" t="s">
        <v>857</v>
      </c>
    </row>
    <row r="514" spans="54:57">
      <c r="BB514" s="545">
        <v>50002</v>
      </c>
      <c r="BC514" s="543" t="str">
        <f t="shared" si="8"/>
        <v>札幌市南区澄川二条</v>
      </c>
      <c r="BD514" s="543" t="s">
        <v>413</v>
      </c>
      <c r="BE514" s="544" t="s">
        <v>858</v>
      </c>
    </row>
    <row r="515" spans="54:57">
      <c r="BB515" s="545">
        <v>50003</v>
      </c>
      <c r="BC515" s="543" t="str">
        <f t="shared" si="8"/>
        <v>札幌市南区澄川三条</v>
      </c>
      <c r="BD515" s="543" t="s">
        <v>413</v>
      </c>
      <c r="BE515" s="544" t="s">
        <v>859</v>
      </c>
    </row>
    <row r="516" spans="54:57">
      <c r="BB516" s="545">
        <v>50004</v>
      </c>
      <c r="BC516" s="543" t="str">
        <f t="shared" si="8"/>
        <v>札幌市南区澄川四条</v>
      </c>
      <c r="BD516" s="543" t="s">
        <v>413</v>
      </c>
      <c r="BE516" s="544" t="s">
        <v>860</v>
      </c>
    </row>
    <row r="517" spans="54:57">
      <c r="BB517" s="545">
        <v>50005</v>
      </c>
      <c r="BC517" s="543" t="str">
        <f t="shared" si="8"/>
        <v>札幌市南区澄川五条</v>
      </c>
      <c r="BD517" s="543" t="s">
        <v>413</v>
      </c>
      <c r="BE517" s="544" t="s">
        <v>861</v>
      </c>
    </row>
    <row r="518" spans="54:57">
      <c r="BB518" s="545">
        <v>50006</v>
      </c>
      <c r="BC518" s="543" t="str">
        <f t="shared" si="8"/>
        <v>札幌市南区澄川六条</v>
      </c>
      <c r="BD518" s="543" t="s">
        <v>413</v>
      </c>
      <c r="BE518" s="544" t="s">
        <v>862</v>
      </c>
    </row>
    <row r="519" spans="54:57">
      <c r="BB519" s="545">
        <v>50862</v>
      </c>
      <c r="BC519" s="543" t="str">
        <f t="shared" si="8"/>
        <v>札幌市南区滝野</v>
      </c>
      <c r="BD519" s="543" t="s">
        <v>413</v>
      </c>
      <c r="BE519" s="544" t="s">
        <v>863</v>
      </c>
    </row>
    <row r="520" spans="54:57">
      <c r="BB520" s="545">
        <v>50830</v>
      </c>
      <c r="BC520" s="543" t="str">
        <f t="shared" si="8"/>
        <v>札幌市南区砥石山</v>
      </c>
      <c r="BD520" s="543" t="s">
        <v>413</v>
      </c>
      <c r="BE520" s="544" t="s">
        <v>864</v>
      </c>
    </row>
    <row r="521" spans="54:57">
      <c r="BB521" s="545">
        <v>50865</v>
      </c>
      <c r="BC521" s="543" t="str">
        <f t="shared" si="8"/>
        <v>札幌市南区常盤</v>
      </c>
      <c r="BD521" s="543" t="s">
        <v>413</v>
      </c>
      <c r="BE521" s="544" t="s">
        <v>1154</v>
      </c>
    </row>
    <row r="522" spans="54:57">
      <c r="BB522" s="545">
        <v>50863</v>
      </c>
      <c r="BC522" s="543" t="str">
        <f t="shared" si="8"/>
        <v>札幌市南区常盤</v>
      </c>
      <c r="BD522" s="543" t="s">
        <v>413</v>
      </c>
      <c r="BE522" s="544" t="s">
        <v>1154</v>
      </c>
    </row>
    <row r="523" spans="54:57">
      <c r="BB523" s="545">
        <v>50851</v>
      </c>
      <c r="BC523" s="543" t="str">
        <f t="shared" si="8"/>
        <v>札幌市南区常盤一条</v>
      </c>
      <c r="BD523" s="543" t="s">
        <v>413</v>
      </c>
      <c r="BE523" s="544" t="s">
        <v>865</v>
      </c>
    </row>
    <row r="524" spans="54:57">
      <c r="BB524" s="545">
        <v>50852</v>
      </c>
      <c r="BC524" s="543" t="str">
        <f t="shared" si="8"/>
        <v>札幌市南区常盤二条</v>
      </c>
      <c r="BD524" s="543" t="s">
        <v>413</v>
      </c>
      <c r="BE524" s="544" t="s">
        <v>866</v>
      </c>
    </row>
    <row r="525" spans="54:57">
      <c r="BB525" s="545">
        <v>50853</v>
      </c>
      <c r="BC525" s="543" t="str">
        <f t="shared" si="8"/>
        <v>札幌市南区常盤三条</v>
      </c>
      <c r="BD525" s="543" t="s">
        <v>413</v>
      </c>
      <c r="BE525" s="544" t="s">
        <v>867</v>
      </c>
    </row>
    <row r="526" spans="54:57">
      <c r="BB526" s="545">
        <v>50854</v>
      </c>
      <c r="BC526" s="543" t="str">
        <f t="shared" si="8"/>
        <v>札幌市南区常盤四条</v>
      </c>
      <c r="BD526" s="543" t="s">
        <v>413</v>
      </c>
      <c r="BE526" s="544" t="s">
        <v>868</v>
      </c>
    </row>
    <row r="527" spans="54:57">
      <c r="BB527" s="545">
        <v>50855</v>
      </c>
      <c r="BC527" s="543" t="str">
        <f t="shared" si="8"/>
        <v>札幌市南区常盤五条</v>
      </c>
      <c r="BD527" s="543" t="s">
        <v>413</v>
      </c>
      <c r="BE527" s="544" t="s">
        <v>869</v>
      </c>
    </row>
    <row r="528" spans="54:57">
      <c r="BB528" s="545">
        <v>50856</v>
      </c>
      <c r="BC528" s="543" t="str">
        <f t="shared" si="8"/>
        <v>札幌市南区常盤六条</v>
      </c>
      <c r="BD528" s="543" t="s">
        <v>413</v>
      </c>
      <c r="BE528" s="544" t="s">
        <v>870</v>
      </c>
    </row>
    <row r="529" spans="54:57">
      <c r="BB529" s="545">
        <v>612275</v>
      </c>
      <c r="BC529" s="543" t="str">
        <f t="shared" si="8"/>
        <v>札幌市南区砥山</v>
      </c>
      <c r="BD529" s="543" t="s">
        <v>413</v>
      </c>
      <c r="BE529" s="544" t="s">
        <v>871</v>
      </c>
    </row>
    <row r="530" spans="54:57">
      <c r="BB530" s="545">
        <v>612273</v>
      </c>
      <c r="BC530" s="543" t="str">
        <f t="shared" si="8"/>
        <v>札幌市南区豊滝</v>
      </c>
      <c r="BD530" s="543" t="s">
        <v>413</v>
      </c>
      <c r="BE530" s="544" t="s">
        <v>872</v>
      </c>
    </row>
    <row r="531" spans="54:57">
      <c r="BB531" s="545">
        <v>50831</v>
      </c>
      <c r="BC531" s="543" t="str">
        <f t="shared" si="8"/>
        <v>札幌市南区中ノ沢</v>
      </c>
      <c r="BD531" s="543" t="s">
        <v>413</v>
      </c>
      <c r="BE531" s="544" t="s">
        <v>873</v>
      </c>
    </row>
    <row r="532" spans="54:57">
      <c r="BB532" s="545">
        <v>50840</v>
      </c>
      <c r="BC532" s="543" t="str">
        <f t="shared" si="8"/>
        <v>札幌市南区藤野</v>
      </c>
      <c r="BD532" s="543" t="s">
        <v>413</v>
      </c>
      <c r="BE532" s="544" t="s">
        <v>1195</v>
      </c>
    </row>
    <row r="533" spans="54:57">
      <c r="BB533" s="545">
        <v>612271</v>
      </c>
      <c r="BC533" s="543" t="str">
        <f t="shared" si="8"/>
        <v>札幌市南区藤野</v>
      </c>
      <c r="BD533" s="543" t="s">
        <v>413</v>
      </c>
      <c r="BE533" s="544" t="s">
        <v>1196</v>
      </c>
    </row>
    <row r="534" spans="54:57">
      <c r="BB534" s="545">
        <v>612281</v>
      </c>
      <c r="BC534" s="543" t="str">
        <f t="shared" si="8"/>
        <v>札幌市南区藤野一条</v>
      </c>
      <c r="BD534" s="543" t="s">
        <v>413</v>
      </c>
      <c r="BE534" s="544" t="s">
        <v>874</v>
      </c>
    </row>
    <row r="535" spans="54:57">
      <c r="BB535" s="545">
        <v>612282</v>
      </c>
      <c r="BC535" s="543" t="str">
        <f t="shared" si="8"/>
        <v>札幌市南区藤野二条</v>
      </c>
      <c r="BD535" s="543" t="s">
        <v>413</v>
      </c>
      <c r="BE535" s="544" t="s">
        <v>875</v>
      </c>
    </row>
    <row r="536" spans="54:57">
      <c r="BB536" s="545">
        <v>612283</v>
      </c>
      <c r="BC536" s="543" t="str">
        <f t="shared" si="8"/>
        <v>札幌市南区藤野三条</v>
      </c>
      <c r="BD536" s="543" t="s">
        <v>413</v>
      </c>
      <c r="BE536" s="544" t="s">
        <v>876</v>
      </c>
    </row>
    <row r="537" spans="54:57">
      <c r="BB537" s="545">
        <v>612284</v>
      </c>
      <c r="BC537" s="543" t="str">
        <f t="shared" si="8"/>
        <v>札幌市南区藤野四条</v>
      </c>
      <c r="BD537" s="543" t="s">
        <v>413</v>
      </c>
      <c r="BE537" s="544" t="s">
        <v>877</v>
      </c>
    </row>
    <row r="538" spans="54:57">
      <c r="BB538" s="545">
        <v>612285</v>
      </c>
      <c r="BC538" s="543" t="str">
        <f t="shared" si="8"/>
        <v>札幌市南区藤野五条</v>
      </c>
      <c r="BD538" s="543" t="s">
        <v>413</v>
      </c>
      <c r="BE538" s="544" t="s">
        <v>878</v>
      </c>
    </row>
    <row r="539" spans="54:57">
      <c r="BB539" s="545">
        <v>612286</v>
      </c>
      <c r="BC539" s="543" t="str">
        <f t="shared" si="8"/>
        <v>札幌市南区藤野六条</v>
      </c>
      <c r="BD539" s="543" t="s">
        <v>413</v>
      </c>
      <c r="BE539" s="544" t="s">
        <v>879</v>
      </c>
    </row>
    <row r="540" spans="54:57">
      <c r="BB540" s="545">
        <v>50008</v>
      </c>
      <c r="BC540" s="543" t="str">
        <f t="shared" si="8"/>
        <v>札幌市南区真駒内</v>
      </c>
      <c r="BD540" s="543" t="s">
        <v>413</v>
      </c>
      <c r="BE540" s="544" t="s">
        <v>1197</v>
      </c>
    </row>
    <row r="541" spans="54:57">
      <c r="BB541" s="545">
        <v>50861</v>
      </c>
      <c r="BC541" s="543" t="str">
        <f t="shared" si="8"/>
        <v>札幌市南区真駒内</v>
      </c>
      <c r="BD541" s="543" t="s">
        <v>413</v>
      </c>
      <c r="BE541" s="544" t="s">
        <v>1198</v>
      </c>
    </row>
    <row r="542" spans="54:57">
      <c r="BB542" s="545">
        <v>50018</v>
      </c>
      <c r="BC542" s="543" t="str">
        <f t="shared" si="8"/>
        <v>札幌市南区真駒内曙町</v>
      </c>
      <c r="BD542" s="543" t="s">
        <v>413</v>
      </c>
      <c r="BE542" s="544" t="s">
        <v>880</v>
      </c>
    </row>
    <row r="543" spans="54:57">
      <c r="BB543" s="545">
        <v>50015</v>
      </c>
      <c r="BC543" s="543" t="str">
        <f t="shared" si="8"/>
        <v>札幌市南区真駒内泉町</v>
      </c>
      <c r="BD543" s="543" t="s">
        <v>413</v>
      </c>
      <c r="BE543" s="544" t="s">
        <v>881</v>
      </c>
    </row>
    <row r="544" spans="54:57">
      <c r="BB544" s="545">
        <v>50022</v>
      </c>
      <c r="BC544" s="543" t="str">
        <f t="shared" si="8"/>
        <v>札幌市南区真駒内柏丘</v>
      </c>
      <c r="BD544" s="543" t="s">
        <v>413</v>
      </c>
      <c r="BE544" s="544" t="s">
        <v>882</v>
      </c>
    </row>
    <row r="545" spans="54:57">
      <c r="BB545" s="545">
        <v>50012</v>
      </c>
      <c r="BC545" s="543" t="str">
        <f t="shared" si="8"/>
        <v>札幌市南区真駒内上町</v>
      </c>
      <c r="BD545" s="543" t="s">
        <v>413</v>
      </c>
      <c r="BE545" s="544" t="s">
        <v>883</v>
      </c>
    </row>
    <row r="546" spans="54:57">
      <c r="BB546" s="545">
        <v>50014</v>
      </c>
      <c r="BC546" s="543" t="str">
        <f t="shared" si="8"/>
        <v>札幌市南区真駒内幸町</v>
      </c>
      <c r="BD546" s="543" t="s">
        <v>413</v>
      </c>
      <c r="BE546" s="544" t="s">
        <v>884</v>
      </c>
    </row>
    <row r="547" spans="54:57">
      <c r="BB547" s="545">
        <v>50011</v>
      </c>
      <c r="BC547" s="543" t="str">
        <f t="shared" si="8"/>
        <v>札幌市南区真駒内東町</v>
      </c>
      <c r="BD547" s="543" t="s">
        <v>413</v>
      </c>
      <c r="BE547" s="544" t="s">
        <v>885</v>
      </c>
    </row>
    <row r="548" spans="54:57">
      <c r="BB548" s="545">
        <v>50021</v>
      </c>
      <c r="BC548" s="543" t="str">
        <f t="shared" si="8"/>
        <v>札幌市南区真駒内本町</v>
      </c>
      <c r="BD548" s="543" t="s">
        <v>413</v>
      </c>
      <c r="BE548" s="544" t="s">
        <v>886</v>
      </c>
    </row>
    <row r="549" spans="54:57">
      <c r="BB549" s="545">
        <v>50013</v>
      </c>
      <c r="BC549" s="543" t="str">
        <f t="shared" si="8"/>
        <v>札幌市南区真駒内緑町</v>
      </c>
      <c r="BD549" s="543" t="s">
        <v>413</v>
      </c>
      <c r="BE549" s="544" t="s">
        <v>887</v>
      </c>
    </row>
    <row r="550" spans="54:57">
      <c r="BB550" s="545">
        <v>50016</v>
      </c>
      <c r="BC550" s="543" t="str">
        <f t="shared" si="8"/>
        <v>札幌市南区真駒内南町</v>
      </c>
      <c r="BD550" s="543" t="s">
        <v>413</v>
      </c>
      <c r="BE550" s="544" t="s">
        <v>888</v>
      </c>
    </row>
    <row r="551" spans="54:57">
      <c r="BB551" s="545">
        <v>50017</v>
      </c>
      <c r="BC551" s="543" t="str">
        <f t="shared" si="8"/>
        <v>札幌市南区真駒内公園</v>
      </c>
      <c r="BD551" s="543" t="s">
        <v>413</v>
      </c>
      <c r="BE551" s="544" t="s">
        <v>889</v>
      </c>
    </row>
    <row r="552" spans="54:57">
      <c r="BB552" s="545">
        <v>612261</v>
      </c>
      <c r="BC552" s="543" t="str">
        <f t="shared" si="8"/>
        <v>札幌市南区簾舞一条</v>
      </c>
      <c r="BD552" s="543" t="s">
        <v>413</v>
      </c>
      <c r="BE552" s="544" t="s">
        <v>890</v>
      </c>
    </row>
    <row r="553" spans="54:57">
      <c r="BB553" s="545">
        <v>612262</v>
      </c>
      <c r="BC553" s="543" t="str">
        <f t="shared" si="8"/>
        <v>札幌市南区簾舞二条</v>
      </c>
      <c r="BD553" s="543" t="s">
        <v>413</v>
      </c>
      <c r="BE553" s="544" t="s">
        <v>891</v>
      </c>
    </row>
    <row r="554" spans="54:57">
      <c r="BB554" s="545">
        <v>612263</v>
      </c>
      <c r="BC554" s="543" t="str">
        <f t="shared" si="8"/>
        <v>札幌市南区簾舞三条</v>
      </c>
      <c r="BD554" s="543" t="s">
        <v>413</v>
      </c>
      <c r="BE554" s="544" t="s">
        <v>892</v>
      </c>
    </row>
    <row r="555" spans="54:57">
      <c r="BB555" s="545">
        <v>612264</v>
      </c>
      <c r="BC555" s="543" t="str">
        <f t="shared" si="8"/>
        <v>札幌市南区簾舞四条</v>
      </c>
      <c r="BD555" s="543" t="s">
        <v>413</v>
      </c>
      <c r="BE555" s="544" t="s">
        <v>893</v>
      </c>
    </row>
    <row r="556" spans="54:57">
      <c r="BB556" s="545">
        <v>612265</v>
      </c>
      <c r="BC556" s="543" t="str">
        <f t="shared" si="8"/>
        <v>札幌市南区簾舞五条</v>
      </c>
      <c r="BD556" s="543" t="s">
        <v>413</v>
      </c>
      <c r="BE556" s="544" t="s">
        <v>894</v>
      </c>
    </row>
    <row r="557" spans="54:57">
      <c r="BB557" s="545">
        <v>612266</v>
      </c>
      <c r="BC557" s="543" t="str">
        <f t="shared" si="8"/>
        <v>札幌市南区簾舞六条</v>
      </c>
      <c r="BD557" s="543" t="s">
        <v>413</v>
      </c>
      <c r="BE557" s="544" t="s">
        <v>895</v>
      </c>
    </row>
    <row r="558" spans="54:57">
      <c r="BB558" s="545">
        <v>612272</v>
      </c>
      <c r="BC558" s="543" t="str">
        <f t="shared" si="8"/>
        <v>札幌市南区簾舞</v>
      </c>
      <c r="BD558" s="543" t="s">
        <v>413</v>
      </c>
      <c r="BE558" s="544" t="s">
        <v>1199</v>
      </c>
    </row>
    <row r="559" spans="54:57">
      <c r="BB559" s="545">
        <v>50827</v>
      </c>
      <c r="BC559" s="543" t="str">
        <f t="shared" si="8"/>
        <v>札幌市南区南沢</v>
      </c>
      <c r="BD559" s="543" t="s">
        <v>413</v>
      </c>
      <c r="BE559" s="544" t="s">
        <v>896</v>
      </c>
    </row>
    <row r="560" spans="54:57">
      <c r="BB560" s="545">
        <v>50821</v>
      </c>
      <c r="BC560" s="543" t="str">
        <f t="shared" si="8"/>
        <v>札幌市南区南沢一条</v>
      </c>
      <c r="BD560" s="543" t="s">
        <v>413</v>
      </c>
      <c r="BE560" s="544" t="s">
        <v>897</v>
      </c>
    </row>
    <row r="561" spans="54:57">
      <c r="BB561" s="545">
        <v>50822</v>
      </c>
      <c r="BC561" s="543" t="str">
        <f t="shared" si="8"/>
        <v>札幌市南区南沢二条</v>
      </c>
      <c r="BD561" s="543" t="s">
        <v>413</v>
      </c>
      <c r="BE561" s="544" t="s">
        <v>898</v>
      </c>
    </row>
    <row r="562" spans="54:57">
      <c r="BB562" s="545">
        <v>50823</v>
      </c>
      <c r="BC562" s="543" t="str">
        <f t="shared" si="8"/>
        <v>札幌市南区南沢三条</v>
      </c>
      <c r="BD562" s="543" t="s">
        <v>413</v>
      </c>
      <c r="BE562" s="544" t="s">
        <v>899</v>
      </c>
    </row>
    <row r="563" spans="54:57">
      <c r="BB563" s="545">
        <v>50824</v>
      </c>
      <c r="BC563" s="543" t="str">
        <f t="shared" si="8"/>
        <v>札幌市南区南沢四条</v>
      </c>
      <c r="BD563" s="543" t="s">
        <v>413</v>
      </c>
      <c r="BE563" s="544" t="s">
        <v>900</v>
      </c>
    </row>
    <row r="564" spans="54:57">
      <c r="BB564" s="545">
        <v>50825</v>
      </c>
      <c r="BC564" s="543" t="str">
        <f t="shared" si="8"/>
        <v>札幌市南区南沢五条</v>
      </c>
      <c r="BD564" s="543" t="s">
        <v>413</v>
      </c>
      <c r="BE564" s="544" t="s">
        <v>901</v>
      </c>
    </row>
    <row r="565" spans="54:57">
      <c r="BB565" s="545">
        <v>50826</v>
      </c>
      <c r="BC565" s="543" t="str">
        <f t="shared" si="8"/>
        <v>札幌市南区南沢六条</v>
      </c>
      <c r="BD565" s="543" t="s">
        <v>413</v>
      </c>
      <c r="BE565" s="544" t="s">
        <v>902</v>
      </c>
    </row>
    <row r="566" spans="54:57">
      <c r="BB566" s="545">
        <v>50030</v>
      </c>
      <c r="BC566" s="543" t="str">
        <f t="shared" si="8"/>
        <v>札幌市南区南三十条西８丁目</v>
      </c>
      <c r="BD566" s="543" t="s">
        <v>413</v>
      </c>
      <c r="BE566" s="544" t="s">
        <v>2126</v>
      </c>
    </row>
    <row r="567" spans="54:57">
      <c r="BB567" s="545">
        <v>50031</v>
      </c>
      <c r="BC567" s="543" t="str">
        <f t="shared" si="8"/>
        <v>札幌市南区南三十一条西</v>
      </c>
      <c r="BD567" s="543" t="s">
        <v>413</v>
      </c>
      <c r="BE567" s="544" t="s">
        <v>903</v>
      </c>
    </row>
    <row r="568" spans="54:57">
      <c r="BB568" s="545">
        <v>50032</v>
      </c>
      <c r="BC568" s="543" t="str">
        <f t="shared" si="8"/>
        <v>札幌市南区南三十二条西</v>
      </c>
      <c r="BD568" s="543" t="s">
        <v>413</v>
      </c>
      <c r="BE568" s="544" t="s">
        <v>904</v>
      </c>
    </row>
    <row r="569" spans="54:57">
      <c r="BB569" s="545">
        <v>50033</v>
      </c>
      <c r="BC569" s="543" t="str">
        <f t="shared" si="8"/>
        <v>札幌市南区南三十三条西</v>
      </c>
      <c r="BD569" s="543" t="s">
        <v>413</v>
      </c>
      <c r="BE569" s="544" t="s">
        <v>905</v>
      </c>
    </row>
    <row r="570" spans="54:57">
      <c r="BB570" s="545">
        <v>50034</v>
      </c>
      <c r="BC570" s="543" t="str">
        <f t="shared" si="8"/>
        <v>札幌市南区南三十四条西</v>
      </c>
      <c r="BD570" s="543" t="s">
        <v>413</v>
      </c>
      <c r="BE570" s="544" t="s">
        <v>906</v>
      </c>
    </row>
    <row r="571" spans="54:57">
      <c r="BB571" s="545">
        <v>50035</v>
      </c>
      <c r="BC571" s="543" t="str">
        <f t="shared" si="8"/>
        <v>札幌市南区南三十五条西</v>
      </c>
      <c r="BD571" s="543" t="s">
        <v>413</v>
      </c>
      <c r="BE571" s="544" t="s">
        <v>907</v>
      </c>
    </row>
    <row r="572" spans="54:57">
      <c r="BB572" s="545">
        <v>50036</v>
      </c>
      <c r="BC572" s="543" t="str">
        <f t="shared" si="8"/>
        <v>札幌市南区南三十六条西</v>
      </c>
      <c r="BD572" s="543" t="s">
        <v>413</v>
      </c>
      <c r="BE572" s="544" t="s">
        <v>908</v>
      </c>
    </row>
    <row r="573" spans="54:57">
      <c r="BB573" s="545">
        <v>50037</v>
      </c>
      <c r="BC573" s="543" t="str">
        <f t="shared" si="8"/>
        <v>札幌市南区南三十七条西</v>
      </c>
      <c r="BD573" s="543" t="s">
        <v>413</v>
      </c>
      <c r="BE573" s="544" t="s">
        <v>909</v>
      </c>
    </row>
    <row r="574" spans="54:57">
      <c r="BB574" s="545">
        <v>50038</v>
      </c>
      <c r="BC574" s="543" t="str">
        <f t="shared" si="8"/>
        <v>札幌市南区南三十八条西</v>
      </c>
      <c r="BD574" s="543" t="s">
        <v>413</v>
      </c>
      <c r="BE574" s="544" t="s">
        <v>910</v>
      </c>
    </row>
    <row r="575" spans="54:57">
      <c r="BB575" s="545">
        <v>50039</v>
      </c>
      <c r="BC575" s="543" t="str">
        <f t="shared" ref="BC575:BC638" si="9">BD575&amp;BE575</f>
        <v>札幌市南区南三十九条西</v>
      </c>
      <c r="BD575" s="543" t="s">
        <v>413</v>
      </c>
      <c r="BE575" s="544" t="s">
        <v>911</v>
      </c>
    </row>
    <row r="576" spans="54:57">
      <c r="BB576" s="545">
        <v>50040</v>
      </c>
      <c r="BC576" s="543" t="str">
        <f t="shared" si="9"/>
        <v>札幌市南区藻岩下</v>
      </c>
      <c r="BD576" s="543" t="s">
        <v>413</v>
      </c>
      <c r="BE576" s="544" t="s">
        <v>912</v>
      </c>
    </row>
    <row r="577" spans="54:57">
      <c r="BB577" s="545">
        <v>50041</v>
      </c>
      <c r="BC577" s="543" t="str">
        <f t="shared" si="9"/>
        <v>札幌市南区藻岩山</v>
      </c>
      <c r="BD577" s="543" t="s">
        <v>413</v>
      </c>
      <c r="BE577" s="544" t="s">
        <v>913</v>
      </c>
    </row>
    <row r="578" spans="54:57">
      <c r="BB578" s="545">
        <v>630000</v>
      </c>
      <c r="BC578" s="543" t="str">
        <f t="shared" si="9"/>
        <v>札幌市西区</v>
      </c>
      <c r="BD578" s="543" t="s">
        <v>414</v>
      </c>
    </row>
    <row r="579" spans="54:57">
      <c r="BB579" s="545">
        <v>630811</v>
      </c>
      <c r="BC579" s="543" t="str">
        <f t="shared" si="9"/>
        <v>札幌市西区琴似一条</v>
      </c>
      <c r="BD579" s="543" t="s">
        <v>414</v>
      </c>
      <c r="BE579" s="544" t="s">
        <v>914</v>
      </c>
    </row>
    <row r="580" spans="54:57">
      <c r="BB580" s="545">
        <v>630812</v>
      </c>
      <c r="BC580" s="543" t="str">
        <f t="shared" si="9"/>
        <v>札幌市西区琴似二条</v>
      </c>
      <c r="BD580" s="543" t="s">
        <v>414</v>
      </c>
      <c r="BE580" s="544" t="s">
        <v>915</v>
      </c>
    </row>
    <row r="581" spans="54:57">
      <c r="BB581" s="545">
        <v>630813</v>
      </c>
      <c r="BC581" s="543" t="str">
        <f t="shared" si="9"/>
        <v>札幌市西区琴似三条</v>
      </c>
      <c r="BD581" s="543" t="s">
        <v>414</v>
      </c>
      <c r="BE581" s="544" t="s">
        <v>916</v>
      </c>
    </row>
    <row r="582" spans="54:57">
      <c r="BB582" s="545">
        <v>630814</v>
      </c>
      <c r="BC582" s="543" t="str">
        <f t="shared" si="9"/>
        <v>札幌市西区琴似四条</v>
      </c>
      <c r="BD582" s="543" t="s">
        <v>414</v>
      </c>
      <c r="BE582" s="544" t="s">
        <v>917</v>
      </c>
    </row>
    <row r="583" spans="54:57">
      <c r="BB583" s="545">
        <v>630011</v>
      </c>
      <c r="BC583" s="543" t="str">
        <f t="shared" si="9"/>
        <v>札幌市西区小別沢</v>
      </c>
      <c r="BD583" s="543" t="s">
        <v>414</v>
      </c>
      <c r="BE583" s="544" t="s">
        <v>918</v>
      </c>
    </row>
    <row r="584" spans="54:57">
      <c r="BB584" s="545">
        <v>630049</v>
      </c>
      <c r="BC584" s="543" t="str">
        <f t="shared" si="9"/>
        <v>札幌市西区西野</v>
      </c>
      <c r="BD584" s="543" t="s">
        <v>414</v>
      </c>
      <c r="BE584" s="544" t="s">
        <v>919</v>
      </c>
    </row>
    <row r="585" spans="54:57">
      <c r="BB585" s="545">
        <v>630031</v>
      </c>
      <c r="BC585" s="543" t="str">
        <f t="shared" si="9"/>
        <v>札幌市西区西野一条</v>
      </c>
      <c r="BD585" s="543" t="s">
        <v>414</v>
      </c>
      <c r="BE585" s="544" t="s">
        <v>920</v>
      </c>
    </row>
    <row r="586" spans="54:57">
      <c r="BB586" s="545">
        <v>630032</v>
      </c>
      <c r="BC586" s="543" t="str">
        <f t="shared" si="9"/>
        <v>札幌市西区西野二条</v>
      </c>
      <c r="BD586" s="543" t="s">
        <v>414</v>
      </c>
      <c r="BE586" s="544" t="s">
        <v>921</v>
      </c>
    </row>
    <row r="587" spans="54:57">
      <c r="BB587" s="545">
        <v>630033</v>
      </c>
      <c r="BC587" s="543" t="str">
        <f t="shared" si="9"/>
        <v>札幌市西区西野三条</v>
      </c>
      <c r="BD587" s="543" t="s">
        <v>414</v>
      </c>
      <c r="BE587" s="544" t="s">
        <v>922</v>
      </c>
    </row>
    <row r="588" spans="54:57">
      <c r="BB588" s="545">
        <v>630034</v>
      </c>
      <c r="BC588" s="543" t="str">
        <f t="shared" si="9"/>
        <v>札幌市西区西野四条</v>
      </c>
      <c r="BD588" s="543" t="s">
        <v>414</v>
      </c>
      <c r="BE588" s="544" t="s">
        <v>923</v>
      </c>
    </row>
    <row r="589" spans="54:57">
      <c r="BB589" s="545">
        <v>630035</v>
      </c>
      <c r="BC589" s="543" t="str">
        <f t="shared" si="9"/>
        <v>札幌市西区西野五条</v>
      </c>
      <c r="BD589" s="543" t="s">
        <v>414</v>
      </c>
      <c r="BE589" s="544" t="s">
        <v>924</v>
      </c>
    </row>
    <row r="590" spans="54:57">
      <c r="BB590" s="545">
        <v>630036</v>
      </c>
      <c r="BC590" s="543" t="str">
        <f t="shared" si="9"/>
        <v>札幌市西区西野六条</v>
      </c>
      <c r="BD590" s="543" t="s">
        <v>414</v>
      </c>
      <c r="BE590" s="544" t="s">
        <v>925</v>
      </c>
    </row>
    <row r="591" spans="54:57">
      <c r="BB591" s="545">
        <v>630037</v>
      </c>
      <c r="BC591" s="543" t="str">
        <f t="shared" si="9"/>
        <v>札幌市西区西野七条</v>
      </c>
      <c r="BD591" s="543" t="s">
        <v>414</v>
      </c>
      <c r="BE591" s="544" t="s">
        <v>926</v>
      </c>
    </row>
    <row r="592" spans="54:57">
      <c r="BB592" s="545">
        <v>630038</v>
      </c>
      <c r="BC592" s="543" t="str">
        <f t="shared" si="9"/>
        <v>札幌市西区西野八条</v>
      </c>
      <c r="BD592" s="543" t="s">
        <v>414</v>
      </c>
      <c r="BE592" s="544" t="s">
        <v>927</v>
      </c>
    </row>
    <row r="593" spans="54:57">
      <c r="BB593" s="545">
        <v>630039</v>
      </c>
      <c r="BC593" s="543" t="str">
        <f t="shared" si="9"/>
        <v>札幌市西区西野九条</v>
      </c>
      <c r="BD593" s="543" t="s">
        <v>414</v>
      </c>
      <c r="BE593" s="544" t="s">
        <v>928</v>
      </c>
    </row>
    <row r="594" spans="54:57">
      <c r="BB594" s="545">
        <v>630040</v>
      </c>
      <c r="BC594" s="543" t="str">
        <f t="shared" si="9"/>
        <v>札幌市西区西野十条</v>
      </c>
      <c r="BD594" s="543" t="s">
        <v>414</v>
      </c>
      <c r="BE594" s="544" t="s">
        <v>929</v>
      </c>
    </row>
    <row r="595" spans="54:57">
      <c r="BB595" s="545">
        <v>630041</v>
      </c>
      <c r="BC595" s="543" t="str">
        <f t="shared" si="9"/>
        <v>札幌市西区西野十一条</v>
      </c>
      <c r="BD595" s="543" t="s">
        <v>414</v>
      </c>
      <c r="BE595" s="544" t="s">
        <v>930</v>
      </c>
    </row>
    <row r="596" spans="54:57">
      <c r="BB596" s="545">
        <v>630042</v>
      </c>
      <c r="BC596" s="543" t="str">
        <f t="shared" si="9"/>
        <v>札幌市西区西野十二条</v>
      </c>
      <c r="BD596" s="543" t="s">
        <v>414</v>
      </c>
      <c r="BE596" s="544" t="s">
        <v>931</v>
      </c>
    </row>
    <row r="597" spans="54:57">
      <c r="BB597" s="545">
        <v>630043</v>
      </c>
      <c r="BC597" s="543" t="str">
        <f t="shared" si="9"/>
        <v>札幌市西区西野十三条</v>
      </c>
      <c r="BD597" s="543" t="s">
        <v>414</v>
      </c>
      <c r="BE597" s="544" t="s">
        <v>932</v>
      </c>
    </row>
    <row r="598" spans="54:57">
      <c r="BB598" s="545">
        <v>630044</v>
      </c>
      <c r="BC598" s="543" t="str">
        <f t="shared" si="9"/>
        <v>札幌市西区西野十四条</v>
      </c>
      <c r="BD598" s="543" t="s">
        <v>414</v>
      </c>
      <c r="BE598" s="544" t="s">
        <v>933</v>
      </c>
    </row>
    <row r="599" spans="54:57">
      <c r="BB599" s="545">
        <v>630062</v>
      </c>
      <c r="BC599" s="543" t="str">
        <f t="shared" si="9"/>
        <v>札幌市西区西町南</v>
      </c>
      <c r="BD599" s="543" t="s">
        <v>414</v>
      </c>
      <c r="BE599" s="544" t="s">
        <v>934</v>
      </c>
    </row>
    <row r="600" spans="54:57">
      <c r="BB600" s="545">
        <v>630061</v>
      </c>
      <c r="BC600" s="543" t="str">
        <f t="shared" si="9"/>
        <v>札幌市西区西町北</v>
      </c>
      <c r="BD600" s="543" t="s">
        <v>414</v>
      </c>
      <c r="BE600" s="544" t="s">
        <v>935</v>
      </c>
    </row>
    <row r="601" spans="54:57">
      <c r="BB601" s="545">
        <v>630801</v>
      </c>
      <c r="BC601" s="543" t="str">
        <f t="shared" si="9"/>
        <v>札幌市西区二十四軒一条</v>
      </c>
      <c r="BD601" s="543" t="s">
        <v>414</v>
      </c>
      <c r="BE601" s="544" t="s">
        <v>936</v>
      </c>
    </row>
    <row r="602" spans="54:57">
      <c r="BB602" s="545">
        <v>630802</v>
      </c>
      <c r="BC602" s="543" t="str">
        <f t="shared" si="9"/>
        <v>札幌市西区二十四軒二条</v>
      </c>
      <c r="BD602" s="543" t="s">
        <v>414</v>
      </c>
      <c r="BE602" s="544" t="s">
        <v>937</v>
      </c>
    </row>
    <row r="603" spans="54:57">
      <c r="BB603" s="545">
        <v>630803</v>
      </c>
      <c r="BC603" s="543" t="str">
        <f t="shared" si="9"/>
        <v>札幌市西区二十四軒三条</v>
      </c>
      <c r="BD603" s="543" t="s">
        <v>414</v>
      </c>
      <c r="BE603" s="544" t="s">
        <v>938</v>
      </c>
    </row>
    <row r="604" spans="54:57">
      <c r="BB604" s="545">
        <v>630804</v>
      </c>
      <c r="BC604" s="543" t="str">
        <f t="shared" si="9"/>
        <v>札幌市西区二十四軒四条</v>
      </c>
      <c r="BD604" s="543" t="s">
        <v>414</v>
      </c>
      <c r="BE604" s="544" t="s">
        <v>939</v>
      </c>
    </row>
    <row r="605" spans="54:57">
      <c r="BB605" s="545">
        <v>630861</v>
      </c>
      <c r="BC605" s="543" t="str">
        <f t="shared" si="9"/>
        <v>札幌市西区八軒一条東</v>
      </c>
      <c r="BD605" s="543" t="s">
        <v>414</v>
      </c>
      <c r="BE605" s="544" t="s">
        <v>940</v>
      </c>
    </row>
    <row r="606" spans="54:57">
      <c r="BB606" s="545">
        <v>630841</v>
      </c>
      <c r="BC606" s="543" t="str">
        <f t="shared" si="9"/>
        <v>札幌市西区八軒一条西</v>
      </c>
      <c r="BD606" s="543" t="s">
        <v>414</v>
      </c>
      <c r="BE606" s="544" t="s">
        <v>941</v>
      </c>
    </row>
    <row r="607" spans="54:57">
      <c r="BB607" s="545">
        <v>630862</v>
      </c>
      <c r="BC607" s="543" t="str">
        <f t="shared" si="9"/>
        <v>札幌市西区八軒二条東</v>
      </c>
      <c r="BD607" s="543" t="s">
        <v>414</v>
      </c>
      <c r="BE607" s="544" t="s">
        <v>942</v>
      </c>
    </row>
    <row r="608" spans="54:57">
      <c r="BB608" s="545">
        <v>630842</v>
      </c>
      <c r="BC608" s="543" t="str">
        <f t="shared" si="9"/>
        <v>札幌市西区八軒二条西</v>
      </c>
      <c r="BD608" s="543" t="s">
        <v>414</v>
      </c>
      <c r="BE608" s="544" t="s">
        <v>943</v>
      </c>
    </row>
    <row r="609" spans="54:57">
      <c r="BB609" s="545">
        <v>630863</v>
      </c>
      <c r="BC609" s="543" t="str">
        <f t="shared" si="9"/>
        <v>札幌市西区八軒三条東</v>
      </c>
      <c r="BD609" s="543" t="s">
        <v>414</v>
      </c>
      <c r="BE609" s="544" t="s">
        <v>944</v>
      </c>
    </row>
    <row r="610" spans="54:57">
      <c r="BB610" s="545">
        <v>630843</v>
      </c>
      <c r="BC610" s="543" t="str">
        <f t="shared" si="9"/>
        <v>札幌市西区八軒三条西</v>
      </c>
      <c r="BD610" s="543" t="s">
        <v>414</v>
      </c>
      <c r="BE610" s="544" t="s">
        <v>945</v>
      </c>
    </row>
    <row r="611" spans="54:57">
      <c r="BB611" s="545">
        <v>630864</v>
      </c>
      <c r="BC611" s="543" t="str">
        <f t="shared" si="9"/>
        <v>札幌市西区八軒四条東</v>
      </c>
      <c r="BD611" s="543" t="s">
        <v>414</v>
      </c>
      <c r="BE611" s="544" t="s">
        <v>946</v>
      </c>
    </row>
    <row r="612" spans="54:57">
      <c r="BB612" s="545">
        <v>630844</v>
      </c>
      <c r="BC612" s="543" t="str">
        <f t="shared" si="9"/>
        <v>札幌市西区八軒四条西</v>
      </c>
      <c r="BD612" s="543" t="s">
        <v>414</v>
      </c>
      <c r="BE612" s="544" t="s">
        <v>947</v>
      </c>
    </row>
    <row r="613" spans="54:57">
      <c r="BB613" s="545">
        <v>630865</v>
      </c>
      <c r="BC613" s="543" t="str">
        <f t="shared" si="9"/>
        <v>札幌市西区八軒五条東</v>
      </c>
      <c r="BD613" s="543" t="s">
        <v>414</v>
      </c>
      <c r="BE613" s="544" t="s">
        <v>948</v>
      </c>
    </row>
    <row r="614" spans="54:57">
      <c r="BB614" s="545">
        <v>630845</v>
      </c>
      <c r="BC614" s="543" t="str">
        <f t="shared" si="9"/>
        <v>札幌市西区八軒五条西</v>
      </c>
      <c r="BD614" s="543" t="s">
        <v>414</v>
      </c>
      <c r="BE614" s="544" t="s">
        <v>949</v>
      </c>
    </row>
    <row r="615" spans="54:57">
      <c r="BB615" s="545">
        <v>630866</v>
      </c>
      <c r="BC615" s="543" t="str">
        <f t="shared" si="9"/>
        <v>札幌市西区八軒六条東</v>
      </c>
      <c r="BD615" s="543" t="s">
        <v>414</v>
      </c>
      <c r="BE615" s="544" t="s">
        <v>950</v>
      </c>
    </row>
    <row r="616" spans="54:57">
      <c r="BB616" s="545">
        <v>630846</v>
      </c>
      <c r="BC616" s="543" t="str">
        <f t="shared" si="9"/>
        <v>札幌市西区八軒六条西</v>
      </c>
      <c r="BD616" s="543" t="s">
        <v>414</v>
      </c>
      <c r="BE616" s="544" t="s">
        <v>951</v>
      </c>
    </row>
    <row r="617" spans="54:57">
      <c r="BB617" s="545">
        <v>630867</v>
      </c>
      <c r="BC617" s="543" t="str">
        <f t="shared" si="9"/>
        <v>札幌市西区八軒七条東</v>
      </c>
      <c r="BD617" s="543" t="s">
        <v>414</v>
      </c>
      <c r="BE617" s="544" t="s">
        <v>952</v>
      </c>
    </row>
    <row r="618" spans="54:57">
      <c r="BB618" s="545">
        <v>630847</v>
      </c>
      <c r="BC618" s="543" t="str">
        <f t="shared" si="9"/>
        <v>札幌市西区八軒七条西</v>
      </c>
      <c r="BD618" s="543" t="s">
        <v>414</v>
      </c>
      <c r="BE618" s="544" t="s">
        <v>953</v>
      </c>
    </row>
    <row r="619" spans="54:57">
      <c r="BB619" s="545">
        <v>630868</v>
      </c>
      <c r="BC619" s="543" t="str">
        <f t="shared" si="9"/>
        <v>札幌市西区八軒八条東</v>
      </c>
      <c r="BD619" s="543" t="s">
        <v>414</v>
      </c>
      <c r="BE619" s="544" t="s">
        <v>954</v>
      </c>
    </row>
    <row r="620" spans="54:57">
      <c r="BB620" s="545">
        <v>630848</v>
      </c>
      <c r="BC620" s="543" t="str">
        <f t="shared" si="9"/>
        <v>札幌市西区八軒八条西</v>
      </c>
      <c r="BD620" s="543" t="s">
        <v>414</v>
      </c>
      <c r="BE620" s="544" t="s">
        <v>955</v>
      </c>
    </row>
    <row r="621" spans="54:57">
      <c r="BB621" s="545">
        <v>630869</v>
      </c>
      <c r="BC621" s="543" t="str">
        <f t="shared" si="9"/>
        <v>札幌市西区八軒九条東</v>
      </c>
      <c r="BD621" s="543" t="s">
        <v>414</v>
      </c>
      <c r="BE621" s="544" t="s">
        <v>956</v>
      </c>
    </row>
    <row r="622" spans="54:57">
      <c r="BB622" s="545">
        <v>630849</v>
      </c>
      <c r="BC622" s="543" t="str">
        <f t="shared" si="9"/>
        <v>札幌市西区八軒九条西</v>
      </c>
      <c r="BD622" s="543" t="s">
        <v>414</v>
      </c>
      <c r="BE622" s="544" t="s">
        <v>957</v>
      </c>
    </row>
    <row r="623" spans="54:57">
      <c r="BB623" s="545">
        <v>630870</v>
      </c>
      <c r="BC623" s="543" t="str">
        <f t="shared" si="9"/>
        <v>札幌市西区八軒十条東</v>
      </c>
      <c r="BD623" s="543" t="s">
        <v>414</v>
      </c>
      <c r="BE623" s="544" t="s">
        <v>958</v>
      </c>
    </row>
    <row r="624" spans="54:57">
      <c r="BB624" s="545">
        <v>630850</v>
      </c>
      <c r="BC624" s="543" t="str">
        <f t="shared" si="9"/>
        <v>札幌市西区八軒十条西</v>
      </c>
      <c r="BD624" s="543" t="s">
        <v>414</v>
      </c>
      <c r="BE624" s="544" t="s">
        <v>959</v>
      </c>
    </row>
    <row r="625" spans="54:57">
      <c r="BB625" s="545">
        <v>630821</v>
      </c>
      <c r="BC625" s="543" t="str">
        <f t="shared" si="9"/>
        <v>札幌市西区発寒一条</v>
      </c>
      <c r="BD625" s="543" t="s">
        <v>414</v>
      </c>
      <c r="BE625" s="544" t="s">
        <v>960</v>
      </c>
    </row>
    <row r="626" spans="54:57">
      <c r="BB626" s="545">
        <v>630822</v>
      </c>
      <c r="BC626" s="543" t="str">
        <f t="shared" si="9"/>
        <v>札幌市西区発寒二条</v>
      </c>
      <c r="BD626" s="543" t="s">
        <v>414</v>
      </c>
      <c r="BE626" s="544" t="s">
        <v>961</v>
      </c>
    </row>
    <row r="627" spans="54:57">
      <c r="BB627" s="545">
        <v>630823</v>
      </c>
      <c r="BC627" s="543" t="str">
        <f t="shared" si="9"/>
        <v>札幌市西区発寒三条</v>
      </c>
      <c r="BD627" s="543" t="s">
        <v>414</v>
      </c>
      <c r="BE627" s="544" t="s">
        <v>962</v>
      </c>
    </row>
    <row r="628" spans="54:57">
      <c r="BB628" s="545">
        <v>630824</v>
      </c>
      <c r="BC628" s="543" t="str">
        <f t="shared" si="9"/>
        <v>札幌市西区発寒四条</v>
      </c>
      <c r="BD628" s="543" t="s">
        <v>414</v>
      </c>
      <c r="BE628" s="544" t="s">
        <v>963</v>
      </c>
    </row>
    <row r="629" spans="54:57">
      <c r="BB629" s="545">
        <v>630825</v>
      </c>
      <c r="BC629" s="543" t="str">
        <f t="shared" si="9"/>
        <v>札幌市西区発寒五条</v>
      </c>
      <c r="BD629" s="543" t="s">
        <v>414</v>
      </c>
      <c r="BE629" s="544" t="s">
        <v>964</v>
      </c>
    </row>
    <row r="630" spans="54:57">
      <c r="BB630" s="545">
        <v>630826</v>
      </c>
      <c r="BC630" s="543" t="str">
        <f t="shared" si="9"/>
        <v>札幌市西区発寒六条</v>
      </c>
      <c r="BD630" s="543" t="s">
        <v>414</v>
      </c>
      <c r="BE630" s="544" t="s">
        <v>965</v>
      </c>
    </row>
    <row r="631" spans="54:57">
      <c r="BB631" s="545">
        <v>630827</v>
      </c>
      <c r="BC631" s="543" t="str">
        <f t="shared" si="9"/>
        <v>札幌市西区発寒七条</v>
      </c>
      <c r="BD631" s="543" t="s">
        <v>414</v>
      </c>
      <c r="BE631" s="544" t="s">
        <v>966</v>
      </c>
    </row>
    <row r="632" spans="54:57">
      <c r="BB632" s="545">
        <v>630828</v>
      </c>
      <c r="BC632" s="543" t="str">
        <f t="shared" si="9"/>
        <v>札幌市西区発寒八条</v>
      </c>
      <c r="BD632" s="543" t="s">
        <v>414</v>
      </c>
      <c r="BE632" s="544" t="s">
        <v>967</v>
      </c>
    </row>
    <row r="633" spans="54:57">
      <c r="BB633" s="545">
        <v>630829</v>
      </c>
      <c r="BC633" s="543" t="str">
        <f t="shared" si="9"/>
        <v>札幌市西区発寒九条</v>
      </c>
      <c r="BD633" s="543" t="s">
        <v>414</v>
      </c>
      <c r="BE633" s="544" t="s">
        <v>968</v>
      </c>
    </row>
    <row r="634" spans="54:57">
      <c r="BB634" s="545">
        <v>630830</v>
      </c>
      <c r="BC634" s="543" t="str">
        <f t="shared" si="9"/>
        <v>札幌市西区発寒十条</v>
      </c>
      <c r="BD634" s="543" t="s">
        <v>414</v>
      </c>
      <c r="BE634" s="544" t="s">
        <v>969</v>
      </c>
    </row>
    <row r="635" spans="54:57">
      <c r="BB635" s="545">
        <v>630831</v>
      </c>
      <c r="BC635" s="543" t="str">
        <f t="shared" si="9"/>
        <v>札幌市西区発寒十一条</v>
      </c>
      <c r="BD635" s="543" t="s">
        <v>414</v>
      </c>
      <c r="BE635" s="544" t="s">
        <v>970</v>
      </c>
    </row>
    <row r="636" spans="54:57">
      <c r="BB636" s="545">
        <v>630832</v>
      </c>
      <c r="BC636" s="543" t="str">
        <f t="shared" si="9"/>
        <v>札幌市西区発寒十二条</v>
      </c>
      <c r="BD636" s="543" t="s">
        <v>414</v>
      </c>
      <c r="BE636" s="544" t="s">
        <v>971</v>
      </c>
    </row>
    <row r="637" spans="54:57">
      <c r="BB637" s="545">
        <v>630833</v>
      </c>
      <c r="BC637" s="543" t="str">
        <f t="shared" si="9"/>
        <v>札幌市西区発寒十三条</v>
      </c>
      <c r="BD637" s="543" t="s">
        <v>414</v>
      </c>
      <c r="BE637" s="544" t="s">
        <v>972</v>
      </c>
    </row>
    <row r="638" spans="54:57">
      <c r="BB638" s="545">
        <v>630834</v>
      </c>
      <c r="BC638" s="543" t="str">
        <f t="shared" si="9"/>
        <v>札幌市西区発寒十四条</v>
      </c>
      <c r="BD638" s="543" t="s">
        <v>414</v>
      </c>
      <c r="BE638" s="544" t="s">
        <v>973</v>
      </c>
    </row>
    <row r="639" spans="54:57">
      <c r="BB639" s="545">
        <v>630835</v>
      </c>
      <c r="BC639" s="543" t="str">
        <f t="shared" ref="BC639:BC702" si="10">BD639&amp;BE639</f>
        <v>札幌市西区発寒十五条</v>
      </c>
      <c r="BD639" s="543" t="s">
        <v>414</v>
      </c>
      <c r="BE639" s="544" t="s">
        <v>974</v>
      </c>
    </row>
    <row r="640" spans="54:57">
      <c r="BB640" s="545">
        <v>630836</v>
      </c>
      <c r="BC640" s="543" t="str">
        <f t="shared" si="10"/>
        <v>札幌市西区発寒十六条</v>
      </c>
      <c r="BD640" s="543" t="s">
        <v>414</v>
      </c>
      <c r="BE640" s="544" t="s">
        <v>975</v>
      </c>
    </row>
    <row r="641" spans="54:57">
      <c r="BB641" s="545">
        <v>630837</v>
      </c>
      <c r="BC641" s="543" t="str">
        <f t="shared" si="10"/>
        <v>札幌市西区発寒十七条</v>
      </c>
      <c r="BD641" s="543" t="s">
        <v>414</v>
      </c>
      <c r="BE641" s="544" t="s">
        <v>976</v>
      </c>
    </row>
    <row r="642" spans="54:57">
      <c r="BB642" s="545">
        <v>630012</v>
      </c>
      <c r="BC642" s="543" t="str">
        <f t="shared" si="10"/>
        <v>札幌市西区福井</v>
      </c>
      <c r="BD642" s="543" t="s">
        <v>414</v>
      </c>
      <c r="BE642" s="544" t="s">
        <v>977</v>
      </c>
    </row>
    <row r="643" spans="54:57">
      <c r="BB643" s="545">
        <v>630029</v>
      </c>
      <c r="BC643" s="543" t="str">
        <f t="shared" si="10"/>
        <v>札幌市西区平和</v>
      </c>
      <c r="BD643" s="543" t="s">
        <v>414</v>
      </c>
      <c r="BE643" s="544" t="s">
        <v>978</v>
      </c>
    </row>
    <row r="644" spans="54:57">
      <c r="BB644" s="545">
        <v>630021</v>
      </c>
      <c r="BC644" s="543" t="str">
        <f t="shared" si="10"/>
        <v>札幌市西区平和一条</v>
      </c>
      <c r="BD644" s="543" t="s">
        <v>414</v>
      </c>
      <c r="BE644" s="544" t="s">
        <v>979</v>
      </c>
    </row>
    <row r="645" spans="54:57">
      <c r="BB645" s="545">
        <v>630022</v>
      </c>
      <c r="BC645" s="543" t="str">
        <f t="shared" si="10"/>
        <v>札幌市西区平和二条</v>
      </c>
      <c r="BD645" s="543" t="s">
        <v>414</v>
      </c>
      <c r="BE645" s="544" t="s">
        <v>980</v>
      </c>
    </row>
    <row r="646" spans="54:57">
      <c r="BB646" s="545">
        <v>630023</v>
      </c>
      <c r="BC646" s="543" t="str">
        <f t="shared" si="10"/>
        <v>札幌市西区平和三条</v>
      </c>
      <c r="BD646" s="543" t="s">
        <v>414</v>
      </c>
      <c r="BE646" s="544" t="s">
        <v>981</v>
      </c>
    </row>
    <row r="647" spans="54:57">
      <c r="BB647" s="545">
        <v>630059</v>
      </c>
      <c r="BC647" s="543" t="str">
        <f t="shared" si="10"/>
        <v>札幌市西区宮の沢</v>
      </c>
      <c r="BD647" s="543" t="s">
        <v>414</v>
      </c>
      <c r="BE647" s="544" t="s">
        <v>982</v>
      </c>
    </row>
    <row r="648" spans="54:57">
      <c r="BB648" s="545">
        <v>630051</v>
      </c>
      <c r="BC648" s="543" t="str">
        <f t="shared" si="10"/>
        <v>札幌市西区宮の沢一条</v>
      </c>
      <c r="BD648" s="543" t="s">
        <v>414</v>
      </c>
      <c r="BE648" s="544" t="s">
        <v>983</v>
      </c>
    </row>
    <row r="649" spans="54:57">
      <c r="BB649" s="545">
        <v>630052</v>
      </c>
      <c r="BC649" s="543" t="str">
        <f t="shared" si="10"/>
        <v>札幌市西区宮の沢二条</v>
      </c>
      <c r="BD649" s="543" t="s">
        <v>414</v>
      </c>
      <c r="BE649" s="544" t="s">
        <v>984</v>
      </c>
    </row>
    <row r="650" spans="54:57">
      <c r="BB650" s="545">
        <v>630053</v>
      </c>
      <c r="BC650" s="543" t="str">
        <f t="shared" si="10"/>
        <v>札幌市西区宮の沢三条</v>
      </c>
      <c r="BD650" s="543" t="s">
        <v>414</v>
      </c>
      <c r="BE650" s="544" t="s">
        <v>985</v>
      </c>
    </row>
    <row r="651" spans="54:57">
      <c r="BB651" s="545">
        <v>630054</v>
      </c>
      <c r="BC651" s="543" t="str">
        <f t="shared" si="10"/>
        <v>札幌市西区宮の沢四条</v>
      </c>
      <c r="BD651" s="543" t="s">
        <v>414</v>
      </c>
      <c r="BE651" s="544" t="s">
        <v>986</v>
      </c>
    </row>
    <row r="652" spans="54:57">
      <c r="BB652" s="545">
        <v>630009</v>
      </c>
      <c r="BC652" s="543" t="str">
        <f t="shared" si="10"/>
        <v>札幌市西区山の手</v>
      </c>
      <c r="BD652" s="543" t="s">
        <v>414</v>
      </c>
      <c r="BE652" s="544" t="s">
        <v>987</v>
      </c>
    </row>
    <row r="653" spans="54:57">
      <c r="BB653" s="545">
        <v>630001</v>
      </c>
      <c r="BC653" s="543" t="str">
        <f t="shared" si="10"/>
        <v>札幌市西区山の手一条</v>
      </c>
      <c r="BD653" s="543" t="s">
        <v>414</v>
      </c>
      <c r="BE653" s="544" t="s">
        <v>988</v>
      </c>
    </row>
    <row r="654" spans="54:57">
      <c r="BB654" s="545">
        <v>630002</v>
      </c>
      <c r="BC654" s="543" t="str">
        <f t="shared" si="10"/>
        <v>札幌市西区山の手二条</v>
      </c>
      <c r="BD654" s="543" t="s">
        <v>414</v>
      </c>
      <c r="BE654" s="544" t="s">
        <v>989</v>
      </c>
    </row>
    <row r="655" spans="54:57">
      <c r="BB655" s="545">
        <v>630003</v>
      </c>
      <c r="BC655" s="543" t="str">
        <f t="shared" si="10"/>
        <v>札幌市西区山の手三条</v>
      </c>
      <c r="BD655" s="543" t="s">
        <v>414</v>
      </c>
      <c r="BE655" s="544" t="s">
        <v>990</v>
      </c>
    </row>
    <row r="656" spans="54:57">
      <c r="BB656" s="545">
        <v>630004</v>
      </c>
      <c r="BC656" s="543" t="str">
        <f t="shared" si="10"/>
        <v>札幌市西区山の手四条</v>
      </c>
      <c r="BD656" s="543" t="s">
        <v>414</v>
      </c>
      <c r="BE656" s="544" t="s">
        <v>991</v>
      </c>
    </row>
    <row r="657" spans="54:57">
      <c r="BB657" s="545">
        <v>630005</v>
      </c>
      <c r="BC657" s="543" t="str">
        <f t="shared" si="10"/>
        <v>札幌市西区山の手五条</v>
      </c>
      <c r="BD657" s="543" t="s">
        <v>414</v>
      </c>
      <c r="BE657" s="544" t="s">
        <v>992</v>
      </c>
    </row>
    <row r="658" spans="54:57">
      <c r="BB658" s="545">
        <v>630006</v>
      </c>
      <c r="BC658" s="543" t="str">
        <f t="shared" si="10"/>
        <v>札幌市西区山の手六条</v>
      </c>
      <c r="BD658" s="543" t="s">
        <v>414</v>
      </c>
      <c r="BE658" s="544" t="s">
        <v>993</v>
      </c>
    </row>
    <row r="659" spans="54:57">
      <c r="BB659" s="545">
        <v>630007</v>
      </c>
      <c r="BC659" s="543" t="str">
        <f t="shared" si="10"/>
        <v>札幌市西区山の手七条</v>
      </c>
      <c r="BD659" s="543" t="s">
        <v>414</v>
      </c>
      <c r="BE659" s="544" t="s">
        <v>994</v>
      </c>
    </row>
    <row r="660" spans="54:57">
      <c r="BB660" s="545">
        <v>40000</v>
      </c>
      <c r="BC660" s="543" t="str">
        <f t="shared" si="10"/>
        <v>札幌市厚別区</v>
      </c>
      <c r="BD660" s="543" t="s">
        <v>415</v>
      </c>
    </row>
    <row r="661" spans="54:57">
      <c r="BB661" s="545">
        <v>40021</v>
      </c>
      <c r="BC661" s="543" t="str">
        <f t="shared" si="10"/>
        <v>札幌市厚別区青葉町</v>
      </c>
      <c r="BD661" s="543" t="s">
        <v>415</v>
      </c>
      <c r="BE661" s="544" t="s">
        <v>995</v>
      </c>
    </row>
    <row r="662" spans="54:57">
      <c r="BB662" s="545">
        <v>40071</v>
      </c>
      <c r="BC662" s="543" t="str">
        <f t="shared" si="10"/>
        <v>札幌市厚別区厚別北一条</v>
      </c>
      <c r="BD662" s="543" t="s">
        <v>415</v>
      </c>
      <c r="BE662" s="544" t="s">
        <v>996</v>
      </c>
    </row>
    <row r="663" spans="54:57">
      <c r="BB663" s="545">
        <v>40072</v>
      </c>
      <c r="BC663" s="543" t="str">
        <f t="shared" si="10"/>
        <v>札幌市厚別区厚別北二条</v>
      </c>
      <c r="BD663" s="543" t="s">
        <v>415</v>
      </c>
      <c r="BE663" s="544" t="s">
        <v>997</v>
      </c>
    </row>
    <row r="664" spans="54:57">
      <c r="BB664" s="545">
        <v>40073</v>
      </c>
      <c r="BC664" s="543" t="str">
        <f t="shared" si="10"/>
        <v>札幌市厚別区厚別北三条</v>
      </c>
      <c r="BD664" s="543" t="s">
        <v>415</v>
      </c>
      <c r="BE664" s="544" t="s">
        <v>998</v>
      </c>
    </row>
    <row r="665" spans="54:57">
      <c r="BB665" s="545">
        <v>40074</v>
      </c>
      <c r="BC665" s="543" t="str">
        <f t="shared" si="10"/>
        <v>札幌市厚別区厚別北四条</v>
      </c>
      <c r="BD665" s="543" t="s">
        <v>415</v>
      </c>
      <c r="BE665" s="544" t="s">
        <v>999</v>
      </c>
    </row>
    <row r="666" spans="54:57">
      <c r="BB666" s="545">
        <v>40075</v>
      </c>
      <c r="BC666" s="543" t="str">
        <f t="shared" si="10"/>
        <v>札幌市厚別区厚別北五条</v>
      </c>
      <c r="BD666" s="543" t="s">
        <v>415</v>
      </c>
      <c r="BE666" s="544" t="s">
        <v>1000</v>
      </c>
    </row>
    <row r="667" spans="54:57">
      <c r="BB667" s="545">
        <v>40076</v>
      </c>
      <c r="BC667" s="543" t="str">
        <f t="shared" si="10"/>
        <v>札幌市厚別区厚別北六条</v>
      </c>
      <c r="BD667" s="543" t="s">
        <v>415</v>
      </c>
      <c r="BE667" s="544" t="s">
        <v>1001</v>
      </c>
    </row>
    <row r="668" spans="54:57">
      <c r="BB668" s="545">
        <v>40051</v>
      </c>
      <c r="BC668" s="543" t="str">
        <f t="shared" si="10"/>
        <v>札幌市厚別区厚別中央一条</v>
      </c>
      <c r="BD668" s="543" t="s">
        <v>415</v>
      </c>
      <c r="BE668" s="544" t="s">
        <v>1002</v>
      </c>
    </row>
    <row r="669" spans="54:57">
      <c r="BB669" s="545">
        <v>40052</v>
      </c>
      <c r="BC669" s="543" t="str">
        <f t="shared" si="10"/>
        <v>札幌市厚別区厚別中央二条</v>
      </c>
      <c r="BD669" s="543" t="s">
        <v>415</v>
      </c>
      <c r="BE669" s="544" t="s">
        <v>1003</v>
      </c>
    </row>
    <row r="670" spans="54:57">
      <c r="BB670" s="545">
        <v>40053</v>
      </c>
      <c r="BC670" s="543" t="str">
        <f t="shared" si="10"/>
        <v>札幌市厚別区厚別中央三条</v>
      </c>
      <c r="BD670" s="543" t="s">
        <v>415</v>
      </c>
      <c r="BE670" s="544" t="s">
        <v>1004</v>
      </c>
    </row>
    <row r="671" spans="54:57">
      <c r="BB671" s="545">
        <v>40054</v>
      </c>
      <c r="BC671" s="543" t="str">
        <f t="shared" si="10"/>
        <v>札幌市厚別区厚別中央四条</v>
      </c>
      <c r="BD671" s="543" t="s">
        <v>415</v>
      </c>
      <c r="BE671" s="544" t="s">
        <v>1005</v>
      </c>
    </row>
    <row r="672" spans="54:57">
      <c r="BB672" s="545">
        <v>40055</v>
      </c>
      <c r="BC672" s="543" t="str">
        <f t="shared" si="10"/>
        <v>札幌市厚別区厚別中央五条</v>
      </c>
      <c r="BD672" s="543" t="s">
        <v>415</v>
      </c>
      <c r="BE672" s="544" t="s">
        <v>1006</v>
      </c>
    </row>
    <row r="673" spans="54:57">
      <c r="BB673" s="545">
        <v>40039</v>
      </c>
      <c r="BC673" s="543" t="str">
        <f t="shared" si="10"/>
        <v>札幌市厚別区厚別町上野幌</v>
      </c>
      <c r="BD673" s="543" t="s">
        <v>415</v>
      </c>
      <c r="BE673" s="544" t="s">
        <v>1007</v>
      </c>
    </row>
    <row r="674" spans="54:57">
      <c r="BB674" s="545">
        <v>40007</v>
      </c>
      <c r="BC674" s="543" t="str">
        <f t="shared" si="10"/>
        <v>札幌市厚別区厚別町下野幌</v>
      </c>
      <c r="BD674" s="543" t="s">
        <v>415</v>
      </c>
      <c r="BE674" s="544" t="s">
        <v>1008</v>
      </c>
    </row>
    <row r="675" spans="54:57">
      <c r="BB675" s="545">
        <v>40006</v>
      </c>
      <c r="BC675" s="543" t="str">
        <f t="shared" si="10"/>
        <v>札幌市厚別区厚別町小野幌</v>
      </c>
      <c r="BD675" s="543" t="s">
        <v>415</v>
      </c>
      <c r="BE675" s="544" t="s">
        <v>1009</v>
      </c>
    </row>
    <row r="676" spans="54:57">
      <c r="BB676" s="545">
        <v>40069</v>
      </c>
      <c r="BC676" s="543" t="str">
        <f t="shared" si="10"/>
        <v>札幌市厚別区厚別町山本</v>
      </c>
      <c r="BD676" s="543" t="s">
        <v>415</v>
      </c>
      <c r="BE676" s="544" t="s">
        <v>1010</v>
      </c>
    </row>
    <row r="677" spans="54:57">
      <c r="BB677" s="545">
        <v>40068</v>
      </c>
      <c r="BC677" s="543" t="str">
        <f t="shared" si="10"/>
        <v>札幌市厚別区厚別西</v>
      </c>
      <c r="BD677" s="543" t="s">
        <v>415</v>
      </c>
      <c r="BE677" s="544" t="s">
        <v>1011</v>
      </c>
    </row>
    <row r="678" spans="54:57">
      <c r="BB678" s="545">
        <v>40061</v>
      </c>
      <c r="BC678" s="543" t="str">
        <f t="shared" si="10"/>
        <v>札幌市厚別区厚別西一条</v>
      </c>
      <c r="BD678" s="543" t="s">
        <v>415</v>
      </c>
      <c r="BE678" s="544" t="s">
        <v>1012</v>
      </c>
    </row>
    <row r="679" spans="54:57">
      <c r="BB679" s="545">
        <v>40062</v>
      </c>
      <c r="BC679" s="543" t="str">
        <f t="shared" si="10"/>
        <v>札幌市厚別区厚別西二条</v>
      </c>
      <c r="BD679" s="543" t="s">
        <v>415</v>
      </c>
      <c r="BE679" s="544" t="s">
        <v>1013</v>
      </c>
    </row>
    <row r="680" spans="54:57">
      <c r="BB680" s="545">
        <v>40063</v>
      </c>
      <c r="BC680" s="543" t="str">
        <f t="shared" si="10"/>
        <v>札幌市厚別区厚別西三条</v>
      </c>
      <c r="BD680" s="543" t="s">
        <v>415</v>
      </c>
      <c r="BE680" s="544" t="s">
        <v>1014</v>
      </c>
    </row>
    <row r="681" spans="54:57">
      <c r="BB681" s="545">
        <v>40064</v>
      </c>
      <c r="BC681" s="543" t="str">
        <f t="shared" si="10"/>
        <v>札幌市厚別区厚別西四条</v>
      </c>
      <c r="BD681" s="543" t="s">
        <v>415</v>
      </c>
      <c r="BE681" s="544" t="s">
        <v>1015</v>
      </c>
    </row>
    <row r="682" spans="54:57">
      <c r="BB682" s="545">
        <v>40065</v>
      </c>
      <c r="BC682" s="543" t="str">
        <f t="shared" si="10"/>
        <v>札幌市厚別区厚別西五条</v>
      </c>
      <c r="BD682" s="543" t="s">
        <v>415</v>
      </c>
      <c r="BE682" s="544" t="s">
        <v>1016</v>
      </c>
    </row>
    <row r="683" spans="54:57">
      <c r="BB683" s="545">
        <v>40001</v>
      </c>
      <c r="BC683" s="543" t="str">
        <f t="shared" si="10"/>
        <v>札幌市厚別区厚別東一条</v>
      </c>
      <c r="BD683" s="543" t="s">
        <v>415</v>
      </c>
      <c r="BE683" s="544" t="s">
        <v>1017</v>
      </c>
    </row>
    <row r="684" spans="54:57">
      <c r="BB684" s="545">
        <v>40002</v>
      </c>
      <c r="BC684" s="543" t="str">
        <f t="shared" si="10"/>
        <v>札幌市厚別区厚別東二条</v>
      </c>
      <c r="BD684" s="543" t="s">
        <v>415</v>
      </c>
      <c r="BE684" s="544" t="s">
        <v>1018</v>
      </c>
    </row>
    <row r="685" spans="54:57">
      <c r="BB685" s="545">
        <v>40003</v>
      </c>
      <c r="BC685" s="543" t="str">
        <f t="shared" si="10"/>
        <v>札幌市厚別区厚別東三条</v>
      </c>
      <c r="BD685" s="543" t="s">
        <v>415</v>
      </c>
      <c r="BE685" s="544" t="s">
        <v>1019</v>
      </c>
    </row>
    <row r="686" spans="54:57">
      <c r="BB686" s="545">
        <v>40004</v>
      </c>
      <c r="BC686" s="543" t="str">
        <f t="shared" si="10"/>
        <v>札幌市厚別区厚別東四条</v>
      </c>
      <c r="BD686" s="543" t="s">
        <v>415</v>
      </c>
      <c r="BE686" s="544" t="s">
        <v>1020</v>
      </c>
    </row>
    <row r="687" spans="54:57">
      <c r="BB687" s="545">
        <v>40005</v>
      </c>
      <c r="BC687" s="543" t="str">
        <f t="shared" si="10"/>
        <v>札幌市厚別区厚別東五条</v>
      </c>
      <c r="BD687" s="543" t="s">
        <v>415</v>
      </c>
      <c r="BE687" s="544" t="s">
        <v>1021</v>
      </c>
    </row>
    <row r="688" spans="54:57">
      <c r="BB688" s="545">
        <v>40022</v>
      </c>
      <c r="BC688" s="543" t="str">
        <f t="shared" si="10"/>
        <v>札幌市厚別区厚別南</v>
      </c>
      <c r="BD688" s="543" t="s">
        <v>415</v>
      </c>
      <c r="BE688" s="544" t="s">
        <v>1022</v>
      </c>
    </row>
    <row r="689" spans="54:57">
      <c r="BB689" s="545">
        <v>40041</v>
      </c>
      <c r="BC689" s="543" t="str">
        <f t="shared" si="10"/>
        <v>札幌市厚別区大谷地東</v>
      </c>
      <c r="BD689" s="543" t="s">
        <v>415</v>
      </c>
      <c r="BE689" s="544" t="s">
        <v>1023</v>
      </c>
    </row>
    <row r="690" spans="54:57">
      <c r="BB690" s="545">
        <v>40042</v>
      </c>
      <c r="BC690" s="543" t="str">
        <f t="shared" si="10"/>
        <v>札幌市厚別区大谷地西</v>
      </c>
      <c r="BD690" s="543" t="s">
        <v>415</v>
      </c>
      <c r="BE690" s="544" t="s">
        <v>1024</v>
      </c>
    </row>
    <row r="691" spans="54:57">
      <c r="BB691" s="545">
        <v>40031</v>
      </c>
      <c r="BC691" s="543" t="str">
        <f t="shared" si="10"/>
        <v>札幌市厚別区上野幌一条</v>
      </c>
      <c r="BD691" s="543" t="s">
        <v>415</v>
      </c>
      <c r="BE691" s="544" t="s">
        <v>1025</v>
      </c>
    </row>
    <row r="692" spans="54:57">
      <c r="BB692" s="545">
        <v>40032</v>
      </c>
      <c r="BC692" s="543" t="str">
        <f t="shared" si="10"/>
        <v>札幌市厚別区上野幌二条</v>
      </c>
      <c r="BD692" s="543" t="s">
        <v>415</v>
      </c>
      <c r="BE692" s="544" t="s">
        <v>1026</v>
      </c>
    </row>
    <row r="693" spans="54:57">
      <c r="BB693" s="545">
        <v>40033</v>
      </c>
      <c r="BC693" s="543" t="str">
        <f t="shared" si="10"/>
        <v>札幌市厚別区上野幌三条</v>
      </c>
      <c r="BD693" s="543" t="s">
        <v>415</v>
      </c>
      <c r="BE693" s="544" t="s">
        <v>1027</v>
      </c>
    </row>
    <row r="694" spans="54:57">
      <c r="BB694" s="545">
        <v>40015</v>
      </c>
      <c r="BC694" s="543" t="str">
        <f t="shared" si="10"/>
        <v>札幌市厚別区下野幌テクノパーク</v>
      </c>
      <c r="BD694" s="543" t="s">
        <v>415</v>
      </c>
      <c r="BE694" s="544" t="s">
        <v>1028</v>
      </c>
    </row>
    <row r="695" spans="54:57">
      <c r="BB695" s="545">
        <v>40011</v>
      </c>
      <c r="BC695" s="543" t="str">
        <f t="shared" si="10"/>
        <v>札幌市厚別区もみじ台東</v>
      </c>
      <c r="BD695" s="543" t="s">
        <v>415</v>
      </c>
      <c r="BE695" s="544" t="s">
        <v>1029</v>
      </c>
    </row>
    <row r="696" spans="54:57">
      <c r="BB696" s="545">
        <v>40013</v>
      </c>
      <c r="BC696" s="543" t="str">
        <f t="shared" si="10"/>
        <v>札幌市厚別区もみじ台西</v>
      </c>
      <c r="BD696" s="543" t="s">
        <v>415</v>
      </c>
      <c r="BE696" s="544" t="s">
        <v>1030</v>
      </c>
    </row>
    <row r="697" spans="54:57">
      <c r="BB697" s="545">
        <v>40012</v>
      </c>
      <c r="BC697" s="543" t="str">
        <f t="shared" si="10"/>
        <v>札幌市厚別区もみじ台南</v>
      </c>
      <c r="BD697" s="543" t="s">
        <v>415</v>
      </c>
      <c r="BE697" s="544" t="s">
        <v>1031</v>
      </c>
    </row>
    <row r="698" spans="54:57">
      <c r="BB698" s="545">
        <v>40014</v>
      </c>
      <c r="BC698" s="543" t="str">
        <f t="shared" si="10"/>
        <v>札幌市厚別区もみじ台北</v>
      </c>
      <c r="BD698" s="543" t="s">
        <v>415</v>
      </c>
      <c r="BE698" s="544" t="s">
        <v>1032</v>
      </c>
    </row>
    <row r="699" spans="54:57">
      <c r="BB699" s="545">
        <v>60000</v>
      </c>
      <c r="BC699" s="543" t="str">
        <f t="shared" si="10"/>
        <v>札幌市手稲区</v>
      </c>
      <c r="BD699" s="543" t="s">
        <v>416</v>
      </c>
    </row>
    <row r="700" spans="54:57">
      <c r="BB700" s="545">
        <v>60831</v>
      </c>
      <c r="BC700" s="543" t="str">
        <f t="shared" si="10"/>
        <v>札幌市手稲区曙一条</v>
      </c>
      <c r="BD700" s="543" t="s">
        <v>416</v>
      </c>
      <c r="BE700" s="544" t="s">
        <v>1033</v>
      </c>
    </row>
    <row r="701" spans="54:57">
      <c r="BB701" s="545">
        <v>60832</v>
      </c>
      <c r="BC701" s="543" t="str">
        <f t="shared" si="10"/>
        <v>札幌市手稲区曙二条</v>
      </c>
      <c r="BD701" s="543" t="s">
        <v>416</v>
      </c>
      <c r="BE701" s="544" t="s">
        <v>1034</v>
      </c>
    </row>
    <row r="702" spans="54:57">
      <c r="BB702" s="545">
        <v>60833</v>
      </c>
      <c r="BC702" s="543" t="str">
        <f t="shared" si="10"/>
        <v>札幌市手稲区曙三条</v>
      </c>
      <c r="BD702" s="543" t="s">
        <v>416</v>
      </c>
      <c r="BE702" s="544" t="s">
        <v>1035</v>
      </c>
    </row>
    <row r="703" spans="54:57">
      <c r="BB703" s="545">
        <v>60834</v>
      </c>
      <c r="BC703" s="543" t="str">
        <f t="shared" ref="BC703:BC766" si="11">BD703&amp;BE703</f>
        <v>札幌市手稲区曙四条</v>
      </c>
      <c r="BD703" s="543" t="s">
        <v>416</v>
      </c>
      <c r="BE703" s="544" t="s">
        <v>1036</v>
      </c>
    </row>
    <row r="704" spans="54:57">
      <c r="BB704" s="545">
        <v>60835</v>
      </c>
      <c r="BC704" s="543" t="str">
        <f t="shared" si="11"/>
        <v>札幌市手稲区曙五条</v>
      </c>
      <c r="BD704" s="543" t="s">
        <v>416</v>
      </c>
      <c r="BE704" s="544" t="s">
        <v>1037</v>
      </c>
    </row>
    <row r="705" spans="54:57">
      <c r="BB705" s="545">
        <v>60836</v>
      </c>
      <c r="BC705" s="543" t="str">
        <f t="shared" si="11"/>
        <v>札幌市手稲区曙六条</v>
      </c>
      <c r="BD705" s="543" t="s">
        <v>416</v>
      </c>
      <c r="BE705" s="544" t="s">
        <v>1038</v>
      </c>
    </row>
    <row r="706" spans="54:57">
      <c r="BB706" s="545">
        <v>60837</v>
      </c>
      <c r="BC706" s="543" t="str">
        <f t="shared" si="11"/>
        <v>札幌市手稲区曙七条</v>
      </c>
      <c r="BD706" s="543" t="s">
        <v>416</v>
      </c>
      <c r="BE706" s="544" t="s">
        <v>1039</v>
      </c>
    </row>
    <row r="707" spans="54:57">
      <c r="BB707" s="545">
        <v>60838</v>
      </c>
      <c r="BC707" s="543" t="str">
        <f t="shared" si="11"/>
        <v>札幌市手稲区曙八条</v>
      </c>
      <c r="BD707" s="543" t="s">
        <v>416</v>
      </c>
      <c r="BE707" s="544" t="s">
        <v>1040</v>
      </c>
    </row>
    <row r="708" spans="54:57">
      <c r="BB708" s="545">
        <v>60839</v>
      </c>
      <c r="BC708" s="543" t="str">
        <f t="shared" si="11"/>
        <v>札幌市手稲区曙九条</v>
      </c>
      <c r="BD708" s="543" t="s">
        <v>416</v>
      </c>
      <c r="BE708" s="544" t="s">
        <v>1041</v>
      </c>
    </row>
    <row r="709" spans="54:57">
      <c r="BB709" s="545">
        <v>60840</v>
      </c>
      <c r="BC709" s="543" t="str">
        <f t="shared" si="11"/>
        <v>札幌市手稲区曙十条</v>
      </c>
      <c r="BD709" s="543" t="s">
        <v>416</v>
      </c>
      <c r="BE709" s="544" t="s">
        <v>1042</v>
      </c>
    </row>
    <row r="710" spans="54:57">
      <c r="BB710" s="545">
        <v>60841</v>
      </c>
      <c r="BC710" s="543" t="str">
        <f t="shared" si="11"/>
        <v>札幌市手稲区曙十一条</v>
      </c>
      <c r="BD710" s="543" t="s">
        <v>416</v>
      </c>
      <c r="BE710" s="544" t="s">
        <v>1043</v>
      </c>
    </row>
    <row r="711" spans="54:57">
      <c r="BB711" s="545">
        <v>60842</v>
      </c>
      <c r="BC711" s="543" t="str">
        <f t="shared" si="11"/>
        <v>札幌市手稲区曙十二条</v>
      </c>
      <c r="BD711" s="543" t="s">
        <v>416</v>
      </c>
      <c r="BE711" s="544" t="s">
        <v>1044</v>
      </c>
    </row>
    <row r="712" spans="54:57">
      <c r="BB712" s="545">
        <v>60861</v>
      </c>
      <c r="BC712" s="543" t="str">
        <f t="shared" si="11"/>
        <v>札幌市手稲区明日風</v>
      </c>
      <c r="BD712" s="543" t="s">
        <v>416</v>
      </c>
      <c r="BE712" s="544" t="s">
        <v>1045</v>
      </c>
    </row>
    <row r="713" spans="54:57">
      <c r="BB713" s="545">
        <v>60031</v>
      </c>
      <c r="BC713" s="543" t="str">
        <f t="shared" si="11"/>
        <v>札幌市手稲区稲穂一条</v>
      </c>
      <c r="BD713" s="543" t="s">
        <v>416</v>
      </c>
      <c r="BE713" s="544" t="s">
        <v>1046</v>
      </c>
    </row>
    <row r="714" spans="54:57">
      <c r="BB714" s="545">
        <v>60032</v>
      </c>
      <c r="BC714" s="543" t="str">
        <f t="shared" si="11"/>
        <v>札幌市手稲区稲穂二条</v>
      </c>
      <c r="BD714" s="543" t="s">
        <v>416</v>
      </c>
      <c r="BE714" s="544" t="s">
        <v>1047</v>
      </c>
    </row>
    <row r="715" spans="54:57">
      <c r="BB715" s="545">
        <v>60033</v>
      </c>
      <c r="BC715" s="543" t="str">
        <f t="shared" si="11"/>
        <v>札幌市手稲区稲穂三条</v>
      </c>
      <c r="BD715" s="543" t="s">
        <v>416</v>
      </c>
      <c r="BE715" s="544" t="s">
        <v>1048</v>
      </c>
    </row>
    <row r="716" spans="54:57">
      <c r="BB716" s="545">
        <v>60034</v>
      </c>
      <c r="BC716" s="543" t="str">
        <f t="shared" si="11"/>
        <v>札幌市手稲区稲穂四条</v>
      </c>
      <c r="BD716" s="543" t="s">
        <v>416</v>
      </c>
      <c r="BE716" s="544" t="s">
        <v>1049</v>
      </c>
    </row>
    <row r="717" spans="54:57">
      <c r="BB717" s="545">
        <v>60035</v>
      </c>
      <c r="BC717" s="543" t="str">
        <f t="shared" si="11"/>
        <v>札幌市手稲区稲穂五条</v>
      </c>
      <c r="BD717" s="543" t="s">
        <v>416</v>
      </c>
      <c r="BE717" s="544" t="s">
        <v>1050</v>
      </c>
    </row>
    <row r="718" spans="54:57">
      <c r="BB718" s="545">
        <v>60041</v>
      </c>
      <c r="BC718" s="543" t="str">
        <f t="shared" si="11"/>
        <v>札幌市手稲区金山一条</v>
      </c>
      <c r="BD718" s="543" t="s">
        <v>416</v>
      </c>
      <c r="BE718" s="544" t="s">
        <v>1051</v>
      </c>
    </row>
    <row r="719" spans="54:57">
      <c r="BB719" s="545">
        <v>60042</v>
      </c>
      <c r="BC719" s="543" t="str">
        <f t="shared" si="11"/>
        <v>札幌市手稲区金山二条</v>
      </c>
      <c r="BD719" s="543" t="s">
        <v>416</v>
      </c>
      <c r="BE719" s="544" t="s">
        <v>1052</v>
      </c>
    </row>
    <row r="720" spans="54:57">
      <c r="BB720" s="545">
        <v>60043</v>
      </c>
      <c r="BC720" s="543" t="str">
        <f t="shared" si="11"/>
        <v>札幌市手稲区金山三条</v>
      </c>
      <c r="BD720" s="543" t="s">
        <v>416</v>
      </c>
      <c r="BE720" s="544" t="s">
        <v>1053</v>
      </c>
    </row>
    <row r="721" spans="54:57">
      <c r="BB721" s="545">
        <v>60801</v>
      </c>
      <c r="BC721" s="543" t="str">
        <f t="shared" si="11"/>
        <v>札幌市手稲区新発寒一条</v>
      </c>
      <c r="BD721" s="543" t="s">
        <v>416</v>
      </c>
      <c r="BE721" s="544" t="s">
        <v>1054</v>
      </c>
    </row>
    <row r="722" spans="54:57">
      <c r="BB722" s="545">
        <v>60802</v>
      </c>
      <c r="BC722" s="543" t="str">
        <f t="shared" si="11"/>
        <v>札幌市手稲区新発寒二条</v>
      </c>
      <c r="BD722" s="543" t="s">
        <v>416</v>
      </c>
      <c r="BE722" s="544" t="s">
        <v>1055</v>
      </c>
    </row>
    <row r="723" spans="54:57">
      <c r="BB723" s="545">
        <v>60803</v>
      </c>
      <c r="BC723" s="543" t="str">
        <f t="shared" si="11"/>
        <v>札幌市手稲区新発寒三条</v>
      </c>
      <c r="BD723" s="543" t="s">
        <v>416</v>
      </c>
      <c r="BE723" s="544" t="s">
        <v>1056</v>
      </c>
    </row>
    <row r="724" spans="54:57">
      <c r="BB724" s="545">
        <v>60804</v>
      </c>
      <c r="BC724" s="543" t="str">
        <f t="shared" si="11"/>
        <v>札幌市手稲区新発寒四条</v>
      </c>
      <c r="BD724" s="543" t="s">
        <v>416</v>
      </c>
      <c r="BE724" s="544" t="s">
        <v>1057</v>
      </c>
    </row>
    <row r="725" spans="54:57">
      <c r="BB725" s="545">
        <v>60805</v>
      </c>
      <c r="BC725" s="543" t="str">
        <f t="shared" si="11"/>
        <v>札幌市手稲区新発寒五条</v>
      </c>
      <c r="BD725" s="543" t="s">
        <v>416</v>
      </c>
      <c r="BE725" s="544" t="s">
        <v>1058</v>
      </c>
    </row>
    <row r="726" spans="54:57">
      <c r="BB726" s="545">
        <v>60806</v>
      </c>
      <c r="BC726" s="543" t="str">
        <f t="shared" si="11"/>
        <v>札幌市手稲区新発寒六条</v>
      </c>
      <c r="BD726" s="543" t="s">
        <v>416</v>
      </c>
      <c r="BE726" s="544" t="s">
        <v>1059</v>
      </c>
    </row>
    <row r="727" spans="54:57">
      <c r="BB727" s="545">
        <v>60807</v>
      </c>
      <c r="BC727" s="543" t="str">
        <f t="shared" si="11"/>
        <v>札幌市手稲区新発寒七条</v>
      </c>
      <c r="BD727" s="543" t="s">
        <v>416</v>
      </c>
      <c r="BE727" s="544" t="s">
        <v>1060</v>
      </c>
    </row>
    <row r="728" spans="54:57">
      <c r="BB728" s="545">
        <v>60039</v>
      </c>
      <c r="BC728" s="543" t="str">
        <f t="shared" si="11"/>
        <v>札幌市手稲区手稲稲穂</v>
      </c>
      <c r="BD728" s="543" t="s">
        <v>416</v>
      </c>
      <c r="BE728" s="544" t="s">
        <v>1061</v>
      </c>
    </row>
    <row r="729" spans="54:57">
      <c r="BB729" s="545">
        <v>60049</v>
      </c>
      <c r="BC729" s="543" t="str">
        <f t="shared" si="11"/>
        <v>札幌市手稲区手稲金山</v>
      </c>
      <c r="BD729" s="543" t="s">
        <v>416</v>
      </c>
      <c r="BE729" s="544" t="s">
        <v>1062</v>
      </c>
    </row>
    <row r="730" spans="54:57">
      <c r="BB730" s="545">
        <v>60019</v>
      </c>
      <c r="BC730" s="543" t="str">
        <f t="shared" si="11"/>
        <v>札幌市手稲区手稲富丘</v>
      </c>
      <c r="BD730" s="543" t="s">
        <v>416</v>
      </c>
      <c r="BE730" s="544" t="s">
        <v>1063</v>
      </c>
    </row>
    <row r="731" spans="54:57">
      <c r="BB731" s="545">
        <v>60859</v>
      </c>
      <c r="BC731" s="543" t="str">
        <f t="shared" si="11"/>
        <v>札幌市手稲区手稲星置</v>
      </c>
      <c r="BD731" s="543" t="s">
        <v>416</v>
      </c>
      <c r="BE731" s="544" t="s">
        <v>1064</v>
      </c>
    </row>
    <row r="732" spans="54:57">
      <c r="BB732" s="545">
        <v>60829</v>
      </c>
      <c r="BC732" s="543" t="str">
        <f t="shared" si="11"/>
        <v>札幌市手稲区手稲前田</v>
      </c>
      <c r="BD732" s="543" t="s">
        <v>416</v>
      </c>
      <c r="BE732" s="544" t="s">
        <v>1065</v>
      </c>
    </row>
    <row r="733" spans="54:57">
      <c r="BB733" s="545">
        <v>60860</v>
      </c>
      <c r="BC733" s="543" t="str">
        <f t="shared" si="11"/>
        <v>札幌市手稲区手稲山口</v>
      </c>
      <c r="BD733" s="543" t="s">
        <v>416</v>
      </c>
      <c r="BE733" s="544" t="s">
        <v>1066</v>
      </c>
    </row>
    <row r="734" spans="54:57">
      <c r="BB734" s="545">
        <v>60029</v>
      </c>
      <c r="BC734" s="543" t="str">
        <f t="shared" si="11"/>
        <v>札幌市手稲区手稲本町</v>
      </c>
      <c r="BD734" s="543" t="s">
        <v>416</v>
      </c>
      <c r="BE734" s="544" t="s">
        <v>1067</v>
      </c>
    </row>
    <row r="735" spans="54:57">
      <c r="BB735" s="545">
        <v>60021</v>
      </c>
      <c r="BC735" s="543" t="str">
        <f t="shared" si="11"/>
        <v>札幌市手稲区手稲本町一条</v>
      </c>
      <c r="BD735" s="543" t="s">
        <v>416</v>
      </c>
      <c r="BE735" s="544" t="s">
        <v>1068</v>
      </c>
    </row>
    <row r="736" spans="54:57">
      <c r="BB736" s="545">
        <v>60022</v>
      </c>
      <c r="BC736" s="543" t="str">
        <f t="shared" si="11"/>
        <v>札幌市手稲区手稲本町二条</v>
      </c>
      <c r="BD736" s="543" t="s">
        <v>416</v>
      </c>
      <c r="BE736" s="544" t="s">
        <v>1069</v>
      </c>
    </row>
    <row r="737" spans="54:57">
      <c r="BB737" s="545">
        <v>60023</v>
      </c>
      <c r="BC737" s="543" t="str">
        <f t="shared" si="11"/>
        <v>札幌市手稲区手稲本町三条</v>
      </c>
      <c r="BD737" s="543" t="s">
        <v>416</v>
      </c>
      <c r="BE737" s="544" t="s">
        <v>1070</v>
      </c>
    </row>
    <row r="738" spans="54:57">
      <c r="BB738" s="545">
        <v>60024</v>
      </c>
      <c r="BC738" s="543" t="str">
        <f t="shared" si="11"/>
        <v>札幌市手稲区手稲本町四条</v>
      </c>
      <c r="BD738" s="543" t="s">
        <v>416</v>
      </c>
      <c r="BE738" s="544" t="s">
        <v>1071</v>
      </c>
    </row>
    <row r="739" spans="54:57">
      <c r="BB739" s="545">
        <v>60025</v>
      </c>
      <c r="BC739" s="543" t="str">
        <f t="shared" si="11"/>
        <v>札幌市手稲区手稲本町五条</v>
      </c>
      <c r="BD739" s="543" t="s">
        <v>416</v>
      </c>
      <c r="BE739" s="544" t="s">
        <v>1072</v>
      </c>
    </row>
    <row r="740" spans="54:57">
      <c r="BB740" s="545">
        <v>60026</v>
      </c>
      <c r="BC740" s="543" t="str">
        <f t="shared" si="11"/>
        <v>札幌市手稲区手稲本町六条</v>
      </c>
      <c r="BD740" s="543" t="s">
        <v>416</v>
      </c>
      <c r="BE740" s="544" t="s">
        <v>1073</v>
      </c>
    </row>
    <row r="741" spans="54:57">
      <c r="BB741" s="545">
        <v>60011</v>
      </c>
      <c r="BC741" s="543" t="str">
        <f t="shared" si="11"/>
        <v>札幌市手稲区富丘一条</v>
      </c>
      <c r="BD741" s="543" t="s">
        <v>416</v>
      </c>
      <c r="BE741" s="544" t="s">
        <v>1074</v>
      </c>
    </row>
    <row r="742" spans="54:57">
      <c r="BB742" s="545">
        <v>60012</v>
      </c>
      <c r="BC742" s="543" t="str">
        <f t="shared" si="11"/>
        <v>札幌市手稲区富丘二条</v>
      </c>
      <c r="BD742" s="543" t="s">
        <v>416</v>
      </c>
      <c r="BE742" s="544" t="s">
        <v>1075</v>
      </c>
    </row>
    <row r="743" spans="54:57">
      <c r="BB743" s="545">
        <v>60013</v>
      </c>
      <c r="BC743" s="543" t="str">
        <f t="shared" si="11"/>
        <v>札幌市手稲区富丘三条</v>
      </c>
      <c r="BD743" s="543" t="s">
        <v>416</v>
      </c>
      <c r="BE743" s="544" t="s">
        <v>1076</v>
      </c>
    </row>
    <row r="744" spans="54:57">
      <c r="BB744" s="545">
        <v>60014</v>
      </c>
      <c r="BC744" s="543" t="str">
        <f t="shared" si="11"/>
        <v>札幌市手稲区富丘四条</v>
      </c>
      <c r="BD744" s="543" t="s">
        <v>416</v>
      </c>
      <c r="BE744" s="544" t="s">
        <v>1077</v>
      </c>
    </row>
    <row r="745" spans="54:57">
      <c r="BB745" s="545">
        <v>60015</v>
      </c>
      <c r="BC745" s="543" t="str">
        <f t="shared" si="11"/>
        <v>札幌市手稲区富丘五条</v>
      </c>
      <c r="BD745" s="543" t="s">
        <v>416</v>
      </c>
      <c r="BE745" s="544" t="s">
        <v>1078</v>
      </c>
    </row>
    <row r="746" spans="54:57">
      <c r="BB746" s="545">
        <v>60016</v>
      </c>
      <c r="BC746" s="543" t="str">
        <f t="shared" si="11"/>
        <v>札幌市手稲区富丘六条</v>
      </c>
      <c r="BD746" s="543" t="s">
        <v>416</v>
      </c>
      <c r="BE746" s="544" t="s">
        <v>1079</v>
      </c>
    </row>
    <row r="747" spans="54:57">
      <c r="BB747" s="545">
        <v>60009</v>
      </c>
      <c r="BC747" s="543" t="str">
        <f t="shared" si="11"/>
        <v>札幌市手稲区西宮の沢</v>
      </c>
      <c r="BD747" s="543" t="s">
        <v>416</v>
      </c>
      <c r="BE747" s="544" t="s">
        <v>1080</v>
      </c>
    </row>
    <row r="748" spans="54:57">
      <c r="BB748" s="545">
        <v>60001</v>
      </c>
      <c r="BC748" s="543" t="str">
        <f t="shared" si="11"/>
        <v>札幌市手稲区西宮の沢一条</v>
      </c>
      <c r="BD748" s="543" t="s">
        <v>416</v>
      </c>
      <c r="BE748" s="544" t="s">
        <v>1081</v>
      </c>
    </row>
    <row r="749" spans="54:57">
      <c r="BB749" s="545">
        <v>60002</v>
      </c>
      <c r="BC749" s="543" t="str">
        <f t="shared" si="11"/>
        <v>札幌市手稲区西宮の沢二条</v>
      </c>
      <c r="BD749" s="543" t="s">
        <v>416</v>
      </c>
      <c r="BE749" s="544" t="s">
        <v>1082</v>
      </c>
    </row>
    <row r="750" spans="54:57">
      <c r="BB750" s="545">
        <v>60003</v>
      </c>
      <c r="BC750" s="543" t="str">
        <f t="shared" si="11"/>
        <v>札幌市手稲区西宮の沢三条</v>
      </c>
      <c r="BD750" s="543" t="s">
        <v>416</v>
      </c>
      <c r="BE750" s="544" t="s">
        <v>1083</v>
      </c>
    </row>
    <row r="751" spans="54:57">
      <c r="BB751" s="545">
        <v>60004</v>
      </c>
      <c r="BC751" s="543" t="str">
        <f t="shared" si="11"/>
        <v>札幌市手稲区西宮の沢四条</v>
      </c>
      <c r="BD751" s="543" t="s">
        <v>416</v>
      </c>
      <c r="BE751" s="544" t="s">
        <v>1084</v>
      </c>
    </row>
    <row r="752" spans="54:57">
      <c r="BB752" s="545">
        <v>60005</v>
      </c>
      <c r="BC752" s="543" t="str">
        <f t="shared" si="11"/>
        <v>札幌市手稲区西宮の沢五条</v>
      </c>
      <c r="BD752" s="543" t="s">
        <v>416</v>
      </c>
      <c r="BE752" s="544" t="s">
        <v>1085</v>
      </c>
    </row>
    <row r="753" spans="54:57">
      <c r="BB753" s="545">
        <v>60006</v>
      </c>
      <c r="BC753" s="543" t="str">
        <f t="shared" si="11"/>
        <v>札幌市手稲区西宮の沢六条</v>
      </c>
      <c r="BD753" s="543" t="s">
        <v>416</v>
      </c>
      <c r="BE753" s="544" t="s">
        <v>1086</v>
      </c>
    </row>
    <row r="754" spans="54:57">
      <c r="BB754" s="545">
        <v>60851</v>
      </c>
      <c r="BC754" s="543" t="str">
        <f t="shared" si="11"/>
        <v>札幌市手稲区星置一条</v>
      </c>
      <c r="BD754" s="543" t="s">
        <v>416</v>
      </c>
      <c r="BE754" s="544" t="s">
        <v>1087</v>
      </c>
    </row>
    <row r="755" spans="54:57">
      <c r="BB755" s="545">
        <v>60852</v>
      </c>
      <c r="BC755" s="543" t="str">
        <f t="shared" si="11"/>
        <v>札幌市手稲区星置二条</v>
      </c>
      <c r="BD755" s="543" t="s">
        <v>416</v>
      </c>
      <c r="BE755" s="544" t="s">
        <v>1088</v>
      </c>
    </row>
    <row r="756" spans="54:57">
      <c r="BB756" s="545">
        <v>60853</v>
      </c>
      <c r="BC756" s="543" t="str">
        <f t="shared" si="11"/>
        <v>札幌市手稲区星置三条</v>
      </c>
      <c r="BD756" s="543" t="s">
        <v>416</v>
      </c>
      <c r="BE756" s="544" t="s">
        <v>1089</v>
      </c>
    </row>
    <row r="757" spans="54:57">
      <c r="BB757" s="545">
        <v>60050</v>
      </c>
      <c r="BC757" s="543" t="str">
        <f t="shared" si="11"/>
        <v>札幌市手稲区星置南</v>
      </c>
      <c r="BD757" s="543" t="s">
        <v>416</v>
      </c>
      <c r="BE757" s="544" t="s">
        <v>1090</v>
      </c>
    </row>
    <row r="758" spans="54:57">
      <c r="BB758" s="545">
        <v>60811</v>
      </c>
      <c r="BC758" s="543" t="str">
        <f t="shared" si="11"/>
        <v>札幌市手稲区前田一条</v>
      </c>
      <c r="BD758" s="543" t="s">
        <v>416</v>
      </c>
      <c r="BE758" s="544" t="s">
        <v>1091</v>
      </c>
    </row>
    <row r="759" spans="54:57">
      <c r="BB759" s="545">
        <v>60812</v>
      </c>
      <c r="BC759" s="543" t="str">
        <f t="shared" si="11"/>
        <v>札幌市手稲区前田二条</v>
      </c>
      <c r="BD759" s="543" t="s">
        <v>416</v>
      </c>
      <c r="BE759" s="544" t="s">
        <v>1092</v>
      </c>
    </row>
    <row r="760" spans="54:57">
      <c r="BB760" s="545">
        <v>60813</v>
      </c>
      <c r="BC760" s="543" t="str">
        <f t="shared" si="11"/>
        <v>札幌市手稲区前田三条</v>
      </c>
      <c r="BD760" s="543" t="s">
        <v>416</v>
      </c>
      <c r="BE760" s="544" t="s">
        <v>1093</v>
      </c>
    </row>
    <row r="761" spans="54:57">
      <c r="BB761" s="545">
        <v>60814</v>
      </c>
      <c r="BC761" s="543" t="str">
        <f t="shared" si="11"/>
        <v>札幌市手稲区前田四条</v>
      </c>
      <c r="BD761" s="543" t="s">
        <v>416</v>
      </c>
      <c r="BE761" s="544" t="s">
        <v>1094</v>
      </c>
    </row>
    <row r="762" spans="54:57">
      <c r="BB762" s="545">
        <v>60815</v>
      </c>
      <c r="BC762" s="543" t="str">
        <f t="shared" si="11"/>
        <v>札幌市手稲区前田五条</v>
      </c>
      <c r="BD762" s="543" t="s">
        <v>416</v>
      </c>
      <c r="BE762" s="544" t="s">
        <v>1095</v>
      </c>
    </row>
    <row r="763" spans="54:57">
      <c r="BB763" s="545">
        <v>60816</v>
      </c>
      <c r="BC763" s="543" t="str">
        <f t="shared" si="11"/>
        <v>札幌市手稲区前田六条</v>
      </c>
      <c r="BD763" s="543" t="s">
        <v>416</v>
      </c>
      <c r="BE763" s="544" t="s">
        <v>1096</v>
      </c>
    </row>
    <row r="764" spans="54:57">
      <c r="BB764" s="545">
        <v>60817</v>
      </c>
      <c r="BC764" s="543" t="str">
        <f t="shared" si="11"/>
        <v>札幌市手稲区前田七条</v>
      </c>
      <c r="BD764" s="543" t="s">
        <v>416</v>
      </c>
      <c r="BE764" s="544" t="s">
        <v>1097</v>
      </c>
    </row>
    <row r="765" spans="54:57">
      <c r="BB765" s="545">
        <v>60818</v>
      </c>
      <c r="BC765" s="543" t="str">
        <f t="shared" si="11"/>
        <v>札幌市手稲区前田八条</v>
      </c>
      <c r="BD765" s="543" t="s">
        <v>416</v>
      </c>
      <c r="BE765" s="544" t="s">
        <v>1098</v>
      </c>
    </row>
    <row r="766" spans="54:57">
      <c r="BB766" s="545">
        <v>60819</v>
      </c>
      <c r="BC766" s="543" t="str">
        <f t="shared" si="11"/>
        <v>札幌市手稲区前田九条</v>
      </c>
      <c r="BD766" s="543" t="s">
        <v>416</v>
      </c>
      <c r="BE766" s="544" t="s">
        <v>1099</v>
      </c>
    </row>
    <row r="767" spans="54:57">
      <c r="BB767" s="545">
        <v>60820</v>
      </c>
      <c r="BC767" s="543" t="str">
        <f t="shared" ref="BC767:BC821" si="12">BD767&amp;BE767</f>
        <v>札幌市手稲区前田十条</v>
      </c>
      <c r="BD767" s="543" t="s">
        <v>416</v>
      </c>
      <c r="BE767" s="544" t="s">
        <v>1100</v>
      </c>
    </row>
    <row r="768" spans="54:57">
      <c r="BB768" s="545">
        <v>60821</v>
      </c>
      <c r="BC768" s="543" t="str">
        <f t="shared" si="12"/>
        <v>札幌市手稲区前田十一条</v>
      </c>
      <c r="BD768" s="543" t="s">
        <v>416</v>
      </c>
      <c r="BE768" s="544" t="s">
        <v>1101</v>
      </c>
    </row>
    <row r="769" spans="54:57">
      <c r="BB769" s="545">
        <v>60822</v>
      </c>
      <c r="BC769" s="543" t="str">
        <f t="shared" si="12"/>
        <v>札幌市手稲区前田十二条</v>
      </c>
      <c r="BD769" s="543" t="s">
        <v>416</v>
      </c>
      <c r="BE769" s="544" t="s">
        <v>1102</v>
      </c>
    </row>
    <row r="770" spans="54:57">
      <c r="BB770" s="545">
        <v>60823</v>
      </c>
      <c r="BC770" s="543" t="str">
        <f t="shared" si="12"/>
        <v>札幌市手稲区前田十三条</v>
      </c>
      <c r="BD770" s="543" t="s">
        <v>416</v>
      </c>
      <c r="BE770" s="544" t="s">
        <v>1103</v>
      </c>
    </row>
    <row r="771" spans="54:57">
      <c r="BB771" s="545">
        <v>40000</v>
      </c>
      <c r="BC771" s="543" t="str">
        <f t="shared" si="12"/>
        <v>札幌市清田区</v>
      </c>
      <c r="BD771" s="543" t="s">
        <v>417</v>
      </c>
    </row>
    <row r="772" spans="54:57">
      <c r="BB772" s="545">
        <v>40821</v>
      </c>
      <c r="BC772" s="543" t="str">
        <f t="shared" si="12"/>
        <v>札幌市清田区有明</v>
      </c>
      <c r="BD772" s="543" t="s">
        <v>417</v>
      </c>
      <c r="BE772" s="544" t="s">
        <v>1104</v>
      </c>
    </row>
    <row r="773" spans="54:57">
      <c r="BB773" s="545">
        <v>40811</v>
      </c>
      <c r="BC773" s="543" t="str">
        <f t="shared" si="12"/>
        <v>札幌市清田区美しが丘一条</v>
      </c>
      <c r="BD773" s="543" t="s">
        <v>417</v>
      </c>
      <c r="BE773" s="544" t="s">
        <v>1105</v>
      </c>
    </row>
    <row r="774" spans="54:57">
      <c r="BB774" s="545">
        <v>40812</v>
      </c>
      <c r="BC774" s="543" t="str">
        <f t="shared" si="12"/>
        <v>札幌市清田区美しが丘二条</v>
      </c>
      <c r="BD774" s="543" t="s">
        <v>417</v>
      </c>
      <c r="BE774" s="544" t="s">
        <v>1106</v>
      </c>
    </row>
    <row r="775" spans="54:57">
      <c r="BB775" s="545">
        <v>40813</v>
      </c>
      <c r="BC775" s="543" t="str">
        <f t="shared" si="12"/>
        <v>札幌市清田区美しが丘三条</v>
      </c>
      <c r="BD775" s="543" t="s">
        <v>417</v>
      </c>
      <c r="BE775" s="544" t="s">
        <v>1107</v>
      </c>
    </row>
    <row r="776" spans="54:57">
      <c r="BB776" s="545">
        <v>40814</v>
      </c>
      <c r="BC776" s="543" t="str">
        <f t="shared" si="12"/>
        <v>札幌市清田区美しが丘四条</v>
      </c>
      <c r="BD776" s="543" t="s">
        <v>417</v>
      </c>
      <c r="BE776" s="544" t="s">
        <v>1108</v>
      </c>
    </row>
    <row r="777" spans="54:57">
      <c r="BB777" s="545">
        <v>40815</v>
      </c>
      <c r="BC777" s="543" t="str">
        <f t="shared" si="12"/>
        <v>札幌市清田区美しが丘五条</v>
      </c>
      <c r="BD777" s="543" t="s">
        <v>417</v>
      </c>
      <c r="BE777" s="544" t="s">
        <v>1109</v>
      </c>
    </row>
    <row r="778" spans="54:57">
      <c r="BB778" s="545">
        <v>40861</v>
      </c>
      <c r="BC778" s="543" t="str">
        <f t="shared" si="12"/>
        <v>札幌市清田区北野一条</v>
      </c>
      <c r="BD778" s="543" t="s">
        <v>417</v>
      </c>
      <c r="BE778" s="544" t="s">
        <v>1110</v>
      </c>
    </row>
    <row r="779" spans="54:57">
      <c r="BB779" s="545">
        <v>40862</v>
      </c>
      <c r="BC779" s="543" t="str">
        <f t="shared" si="12"/>
        <v>札幌市清田区北野二条</v>
      </c>
      <c r="BD779" s="543" t="s">
        <v>417</v>
      </c>
      <c r="BE779" s="544" t="s">
        <v>1111</v>
      </c>
    </row>
    <row r="780" spans="54:57">
      <c r="BB780" s="545">
        <v>40863</v>
      </c>
      <c r="BC780" s="543" t="str">
        <f t="shared" si="12"/>
        <v>札幌市清田区北野三条</v>
      </c>
      <c r="BD780" s="543" t="s">
        <v>417</v>
      </c>
      <c r="BE780" s="544" t="s">
        <v>1112</v>
      </c>
    </row>
    <row r="781" spans="54:57">
      <c r="BB781" s="545">
        <v>40864</v>
      </c>
      <c r="BC781" s="543" t="str">
        <f t="shared" si="12"/>
        <v>札幌市清田区北野四条</v>
      </c>
      <c r="BD781" s="543" t="s">
        <v>417</v>
      </c>
      <c r="BE781" s="544" t="s">
        <v>1113</v>
      </c>
    </row>
    <row r="782" spans="54:57">
      <c r="BB782" s="545">
        <v>40865</v>
      </c>
      <c r="BC782" s="543" t="str">
        <f t="shared" si="12"/>
        <v>札幌市清田区北野五条</v>
      </c>
      <c r="BD782" s="543" t="s">
        <v>417</v>
      </c>
      <c r="BE782" s="544" t="s">
        <v>1114</v>
      </c>
    </row>
    <row r="783" spans="54:57">
      <c r="BB783" s="545">
        <v>40866</v>
      </c>
      <c r="BC783" s="543" t="str">
        <f t="shared" si="12"/>
        <v>札幌市清田区北野六条</v>
      </c>
      <c r="BD783" s="543" t="s">
        <v>417</v>
      </c>
      <c r="BE783" s="544" t="s">
        <v>1115</v>
      </c>
    </row>
    <row r="784" spans="54:57">
      <c r="BB784" s="545">
        <v>40867</v>
      </c>
      <c r="BC784" s="543" t="str">
        <f t="shared" si="12"/>
        <v>札幌市清田区北野七条</v>
      </c>
      <c r="BD784" s="543" t="s">
        <v>417</v>
      </c>
      <c r="BE784" s="544" t="s">
        <v>1116</v>
      </c>
    </row>
    <row r="785" spans="54:57">
      <c r="BB785" s="545">
        <v>40859</v>
      </c>
      <c r="BC785" s="543" t="str">
        <f t="shared" si="12"/>
        <v>札幌市清田区清田</v>
      </c>
      <c r="BD785" s="543" t="s">
        <v>417</v>
      </c>
      <c r="BE785" s="544" t="s">
        <v>1117</v>
      </c>
    </row>
    <row r="786" spans="54:57">
      <c r="BB786" s="545">
        <v>40841</v>
      </c>
      <c r="BC786" s="543" t="str">
        <f t="shared" si="12"/>
        <v>札幌市清田区清田一条</v>
      </c>
      <c r="BD786" s="543" t="s">
        <v>417</v>
      </c>
      <c r="BE786" s="544" t="s">
        <v>1118</v>
      </c>
    </row>
    <row r="787" spans="54:57">
      <c r="BB787" s="545">
        <v>40842</v>
      </c>
      <c r="BC787" s="543" t="str">
        <f t="shared" si="12"/>
        <v>札幌市清田区清田二条</v>
      </c>
      <c r="BD787" s="543" t="s">
        <v>417</v>
      </c>
      <c r="BE787" s="544" t="s">
        <v>1119</v>
      </c>
    </row>
    <row r="788" spans="54:57">
      <c r="BB788" s="545">
        <v>40843</v>
      </c>
      <c r="BC788" s="543" t="str">
        <f t="shared" si="12"/>
        <v>札幌市清田区清田三条</v>
      </c>
      <c r="BD788" s="543" t="s">
        <v>417</v>
      </c>
      <c r="BE788" s="544" t="s">
        <v>1120</v>
      </c>
    </row>
    <row r="789" spans="54:57">
      <c r="BB789" s="545">
        <v>40844</v>
      </c>
      <c r="BC789" s="543" t="str">
        <f t="shared" si="12"/>
        <v>札幌市清田区清田四条</v>
      </c>
      <c r="BD789" s="543" t="s">
        <v>417</v>
      </c>
      <c r="BE789" s="544" t="s">
        <v>1121</v>
      </c>
    </row>
    <row r="790" spans="54:57">
      <c r="BB790" s="545">
        <v>40845</v>
      </c>
      <c r="BC790" s="543" t="str">
        <f t="shared" si="12"/>
        <v>札幌市清田区清田五条</v>
      </c>
      <c r="BD790" s="543" t="s">
        <v>417</v>
      </c>
      <c r="BE790" s="544" t="s">
        <v>1122</v>
      </c>
    </row>
    <row r="791" spans="54:57">
      <c r="BB791" s="545">
        <v>40846</v>
      </c>
      <c r="BC791" s="543" t="str">
        <f t="shared" si="12"/>
        <v>札幌市清田区清田六条</v>
      </c>
      <c r="BD791" s="543" t="s">
        <v>417</v>
      </c>
      <c r="BE791" s="544" t="s">
        <v>1123</v>
      </c>
    </row>
    <row r="792" spans="54:57">
      <c r="BB792" s="545">
        <v>40847</v>
      </c>
      <c r="BC792" s="543" t="str">
        <f t="shared" si="12"/>
        <v>札幌市清田区清田七条</v>
      </c>
      <c r="BD792" s="543" t="s">
        <v>417</v>
      </c>
      <c r="BE792" s="544" t="s">
        <v>1124</v>
      </c>
    </row>
    <row r="793" spans="54:57">
      <c r="BB793" s="545">
        <v>40848</v>
      </c>
      <c r="BC793" s="543" t="str">
        <f t="shared" si="12"/>
        <v>札幌市清田区清田八条</v>
      </c>
      <c r="BD793" s="543" t="s">
        <v>417</v>
      </c>
      <c r="BE793" s="544" t="s">
        <v>1125</v>
      </c>
    </row>
    <row r="794" spans="54:57">
      <c r="BB794" s="545">
        <v>40849</v>
      </c>
      <c r="BC794" s="543" t="str">
        <f t="shared" si="12"/>
        <v>札幌市清田区清田九条</v>
      </c>
      <c r="BD794" s="543" t="s">
        <v>417</v>
      </c>
      <c r="BE794" s="544" t="s">
        <v>1126</v>
      </c>
    </row>
    <row r="795" spans="54:57">
      <c r="BB795" s="545">
        <v>40840</v>
      </c>
      <c r="BC795" s="543" t="str">
        <f t="shared" si="12"/>
        <v>札幌市清田区清田十条</v>
      </c>
      <c r="BD795" s="543" t="s">
        <v>417</v>
      </c>
      <c r="BE795" s="544" t="s">
        <v>1127</v>
      </c>
    </row>
    <row r="796" spans="54:57">
      <c r="BB796" s="545">
        <v>40809</v>
      </c>
      <c r="BC796" s="543" t="str">
        <f t="shared" si="12"/>
        <v>札幌市清田区里塚</v>
      </c>
      <c r="BD796" s="543" t="s">
        <v>417</v>
      </c>
      <c r="BE796" s="544" t="s">
        <v>1128</v>
      </c>
    </row>
    <row r="797" spans="54:57">
      <c r="BB797" s="545">
        <v>40801</v>
      </c>
      <c r="BC797" s="543" t="str">
        <f t="shared" si="12"/>
        <v>札幌市清田区里塚一条</v>
      </c>
      <c r="BD797" s="543" t="s">
        <v>417</v>
      </c>
      <c r="BE797" s="544" t="s">
        <v>1129</v>
      </c>
    </row>
    <row r="798" spans="54:57">
      <c r="BB798" s="545">
        <v>40802</v>
      </c>
      <c r="BC798" s="543" t="str">
        <f t="shared" si="12"/>
        <v>札幌市清田区里塚二条</v>
      </c>
      <c r="BD798" s="543" t="s">
        <v>417</v>
      </c>
      <c r="BE798" s="544" t="s">
        <v>1130</v>
      </c>
    </row>
    <row r="799" spans="54:57">
      <c r="BB799" s="545">
        <v>40803</v>
      </c>
      <c r="BC799" s="543" t="str">
        <f t="shared" si="12"/>
        <v>札幌市清田区里塚三条</v>
      </c>
      <c r="BD799" s="543" t="s">
        <v>417</v>
      </c>
      <c r="BE799" s="544" t="s">
        <v>1131</v>
      </c>
    </row>
    <row r="800" spans="54:57">
      <c r="BB800" s="545">
        <v>40804</v>
      </c>
      <c r="BC800" s="543" t="str">
        <f t="shared" si="12"/>
        <v>札幌市清田区里塚四条</v>
      </c>
      <c r="BD800" s="543" t="s">
        <v>417</v>
      </c>
      <c r="BE800" s="544" t="s">
        <v>1132</v>
      </c>
    </row>
    <row r="801" spans="54:57">
      <c r="BB801" s="545">
        <v>40805</v>
      </c>
      <c r="BC801" s="543" t="str">
        <f t="shared" si="12"/>
        <v>札幌市清田区里塚緑ケ丘</v>
      </c>
      <c r="BD801" s="543" t="s">
        <v>417</v>
      </c>
      <c r="BE801" s="544" t="s">
        <v>1133</v>
      </c>
    </row>
    <row r="802" spans="54:57">
      <c r="BB802" s="545">
        <v>40839</v>
      </c>
      <c r="BC802" s="543" t="str">
        <f t="shared" si="12"/>
        <v>札幌市清田区真栄</v>
      </c>
      <c r="BD802" s="543" t="s">
        <v>417</v>
      </c>
      <c r="BE802" s="544" t="s">
        <v>1134</v>
      </c>
    </row>
    <row r="803" spans="54:57">
      <c r="BB803" s="545">
        <v>40831</v>
      </c>
      <c r="BC803" s="543" t="str">
        <f t="shared" si="12"/>
        <v>札幌市清田区真栄一条</v>
      </c>
      <c r="BD803" s="543" t="s">
        <v>417</v>
      </c>
      <c r="BE803" s="544" t="s">
        <v>1135</v>
      </c>
    </row>
    <row r="804" spans="54:57">
      <c r="BB804" s="545">
        <v>40832</v>
      </c>
      <c r="BC804" s="543" t="str">
        <f t="shared" si="12"/>
        <v>札幌市清田区真栄二条</v>
      </c>
      <c r="BD804" s="543" t="s">
        <v>417</v>
      </c>
      <c r="BE804" s="544" t="s">
        <v>1153</v>
      </c>
    </row>
    <row r="805" spans="54:57">
      <c r="BB805" s="545">
        <v>40833</v>
      </c>
      <c r="BC805" s="543" t="str">
        <f t="shared" si="12"/>
        <v>札幌市清田区真栄三条</v>
      </c>
      <c r="BD805" s="543" t="s">
        <v>417</v>
      </c>
      <c r="BE805" s="544" t="s">
        <v>1136</v>
      </c>
    </row>
    <row r="806" spans="54:57">
      <c r="BB806" s="545">
        <v>40834</v>
      </c>
      <c r="BC806" s="543" t="str">
        <f t="shared" si="12"/>
        <v>札幌市清田区真栄四条</v>
      </c>
      <c r="BD806" s="543" t="s">
        <v>417</v>
      </c>
      <c r="BE806" s="544" t="s">
        <v>1137</v>
      </c>
    </row>
    <row r="807" spans="54:57">
      <c r="BB807" s="545">
        <v>40835</v>
      </c>
      <c r="BC807" s="543" t="str">
        <f t="shared" si="12"/>
        <v>札幌市清田区真栄五条</v>
      </c>
      <c r="BD807" s="543" t="s">
        <v>417</v>
      </c>
      <c r="BE807" s="544" t="s">
        <v>1138</v>
      </c>
    </row>
    <row r="808" spans="54:57">
      <c r="BB808" s="545">
        <v>40836</v>
      </c>
      <c r="BC808" s="543" t="str">
        <f t="shared" si="12"/>
        <v>札幌市清田区真栄六条</v>
      </c>
      <c r="BD808" s="543" t="s">
        <v>417</v>
      </c>
      <c r="BE808" s="544" t="s">
        <v>1139</v>
      </c>
    </row>
    <row r="809" spans="54:57">
      <c r="BB809" s="545">
        <v>40889</v>
      </c>
      <c r="BC809" s="543" t="str">
        <f t="shared" si="12"/>
        <v>札幌市清田区平岡</v>
      </c>
      <c r="BD809" s="543" t="s">
        <v>417</v>
      </c>
      <c r="BE809" s="544" t="s">
        <v>1140</v>
      </c>
    </row>
    <row r="810" spans="54:57">
      <c r="BB810" s="545">
        <v>40871</v>
      </c>
      <c r="BC810" s="543" t="str">
        <f t="shared" si="12"/>
        <v>札幌市清田区平岡一条</v>
      </c>
      <c r="BD810" s="543" t="s">
        <v>417</v>
      </c>
      <c r="BE810" s="544" t="s">
        <v>1141</v>
      </c>
    </row>
    <row r="811" spans="54:57">
      <c r="BB811" s="545">
        <v>40872</v>
      </c>
      <c r="BC811" s="543" t="str">
        <f t="shared" si="12"/>
        <v>札幌市清田区平岡二条</v>
      </c>
      <c r="BD811" s="543" t="s">
        <v>417</v>
      </c>
      <c r="BE811" s="544" t="s">
        <v>1142</v>
      </c>
    </row>
    <row r="812" spans="54:57">
      <c r="BB812" s="545">
        <v>40873</v>
      </c>
      <c r="BC812" s="543" t="str">
        <f t="shared" si="12"/>
        <v>札幌市清田区平岡三条</v>
      </c>
      <c r="BD812" s="543" t="s">
        <v>417</v>
      </c>
      <c r="BE812" s="544" t="s">
        <v>1143</v>
      </c>
    </row>
    <row r="813" spans="54:57">
      <c r="BB813" s="545">
        <v>40874</v>
      </c>
      <c r="BC813" s="543" t="str">
        <f t="shared" si="12"/>
        <v>札幌市清田区平岡四条</v>
      </c>
      <c r="BD813" s="543" t="s">
        <v>417</v>
      </c>
      <c r="BE813" s="544" t="s">
        <v>1144</v>
      </c>
    </row>
    <row r="814" spans="54:57">
      <c r="BB814" s="545">
        <v>40875</v>
      </c>
      <c r="BC814" s="543" t="str">
        <f t="shared" si="12"/>
        <v>札幌市清田区平岡五条</v>
      </c>
      <c r="BD814" s="543" t="s">
        <v>417</v>
      </c>
      <c r="BE814" s="544" t="s">
        <v>1145</v>
      </c>
    </row>
    <row r="815" spans="54:57">
      <c r="BB815" s="545">
        <v>40876</v>
      </c>
      <c r="BC815" s="543" t="str">
        <f t="shared" si="12"/>
        <v>札幌市清田区平岡六条</v>
      </c>
      <c r="BD815" s="543" t="s">
        <v>417</v>
      </c>
      <c r="BE815" s="544" t="s">
        <v>1146</v>
      </c>
    </row>
    <row r="816" spans="54:57">
      <c r="BB816" s="545">
        <v>40877</v>
      </c>
      <c r="BC816" s="543" t="str">
        <f t="shared" si="12"/>
        <v>札幌市清田区平岡七条</v>
      </c>
      <c r="BD816" s="543" t="s">
        <v>417</v>
      </c>
      <c r="BE816" s="544" t="s">
        <v>1147</v>
      </c>
    </row>
    <row r="817" spans="54:57">
      <c r="BB817" s="545">
        <v>40878</v>
      </c>
      <c r="BC817" s="543" t="str">
        <f t="shared" si="12"/>
        <v>札幌市清田区平岡八条</v>
      </c>
      <c r="BD817" s="543" t="s">
        <v>417</v>
      </c>
      <c r="BE817" s="544" t="s">
        <v>1148</v>
      </c>
    </row>
    <row r="818" spans="54:57">
      <c r="BB818" s="545">
        <v>40879</v>
      </c>
      <c r="BC818" s="543" t="str">
        <f t="shared" si="12"/>
        <v>札幌市清田区平岡九条</v>
      </c>
      <c r="BD818" s="543" t="s">
        <v>417</v>
      </c>
      <c r="BE818" s="544" t="s">
        <v>1149</v>
      </c>
    </row>
    <row r="819" spans="54:57">
      <c r="BB819" s="545">
        <v>40880</v>
      </c>
      <c r="BC819" s="543" t="str">
        <f t="shared" si="12"/>
        <v>札幌市清田区平岡十条</v>
      </c>
      <c r="BD819" s="543" t="s">
        <v>417</v>
      </c>
      <c r="BE819" s="544" t="s">
        <v>1150</v>
      </c>
    </row>
    <row r="820" spans="54:57">
      <c r="BB820" s="545">
        <v>40881</v>
      </c>
      <c r="BC820" s="543" t="str">
        <f t="shared" si="12"/>
        <v>札幌市清田区平岡公園</v>
      </c>
      <c r="BD820" s="543" t="s">
        <v>417</v>
      </c>
      <c r="BE820" s="544" t="s">
        <v>1151</v>
      </c>
    </row>
    <row r="821" spans="54:57">
      <c r="BB821" s="545">
        <v>40882</v>
      </c>
      <c r="BC821" s="543" t="str">
        <f t="shared" si="12"/>
        <v>札幌市清田区平岡公園東</v>
      </c>
      <c r="BD821" s="543" t="s">
        <v>417</v>
      </c>
      <c r="BE821" s="544" t="s">
        <v>1152</v>
      </c>
    </row>
    <row r="822" spans="54:57">
      <c r="BC822" s="569"/>
    </row>
  </sheetData>
  <sheetProtection algorithmName="SHA-512" hashValue="V9IKyn52CZRewKH0q1aDcycWzkl1zgB+OspSXuG7NAbmfJWpfNSrSIEyuo1tjXTQ5h0RrHOYanb97vfHez8BKw==" saltValue="TwlWxXgaSvpgSByAmSsUfw==" spinCount="100000" sheet="1" selectLockedCells="1"/>
  <mergeCells count="223">
    <mergeCell ref="A33:B33"/>
    <mergeCell ref="R33:Z33"/>
    <mergeCell ref="X35:Z36"/>
    <mergeCell ref="E16:E17"/>
    <mergeCell ref="K16:K17"/>
    <mergeCell ref="J16:J17"/>
    <mergeCell ref="H14:H15"/>
    <mergeCell ref="E14:E15"/>
    <mergeCell ref="F14:G15"/>
    <mergeCell ref="C14:D15"/>
    <mergeCell ref="F16:G17"/>
    <mergeCell ref="X17:Y17"/>
    <mergeCell ref="B29:N30"/>
    <mergeCell ref="C20:N20"/>
    <mergeCell ref="A18:A19"/>
    <mergeCell ref="Q18:V19"/>
    <mergeCell ref="B18:D19"/>
    <mergeCell ref="E18:F19"/>
    <mergeCell ref="C26:N26"/>
    <mergeCell ref="C24:N24"/>
    <mergeCell ref="C28:N28"/>
    <mergeCell ref="W19:Z19"/>
    <mergeCell ref="W18:Z18"/>
    <mergeCell ref="BG112:BG133"/>
    <mergeCell ref="BG134:BG153"/>
    <mergeCell ref="A32:Q32"/>
    <mergeCell ref="Q13:R13"/>
    <mergeCell ref="Y13:Z13"/>
    <mergeCell ref="C16:D17"/>
    <mergeCell ref="V12:Z12"/>
    <mergeCell ref="X34:Z34"/>
    <mergeCell ref="A35:Q35"/>
    <mergeCell ref="A36:Q36"/>
    <mergeCell ref="AQ14:AU16"/>
    <mergeCell ref="AQ13:AR13"/>
    <mergeCell ref="C33:Q33"/>
    <mergeCell ref="C34:Q34"/>
    <mergeCell ref="A34:B34"/>
    <mergeCell ref="A20:A30"/>
    <mergeCell ref="C21:N21"/>
    <mergeCell ref="C22:N22"/>
    <mergeCell ref="O20:Z30"/>
    <mergeCell ref="C23:N23"/>
    <mergeCell ref="BG53:BG68"/>
    <mergeCell ref="BG69:BG83"/>
    <mergeCell ref="BG84:BG111"/>
    <mergeCell ref="F12:G13"/>
    <mergeCell ref="BG154:BG174"/>
    <mergeCell ref="BG175:BG204"/>
    <mergeCell ref="BG1:BO1"/>
    <mergeCell ref="BG3:BG17"/>
    <mergeCell ref="BG18:BG37"/>
    <mergeCell ref="BG38:BG52"/>
    <mergeCell ref="H16:H17"/>
    <mergeCell ref="K14:K15"/>
    <mergeCell ref="J14:J15"/>
    <mergeCell ref="T17:U17"/>
    <mergeCell ref="AF14:AG15"/>
    <mergeCell ref="AH14:AH15"/>
    <mergeCell ref="AI14:AI15"/>
    <mergeCell ref="AA12:AA17"/>
    <mergeCell ref="L13:N13"/>
    <mergeCell ref="V14:Z16"/>
    <mergeCell ref="Q14:U16"/>
    <mergeCell ref="L14:P16"/>
    <mergeCell ref="L17:S17"/>
    <mergeCell ref="A31:Z31"/>
    <mergeCell ref="X32:Y32"/>
    <mergeCell ref="U32:V32"/>
    <mergeCell ref="A12:A17"/>
    <mergeCell ref="C25:N25"/>
    <mergeCell ref="B3:C3"/>
    <mergeCell ref="D3:Z3"/>
    <mergeCell ref="D4:Z4"/>
    <mergeCell ref="X38:Y38"/>
    <mergeCell ref="Q6:R6"/>
    <mergeCell ref="I16:I17"/>
    <mergeCell ref="N5:P6"/>
    <mergeCell ref="B16:B17"/>
    <mergeCell ref="B10:C10"/>
    <mergeCell ref="B6:C6"/>
    <mergeCell ref="B7:C8"/>
    <mergeCell ref="B11:C11"/>
    <mergeCell ref="B9:C9"/>
    <mergeCell ref="B14:B15"/>
    <mergeCell ref="D11:Z11"/>
    <mergeCell ref="H12:K13"/>
    <mergeCell ref="L12:U12"/>
    <mergeCell ref="S5:Z5"/>
    <mergeCell ref="S6:Z6"/>
    <mergeCell ref="I14:I15"/>
    <mergeCell ref="O13:P13"/>
    <mergeCell ref="D6:M6"/>
    <mergeCell ref="Q5:R5"/>
    <mergeCell ref="D9:N9"/>
    <mergeCell ref="AC20:AN20"/>
    <mergeCell ref="AG30:AM30"/>
    <mergeCell ref="G18:P19"/>
    <mergeCell ref="AG18:AP19"/>
    <mergeCell ref="AD10:AN10"/>
    <mergeCell ref="AQ6:AR6"/>
    <mergeCell ref="AL13:AN13"/>
    <mergeCell ref="AB12:AG13"/>
    <mergeCell ref="AB9:AC9"/>
    <mergeCell ref="O9:Z10"/>
    <mergeCell ref="C27:N27"/>
    <mergeCell ref="B12:E13"/>
    <mergeCell ref="V13:X13"/>
    <mergeCell ref="S13:T13"/>
    <mergeCell ref="AB18:AD19"/>
    <mergeCell ref="AH12:AK13"/>
    <mergeCell ref="AS6:AZ6"/>
    <mergeCell ref="AN5:AP6"/>
    <mergeCell ref="AD11:AZ11"/>
    <mergeCell ref="AB11:AC11"/>
    <mergeCell ref="AS13:AT13"/>
    <mergeCell ref="AV13:AX13"/>
    <mergeCell ref="AB14:AB15"/>
    <mergeCell ref="AE14:AE15"/>
    <mergeCell ref="AS5:AZ5"/>
    <mergeCell ref="AB6:AC6"/>
    <mergeCell ref="AD6:AM6"/>
    <mergeCell ref="AO9:AP9"/>
    <mergeCell ref="AQ9:AR9"/>
    <mergeCell ref="AB7:AC8"/>
    <mergeCell ref="AB10:AC10"/>
    <mergeCell ref="AY9:AZ9"/>
    <mergeCell ref="AE7:AK7"/>
    <mergeCell ref="AL7:AZ7"/>
    <mergeCell ref="AE8:AO8"/>
    <mergeCell ref="AP8:AQ8"/>
    <mergeCell ref="AR8:AZ8"/>
    <mergeCell ref="AD9:AN9"/>
    <mergeCell ref="AC14:AD15"/>
    <mergeCell ref="AO13:AP13"/>
    <mergeCell ref="AA1:AZ1"/>
    <mergeCell ref="AA2:AC2"/>
    <mergeCell ref="AD2:AZ2"/>
    <mergeCell ref="AA3:AA4"/>
    <mergeCell ref="AB3:AC3"/>
    <mergeCell ref="A1:Z1"/>
    <mergeCell ref="D5:M5"/>
    <mergeCell ref="AD3:AZ3"/>
    <mergeCell ref="AB4:AC4"/>
    <mergeCell ref="AD4:AZ4"/>
    <mergeCell ref="B5:C5"/>
    <mergeCell ref="A3:A4"/>
    <mergeCell ref="B4:C4"/>
    <mergeCell ref="A5:A11"/>
    <mergeCell ref="E7:K7"/>
    <mergeCell ref="E8:O8"/>
    <mergeCell ref="L7:Z7"/>
    <mergeCell ref="P8:Q8"/>
    <mergeCell ref="R8:Z8"/>
    <mergeCell ref="AQ5:AR5"/>
    <mergeCell ref="AA5:AA11"/>
    <mergeCell ref="AB5:AC5"/>
    <mergeCell ref="AD5:AM5"/>
    <mergeCell ref="D10:N10"/>
    <mergeCell ref="AY10:AZ10"/>
    <mergeCell ref="AV14:AZ16"/>
    <mergeCell ref="AY13:AZ13"/>
    <mergeCell ref="AJ14:AJ15"/>
    <mergeCell ref="AM17:AS17"/>
    <mergeCell ref="AT17:AU17"/>
    <mergeCell ref="AX17:AY17"/>
    <mergeCell ref="AQ18:AV19"/>
    <mergeCell ref="AB16:AB17"/>
    <mergeCell ref="AE16:AE17"/>
    <mergeCell ref="AC16:AD17"/>
    <mergeCell ref="AF16:AG17"/>
    <mergeCell ref="AH16:AH17"/>
    <mergeCell ref="AJ16:AJ17"/>
    <mergeCell ref="AK16:AK17"/>
    <mergeCell ref="AI16:AI17"/>
    <mergeCell ref="AR32:AS32"/>
    <mergeCell ref="O38:R38"/>
    <mergeCell ref="AU32:AV32"/>
    <mergeCell ref="AX32:AY32"/>
    <mergeCell ref="BQ204:BQ205"/>
    <mergeCell ref="BS204:BS205"/>
    <mergeCell ref="BT204:BT205"/>
    <mergeCell ref="BU204:BU205"/>
    <mergeCell ref="AL12:AU12"/>
    <mergeCell ref="AV12:AZ12"/>
    <mergeCell ref="AK14:AK15"/>
    <mergeCell ref="AL14:AP16"/>
    <mergeCell ref="AA31:AZ31"/>
    <mergeCell ref="AC23:AN23"/>
    <mergeCell ref="AC24:AN24"/>
    <mergeCell ref="AC25:AN25"/>
    <mergeCell ref="AA20:AA30"/>
    <mergeCell ref="AC26:AN26"/>
    <mergeCell ref="AC30:AE30"/>
    <mergeCell ref="AC29:AN29"/>
    <mergeCell ref="AE18:AF19"/>
    <mergeCell ref="AX19:AZ19"/>
    <mergeCell ref="AX18:AZ18"/>
    <mergeCell ref="AC27:AN27"/>
    <mergeCell ref="O39:R39"/>
    <mergeCell ref="U39:W39"/>
    <mergeCell ref="A2:Z2"/>
    <mergeCell ref="R34:W36"/>
    <mergeCell ref="BV204:BV205"/>
    <mergeCell ref="AA18:AA19"/>
    <mergeCell ref="AA35:AQ35"/>
    <mergeCell ref="AU35:AW36"/>
    <mergeCell ref="AX35:AZ36"/>
    <mergeCell ref="AA36:AQ36"/>
    <mergeCell ref="AR34:AT34"/>
    <mergeCell ref="AR35:AT36"/>
    <mergeCell ref="AA34:AB34"/>
    <mergeCell ref="AC34:AQ34"/>
    <mergeCell ref="AU34:AW34"/>
    <mergeCell ref="AO20:AZ30"/>
    <mergeCell ref="AC21:AN21"/>
    <mergeCell ref="AC22:AN22"/>
    <mergeCell ref="AX34:AZ34"/>
    <mergeCell ref="AC28:AN28"/>
    <mergeCell ref="AA33:AB33"/>
    <mergeCell ref="AC33:AQ33"/>
    <mergeCell ref="AR33:AZ33"/>
    <mergeCell ref="AA32:AQ32"/>
  </mergeCells>
  <phoneticPr fontId="7"/>
  <conditionalFormatting sqref="B12">
    <cfRule type="containsBlanks" dxfId="178" priority="4" stopIfTrue="1">
      <formula>LEN(TRIM(B12))=0</formula>
    </cfRule>
  </conditionalFormatting>
  <conditionalFormatting sqref="B18:D19 R32:S32 U32:V32 X32:Y32">
    <cfRule type="cellIs" dxfId="177" priority="60" stopIfTrue="1" operator="equal">
      <formula>""</formula>
    </cfRule>
  </conditionalFormatting>
  <conditionalFormatting sqref="C14 C16:D17">
    <cfRule type="cellIs" priority="50" stopIfTrue="1" operator="equal">
      <formula>""</formula>
    </cfRule>
    <cfRule type="cellIs" dxfId="176" priority="49" stopIfTrue="1" operator="equal">
      <formula>""</formula>
    </cfRule>
  </conditionalFormatting>
  <conditionalFormatting sqref="D9:D11">
    <cfRule type="cellIs" priority="3" stopIfTrue="1" operator="equal">
      <formula>""</formula>
    </cfRule>
    <cfRule type="cellIs" dxfId="175" priority="2" stopIfTrue="1" operator="equal">
      <formula>""</formula>
    </cfRule>
  </conditionalFormatting>
  <conditionalFormatting sqref="D5:M6">
    <cfRule type="cellIs" dxfId="174" priority="22" stopIfTrue="1" operator="equal">
      <formula>""</formula>
    </cfRule>
    <cfRule type="cellIs" priority="23" stopIfTrue="1" operator="equal">
      <formula>""</formula>
    </cfRule>
  </conditionalFormatting>
  <conditionalFormatting sqref="D3:Z4">
    <cfRule type="cellIs" dxfId="173" priority="24" stopIfTrue="1" operator="equal">
      <formula>""</formula>
    </cfRule>
  </conditionalFormatting>
  <conditionalFormatting sqref="E8 P8">
    <cfRule type="cellIs" dxfId="172" priority="61" stopIfTrue="1" operator="equal">
      <formula>""</formula>
    </cfRule>
    <cfRule type="cellIs" priority="62" stopIfTrue="1" operator="equal">
      <formula>""</formula>
    </cfRule>
  </conditionalFormatting>
  <conditionalFormatting sqref="E7:K7">
    <cfRule type="containsBlanks" dxfId="171" priority="232" stopIfTrue="1">
      <formula>LEN(TRIM(E7))=0</formula>
    </cfRule>
  </conditionalFormatting>
  <conditionalFormatting sqref="F14 F16:G17">
    <cfRule type="cellIs" dxfId="170" priority="47" stopIfTrue="1" operator="equal">
      <formula>""</formula>
    </cfRule>
    <cfRule type="cellIs" priority="48" stopIfTrue="1" operator="equal">
      <formula>""</formula>
    </cfRule>
  </conditionalFormatting>
  <conditionalFormatting sqref="F12:G13">
    <cfRule type="notContainsBlanks" dxfId="169" priority="243">
      <formula>LEN(TRIM(F12))&gt;0</formula>
    </cfRule>
  </conditionalFormatting>
  <conditionalFormatting sqref="J14 J16:J17">
    <cfRule type="cellIs" dxfId="168" priority="45" stopIfTrue="1" operator="equal">
      <formula>""</formula>
    </cfRule>
    <cfRule type="cellIs" priority="46" stopIfTrue="1" operator="equal">
      <formula>""</formula>
    </cfRule>
  </conditionalFormatting>
  <conditionalFormatting sqref="L13:N13">
    <cfRule type="containsBlanks" dxfId="167" priority="234">
      <formula>LEN(TRIM(L13))=0</formula>
    </cfRule>
  </conditionalFormatting>
  <conditionalFormatting sqref="L17:S17">
    <cfRule type="expression" dxfId="166" priority="229">
      <formula>$U$40=TRUE</formula>
    </cfRule>
  </conditionalFormatting>
  <conditionalFormatting sqref="Q13 V13">
    <cfRule type="containsBlanks" dxfId="165" priority="231" stopIfTrue="1">
      <formula>LEN(TRIM(Q13))=0</formula>
    </cfRule>
  </conditionalFormatting>
  <conditionalFormatting sqref="R8:Z8">
    <cfRule type="containsBlanks" dxfId="164" priority="233" stopIfTrue="1">
      <formula>LEN(TRIM(R8))=0</formula>
    </cfRule>
  </conditionalFormatting>
  <conditionalFormatting sqref="S5:Z6">
    <cfRule type="cellIs" dxfId="163" priority="20" stopIfTrue="1" operator="equal">
      <formula>""</formula>
    </cfRule>
    <cfRule type="cellIs" priority="21" stopIfTrue="1" operator="equal">
      <formula>""</formula>
    </cfRule>
  </conditionalFormatting>
  <conditionalFormatting sqref="T17:U17 X17:Y17">
    <cfRule type="containsBlanks" dxfId="162" priority="235">
      <formula>LEN(TRIM(T17))=0</formula>
    </cfRule>
  </conditionalFormatting>
  <conditionalFormatting sqref="W18:Z18">
    <cfRule type="expression" dxfId="161" priority="225">
      <formula>$X$38=TRUE</formula>
    </cfRule>
  </conditionalFormatting>
  <conditionalFormatting sqref="AB12">
    <cfRule type="containsBlanks" dxfId="160" priority="5" stopIfTrue="1">
      <formula>LEN(TRIM(AB12))=0</formula>
    </cfRule>
  </conditionalFormatting>
  <conditionalFormatting sqref="AD9:AD10">
    <cfRule type="cellIs" dxfId="159" priority="14" stopIfTrue="1" operator="equal">
      <formula>""</formula>
    </cfRule>
    <cfRule type="cellIs" priority="15" stopIfTrue="1" operator="equal">
      <formula>""</formula>
    </cfRule>
  </conditionalFormatting>
  <conditionalFormatting sqref="AE8 AP8">
    <cfRule type="cellIs" dxfId="158" priority="18" stopIfTrue="1" operator="equal">
      <formula>""</formula>
    </cfRule>
    <cfRule type="cellIs" priority="19" stopIfTrue="1" operator="equal">
      <formula>""</formula>
    </cfRule>
  </conditionalFormatting>
  <conditionalFormatting sqref="AE7:AK7">
    <cfRule type="containsBlanks" dxfId="157" priority="236" stopIfTrue="1">
      <formula>LEN(TRIM(AE7))=0</formula>
    </cfRule>
  </conditionalFormatting>
  <conditionalFormatting sqref="AL13:AN13">
    <cfRule type="containsBlanks" dxfId="156" priority="239">
      <formula>LEN(TRIM(AL13))=0</formula>
    </cfRule>
  </conditionalFormatting>
  <conditionalFormatting sqref="AQ13">
    <cfRule type="containsBlanks" dxfId="155" priority="238" stopIfTrue="1">
      <formula>LEN(TRIM(AQ13))=0</formula>
    </cfRule>
  </conditionalFormatting>
  <conditionalFormatting sqref="AR8:AZ8">
    <cfRule type="containsBlanks" dxfId="154" priority="237" stopIfTrue="1">
      <formula>LEN(TRIM(AR8))=0</formula>
    </cfRule>
  </conditionalFormatting>
  <conditionalFormatting sqref="AT17:AU17">
    <cfRule type="containsBlanks" dxfId="153" priority="241">
      <formula>LEN(TRIM(AT17))=0</formula>
    </cfRule>
  </conditionalFormatting>
  <conditionalFormatting sqref="AV13">
    <cfRule type="containsBlanks" dxfId="152" priority="240" stopIfTrue="1">
      <formula>LEN(TRIM(AV13))=0</formula>
    </cfRule>
  </conditionalFormatting>
  <conditionalFormatting sqref="AX17:AY17">
    <cfRule type="containsBlanks" dxfId="151" priority="242">
      <formula>LEN(TRIM(AX17))=0</formula>
    </cfRule>
  </conditionalFormatting>
  <dataValidations count="10">
    <dataValidation type="list" allowBlank="1" showInputMessage="1" showErrorMessage="1" sqref="X32:Y32 F14 F16:G17" xr:uid="{00000000-0002-0000-0100-000000000000}">
      <formula1>$BA$1:$BA$31</formula1>
    </dataValidation>
    <dataValidation type="list" allowBlank="1" showInputMessage="1" showErrorMessage="1" sqref="U32:V32 C14 C16:D17" xr:uid="{00000000-0002-0000-0100-000001000000}">
      <formula1>$BA$1:$BA$12</formula1>
    </dataValidation>
    <dataValidation type="list" allowBlank="1" showInputMessage="1" showErrorMessage="1" sqref="J14 J16:J17" xr:uid="{00000000-0002-0000-0100-000002000000}">
      <formula1>$BF$3:$BF$9</formula1>
    </dataValidation>
    <dataValidation type="list" allowBlank="1" showInputMessage="1" showErrorMessage="1" sqref="V13:X13 AV13:AX13" xr:uid="{00000000-0002-0000-0100-000003000000}">
      <formula1>$BA$1</formula1>
    </dataValidation>
    <dataValidation type="list" allowBlank="1" showInputMessage="1" showErrorMessage="1" sqref="T17:U17 AT17:AU17" xr:uid="{00000000-0002-0000-0100-000004000000}">
      <formula1>$BA$10:$BA$13</formula1>
    </dataValidation>
    <dataValidation allowBlank="1" sqref="AB12" xr:uid="{00000000-0002-0000-0100-000008000000}"/>
    <dataValidation type="list" allowBlank="1" showInputMessage="1" showErrorMessage="1" sqref="L13:N13 AL13:AN13" xr:uid="{00000000-0002-0000-0100-000009000000}">
      <formula1>$BH$3</formula1>
    </dataValidation>
    <dataValidation type="list" allowBlank="1" showInputMessage="1" showErrorMessage="1" sqref="AX17:AY17" xr:uid="{00000000-0002-0000-0100-000005000000}">
      <formula1>$BA$13:$BA$17</formula1>
    </dataValidation>
    <dataValidation type="list" allowBlank="1" showInputMessage="1" showErrorMessage="1" sqref="X17:Y17" xr:uid="{B61EC1B9-8B28-476D-A6C4-C0945198CA00}">
      <formula1>$BA$11:$BA$17</formula1>
    </dataValidation>
    <dataValidation type="list" allowBlank="1" showInputMessage="1" showErrorMessage="1" sqref="F12:G13" xr:uid="{FA81EBC8-FE3A-4F17-A21D-C7D034328420}">
      <formula1>$A$45:$A$51</formula1>
    </dataValidation>
  </dataValidations>
  <hyperlinks>
    <hyperlink ref="BQ175" r:id="rId1" display="http://www.kitakujo-e.sapporo-c.ed.jp/" xr:uid="{00000000-0004-0000-0100-000000000000}"/>
    <hyperlink ref="BQ176" r:id="rId2" display="http://www.kohoku-e.sapporo-c.ed.jp/" xr:uid="{00000000-0004-0000-0100-000001000000}"/>
    <hyperlink ref="BQ177" r:id="rId3" display="http://www.hakuyo-e.sapporo-c.ed.jp/" xr:uid="{00000000-0004-0000-0100-000002000000}"/>
    <hyperlink ref="BQ178" r:id="rId4" display="http://www.shinkotoni-e.sapporo-c.ed.jp/" xr:uid="{00000000-0004-0000-0100-000003000000}"/>
    <hyperlink ref="BQ179" r:id="rId5" display="http://www.tonden-e.sapporo-c.ed.jp/" xr:uid="{00000000-0004-0000-0100-000004000000}"/>
    <hyperlink ref="BQ180" r:id="rId6" display="http://www.shinkawa-e.sapporo-c.ed.jp/" xr:uid="{00000000-0004-0000-0100-000005000000}"/>
    <hyperlink ref="BQ181" r:id="rId7" display="http://www.shinoro-e.sapporo-c.ed.jp/" xr:uid="{00000000-0004-0000-0100-000006000000}"/>
    <hyperlink ref="BQ182" r:id="rId8" display="http://www.barato-e.sapporo-c.ed.jp/" xr:uid="{00000000-0004-0000-0100-000007000000}"/>
    <hyperlink ref="BQ183" r:id="rId9" display="http://www.kojo-e.sapporo-c.ed.jp/" xr:uid="{00000000-0004-0000-0100-000008000000}"/>
    <hyperlink ref="BQ184" r:id="rId10" display="http://www.wako-e.sapporo-c.ed.jp/" xr:uid="{00000000-0004-0000-0100-000009000000}"/>
    <hyperlink ref="BQ185" r:id="rId11" display="http://www.koyo-e.sapporo-c.ed.jp/" xr:uid="{00000000-0004-0000-0100-00000A000000}"/>
    <hyperlink ref="BQ186" r:id="rId12" display="http://www.shinyo-e.sapporo-c.ed.jp/" xr:uid="{00000000-0004-0000-0100-00000B000000}"/>
    <hyperlink ref="BQ187" r:id="rId13" display="http://www.shinkotonikita-e.sapporo-c.ed.jp/" xr:uid="{00000000-0004-0000-0100-00000C000000}"/>
    <hyperlink ref="BQ188" r:id="rId14" display="http://www.shinkawachuo-e.sapporo-c.ed.jp/" xr:uid="{00000000-0004-0000-0100-00000D000000}"/>
    <hyperlink ref="BQ189" r:id="rId15" display="http://www.shinkotoninishi-e.sapporo-c.ed.jp/" xr:uid="{00000000-0004-0000-0100-00000E000000}"/>
    <hyperlink ref="BQ190" r:id="rId16" display="http://www.taihei-e.sapporo-c.ed.jp/" xr:uid="{00000000-0004-0000-0100-00000F000000}"/>
    <hyperlink ref="BQ191" r:id="rId17" display="http://www.shinkotoniminami-e.sapporo-c.ed.jp/" xr:uid="{00000000-0004-0000-0100-000010000000}"/>
    <hyperlink ref="BQ192" r:id="rId18" display="http://www.shinoronishi-e.sapporo-c.ed.jp/" xr:uid="{00000000-0004-0000-0100-000011000000}"/>
    <hyperlink ref="BQ193" r:id="rId19" display="http://www.shinko-e.sapporo-c.ed.jp/" xr:uid="{00000000-0004-0000-0100-000012000000}"/>
    <hyperlink ref="BQ194" r:id="rId20" display="http://www.takuhoku-e.sapporo-c.ed.jp/" xr:uid="{00000000-0004-0000-0100-000013000000}"/>
    <hyperlink ref="BQ195" r:id="rId21" display="http://www.tondenminami-e.sapporo-c.ed.jp/" xr:uid="{00000000-0004-0000-0100-000014000000}"/>
    <hyperlink ref="BQ196" r:id="rId22" display="http://www.hokuyo-e.sapporo-c.ed.jp/" xr:uid="{00000000-0004-0000-0100-000015000000}"/>
    <hyperlink ref="BQ197" r:id="rId23" display="http://www.shinkotonimidori-e.sapporo-c.ed.jp/" xr:uid="{00000000-0004-0000-0100-000016000000}"/>
    <hyperlink ref="BQ198" r:id="rId24" display="http://www.taiheiminami-e.sapporo-c.ed.jp/" xr:uid="{00000000-0004-0000-0100-000017000000}"/>
    <hyperlink ref="BQ199" r:id="rId25" display="http://www.ainosatonishi-e.sapporo-c.ed.jp/" xr:uid="{00000000-0004-0000-0100-000018000000}"/>
    <hyperlink ref="BQ200" r:id="rId26" display="http://www.tondennishi-e.sapporo-c.ed.jp/" xr:uid="{00000000-0004-0000-0100-000019000000}"/>
    <hyperlink ref="BQ201" r:id="rId27" display="http://www.ainosatohigashi-e.sapporo-c.ed.jp/" xr:uid="{00000000-0004-0000-0100-00001A000000}"/>
    <hyperlink ref="BQ202" r:id="rId28" display="http://www.yurigahara-e.sapporo-c.ed.jp/" xr:uid="{00000000-0004-0000-0100-00001B000000}"/>
    <hyperlink ref="BQ203" r:id="rId29" display="http://www.tondenkita-e.sapporo-c.ed.jp/" xr:uid="{00000000-0004-0000-0100-00001C000000}"/>
    <hyperlink ref="BQ204" r:id="rId30" display="http://www.himawari-ej.sapporo-c.ed.jp/" xr:uid="{00000000-0004-0000-0100-00001D000000}"/>
  </hyperlinks>
  <printOptions horizontalCentered="1" verticalCentered="1"/>
  <pageMargins left="0.39370078740157483" right="0.39370078740157483" top="0.39370078740157483" bottom="0.39370078740157483" header="0" footer="0"/>
  <pageSetup paperSize="9" scale="99" orientation="portrait" r:id="rId31"/>
  <headerFooter>
    <oddFooter>&amp;R&amp;D &amp;T</oddFooter>
  </headerFooter>
  <colBreaks count="1" manualBreakCount="1">
    <brk id="26" max="38" man="1"/>
  </colBreaks>
  <ignoredErrors>
    <ignoredError sqref="R8" unlockedFormula="1"/>
  </ignoredErrors>
  <drawing r:id="rId32"/>
  <legacyDrawing r:id="rId33"/>
  <mc:AlternateContent xmlns:mc="http://schemas.openxmlformats.org/markup-compatibility/2006">
    <mc:Choice Requires="x14">
      <controls>
        <mc:AlternateContent xmlns:mc="http://schemas.openxmlformats.org/markup-compatibility/2006">
          <mc:Choice Requires="x14">
            <control shapeId="1027" r:id="rId34" name="Check Box 3">
              <controlPr defaultSize="0" autoFill="0" autoLine="0" autoPict="0">
                <anchor moveWithCells="1">
                  <from>
                    <xdr:col>1</xdr:col>
                    <xdr:colOff>38100</xdr:colOff>
                    <xdr:row>19</xdr:row>
                    <xdr:rowOff>19050</xdr:rowOff>
                  </from>
                  <to>
                    <xdr:col>2</xdr:col>
                    <xdr:colOff>57150</xdr:colOff>
                    <xdr:row>19</xdr:row>
                    <xdr:rowOff>247650</xdr:rowOff>
                  </to>
                </anchor>
              </controlPr>
            </control>
          </mc:Choice>
        </mc:AlternateContent>
        <mc:AlternateContent xmlns:mc="http://schemas.openxmlformats.org/markup-compatibility/2006">
          <mc:Choice Requires="x14">
            <control shapeId="1028" r:id="rId35" name="Check Box 4">
              <controlPr defaultSize="0" autoFill="0" autoLine="0" autoPict="0">
                <anchor moveWithCells="1">
                  <from>
                    <xdr:col>1</xdr:col>
                    <xdr:colOff>38100</xdr:colOff>
                    <xdr:row>20</xdr:row>
                    <xdr:rowOff>19050</xdr:rowOff>
                  </from>
                  <to>
                    <xdr:col>2</xdr:col>
                    <xdr:colOff>57150</xdr:colOff>
                    <xdr:row>20</xdr:row>
                    <xdr:rowOff>247650</xdr:rowOff>
                  </to>
                </anchor>
              </controlPr>
            </control>
          </mc:Choice>
        </mc:AlternateContent>
        <mc:AlternateContent xmlns:mc="http://schemas.openxmlformats.org/markup-compatibility/2006">
          <mc:Choice Requires="x14">
            <control shapeId="1030" r:id="rId36" name="Check Box 6">
              <controlPr defaultSize="0" autoFill="0" autoLine="0" autoPict="0">
                <anchor moveWithCells="1">
                  <from>
                    <xdr:col>1</xdr:col>
                    <xdr:colOff>38100</xdr:colOff>
                    <xdr:row>22</xdr:row>
                    <xdr:rowOff>19050</xdr:rowOff>
                  </from>
                  <to>
                    <xdr:col>2</xdr:col>
                    <xdr:colOff>57150</xdr:colOff>
                    <xdr:row>22</xdr:row>
                    <xdr:rowOff>247650</xdr:rowOff>
                  </to>
                </anchor>
              </controlPr>
            </control>
          </mc:Choice>
        </mc:AlternateContent>
        <mc:AlternateContent xmlns:mc="http://schemas.openxmlformats.org/markup-compatibility/2006">
          <mc:Choice Requires="x14">
            <control shapeId="1031" r:id="rId37" name="Check Box 7">
              <controlPr defaultSize="0" autoFill="0" autoLine="0" autoPict="0">
                <anchor moveWithCells="1">
                  <from>
                    <xdr:col>1</xdr:col>
                    <xdr:colOff>38100</xdr:colOff>
                    <xdr:row>23</xdr:row>
                    <xdr:rowOff>19050</xdr:rowOff>
                  </from>
                  <to>
                    <xdr:col>2</xdr:col>
                    <xdr:colOff>57150</xdr:colOff>
                    <xdr:row>23</xdr:row>
                    <xdr:rowOff>247650</xdr:rowOff>
                  </to>
                </anchor>
              </controlPr>
            </control>
          </mc:Choice>
        </mc:AlternateContent>
        <mc:AlternateContent xmlns:mc="http://schemas.openxmlformats.org/markup-compatibility/2006">
          <mc:Choice Requires="x14">
            <control shapeId="1032" r:id="rId38" name="Check Box 8">
              <controlPr defaultSize="0" autoFill="0" autoLine="0" autoPict="0">
                <anchor moveWithCells="1">
                  <from>
                    <xdr:col>1</xdr:col>
                    <xdr:colOff>38100</xdr:colOff>
                    <xdr:row>24</xdr:row>
                    <xdr:rowOff>19050</xdr:rowOff>
                  </from>
                  <to>
                    <xdr:col>2</xdr:col>
                    <xdr:colOff>57150</xdr:colOff>
                    <xdr:row>24</xdr:row>
                    <xdr:rowOff>247650</xdr:rowOff>
                  </to>
                </anchor>
              </controlPr>
            </control>
          </mc:Choice>
        </mc:AlternateContent>
        <mc:AlternateContent xmlns:mc="http://schemas.openxmlformats.org/markup-compatibility/2006">
          <mc:Choice Requires="x14">
            <control shapeId="1033" r:id="rId39" name="Check Box 9">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1034" r:id="rId40" name="Check Box 10">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1046" r:id="rId41" name="Check Box 22">
              <controlPr defaultSize="0" autoFill="0" autoLine="0" autoPict="0">
                <anchor moveWithCells="1">
                  <from>
                    <xdr:col>47</xdr:col>
                    <xdr:colOff>76200</xdr:colOff>
                    <xdr:row>14</xdr:row>
                    <xdr:rowOff>19050</xdr:rowOff>
                  </from>
                  <to>
                    <xdr:col>48</xdr:col>
                    <xdr:colOff>114300</xdr:colOff>
                    <xdr:row>14</xdr:row>
                    <xdr:rowOff>228600</xdr:rowOff>
                  </to>
                </anchor>
              </controlPr>
            </control>
          </mc:Choice>
        </mc:AlternateContent>
        <mc:AlternateContent xmlns:mc="http://schemas.openxmlformats.org/markup-compatibility/2006">
          <mc:Choice Requires="x14">
            <control shapeId="1047" r:id="rId42" name="Check Box 23">
              <controlPr defaultSize="0" autoFill="0" autoLine="0" autoPict="0">
                <anchor moveWithCells="1">
                  <from>
                    <xdr:col>48</xdr:col>
                    <xdr:colOff>38100</xdr:colOff>
                    <xdr:row>18</xdr:row>
                    <xdr:rowOff>0</xdr:rowOff>
                  </from>
                  <to>
                    <xdr:col>49</xdr:col>
                    <xdr:colOff>57150</xdr:colOff>
                    <xdr:row>18</xdr:row>
                    <xdr:rowOff>219075</xdr:rowOff>
                  </to>
                </anchor>
              </controlPr>
            </control>
          </mc:Choice>
        </mc:AlternateContent>
        <mc:AlternateContent xmlns:mc="http://schemas.openxmlformats.org/markup-compatibility/2006">
          <mc:Choice Requires="x14">
            <control shapeId="1048" r:id="rId43" name="Check Box 24">
              <controlPr defaultSize="0" autoFill="0" autoLine="0" autoPict="0">
                <anchor moveWithCells="1">
                  <from>
                    <xdr:col>48</xdr:col>
                    <xdr:colOff>28575</xdr:colOff>
                    <xdr:row>17</xdr:row>
                    <xdr:rowOff>9525</xdr:rowOff>
                  </from>
                  <to>
                    <xdr:col>49</xdr:col>
                    <xdr:colOff>57150</xdr:colOff>
                    <xdr:row>18</xdr:row>
                    <xdr:rowOff>0</xdr:rowOff>
                  </to>
                </anchor>
              </controlPr>
            </control>
          </mc:Choice>
        </mc:AlternateContent>
        <mc:AlternateContent xmlns:mc="http://schemas.openxmlformats.org/markup-compatibility/2006">
          <mc:Choice Requires="x14">
            <control shapeId="1062" r:id="rId44" name="Check Box 38">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1063" r:id="rId45" name="Check Box 39">
              <controlPr defaultSize="0" autoFill="0" autoLine="0" autoPict="0">
                <anchor moveWithCells="1">
                  <from>
                    <xdr:col>27</xdr:col>
                    <xdr:colOff>38100</xdr:colOff>
                    <xdr:row>20</xdr:row>
                    <xdr:rowOff>19050</xdr:rowOff>
                  </from>
                  <to>
                    <xdr:col>28</xdr:col>
                    <xdr:colOff>57150</xdr:colOff>
                    <xdr:row>20</xdr:row>
                    <xdr:rowOff>247650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37</xdr:col>
                    <xdr:colOff>114300</xdr:colOff>
                    <xdr:row>16</xdr:row>
                    <xdr:rowOff>9525</xdr:rowOff>
                  </from>
                  <to>
                    <xdr:col>38</xdr:col>
                    <xdr:colOff>152400</xdr:colOff>
                    <xdr:row>16</xdr:row>
                    <xdr:rowOff>219075</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21</xdr:col>
                    <xdr:colOff>76200</xdr:colOff>
                    <xdr:row>14</xdr:row>
                    <xdr:rowOff>19050</xdr:rowOff>
                  </from>
                  <to>
                    <xdr:col>22</xdr:col>
                    <xdr:colOff>114300</xdr:colOff>
                    <xdr:row>14</xdr:row>
                    <xdr:rowOff>238125</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11</xdr:col>
                    <xdr:colOff>76200</xdr:colOff>
                    <xdr:row>14</xdr:row>
                    <xdr:rowOff>57150</xdr:rowOff>
                  </from>
                  <to>
                    <xdr:col>12</xdr:col>
                    <xdr:colOff>114300</xdr:colOff>
                    <xdr:row>15</xdr:row>
                    <xdr:rowOff>38100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16</xdr:col>
                    <xdr:colOff>66675</xdr:colOff>
                    <xdr:row>14</xdr:row>
                    <xdr:rowOff>47625</xdr:rowOff>
                  </from>
                  <to>
                    <xdr:col>17</xdr:col>
                    <xdr:colOff>95250</xdr:colOff>
                    <xdr:row>15</xdr:row>
                    <xdr:rowOff>28575</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11</xdr:col>
                    <xdr:colOff>76200</xdr:colOff>
                    <xdr:row>16</xdr:row>
                    <xdr:rowOff>19050</xdr:rowOff>
                  </from>
                  <to>
                    <xdr:col>12</xdr:col>
                    <xdr:colOff>114300</xdr:colOff>
                    <xdr:row>16</xdr:row>
                    <xdr:rowOff>238125</xdr:rowOff>
                  </to>
                </anchor>
              </controlPr>
            </control>
          </mc:Choice>
        </mc:AlternateContent>
        <mc:AlternateContent xmlns:mc="http://schemas.openxmlformats.org/markup-compatibility/2006">
          <mc:Choice Requires="x14">
            <control shapeId="1172" r:id="rId51" name="Check Box 148">
              <controlPr defaultSize="0" autoFill="0" autoLine="0" autoPict="0">
                <anchor moveWithCells="1">
                  <from>
                    <xdr:col>22</xdr:col>
                    <xdr:colOff>38100</xdr:colOff>
                    <xdr:row>17</xdr:row>
                    <xdr:rowOff>38100</xdr:rowOff>
                  </from>
                  <to>
                    <xdr:col>23</xdr:col>
                    <xdr:colOff>0</xdr:colOff>
                    <xdr:row>17</xdr:row>
                    <xdr:rowOff>209550</xdr:rowOff>
                  </to>
                </anchor>
              </controlPr>
            </control>
          </mc:Choice>
        </mc:AlternateContent>
        <mc:AlternateContent xmlns:mc="http://schemas.openxmlformats.org/markup-compatibility/2006">
          <mc:Choice Requires="x14">
            <control shapeId="1173" r:id="rId52" name="Check Box 149">
              <controlPr defaultSize="0" autoFill="0" autoLine="0" autoPict="0">
                <anchor moveWithCells="1">
                  <from>
                    <xdr:col>22</xdr:col>
                    <xdr:colOff>38100</xdr:colOff>
                    <xdr:row>18</xdr:row>
                    <xdr:rowOff>28575</xdr:rowOff>
                  </from>
                  <to>
                    <xdr:col>23</xdr:col>
                    <xdr:colOff>38100</xdr:colOff>
                    <xdr:row>18</xdr:row>
                    <xdr:rowOff>219075</xdr:rowOff>
                  </to>
                </anchor>
              </controlPr>
            </control>
          </mc:Choice>
        </mc:AlternateContent>
        <mc:AlternateContent xmlns:mc="http://schemas.openxmlformats.org/markup-compatibility/2006">
          <mc:Choice Requires="x14">
            <control shapeId="31299" r:id="rId53" name="Check Box 1603">
              <controlPr defaultSize="0" autoFill="0" autoLine="0" autoPict="0">
                <anchor moveWithCells="1">
                  <from>
                    <xdr:col>37</xdr:col>
                    <xdr:colOff>28575</xdr:colOff>
                    <xdr:row>14</xdr:row>
                    <xdr:rowOff>76200</xdr:rowOff>
                  </from>
                  <to>
                    <xdr:col>38</xdr:col>
                    <xdr:colOff>66675</xdr:colOff>
                    <xdr:row>15</xdr:row>
                    <xdr:rowOff>38100</xdr:rowOff>
                  </to>
                </anchor>
              </controlPr>
            </control>
          </mc:Choice>
        </mc:AlternateContent>
        <mc:AlternateContent xmlns:mc="http://schemas.openxmlformats.org/markup-compatibility/2006">
          <mc:Choice Requires="x14">
            <control shapeId="31301" r:id="rId54" name="Check Box 1605">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31310" r:id="rId55" name="Check Box 1614">
              <controlPr defaultSize="0" autoFill="0" autoLine="0" autoPict="0">
                <anchor moveWithCells="1">
                  <from>
                    <xdr:col>42</xdr:col>
                    <xdr:colOff>76200</xdr:colOff>
                    <xdr:row>14</xdr:row>
                    <xdr:rowOff>0</xdr:rowOff>
                  </from>
                  <to>
                    <xdr:col>43</xdr:col>
                    <xdr:colOff>180975</xdr:colOff>
                    <xdr:row>15</xdr:row>
                    <xdr:rowOff>0</xdr:rowOff>
                  </to>
                </anchor>
              </controlPr>
            </control>
          </mc:Choice>
        </mc:AlternateContent>
        <mc:AlternateContent xmlns:mc="http://schemas.openxmlformats.org/markup-compatibility/2006">
          <mc:Choice Requires="x14">
            <control shapeId="31311" r:id="rId56" name="Check Box 1615">
              <controlPr defaultSize="0" autoFill="0" autoLine="0" autoPict="0">
                <anchor moveWithCells="1">
                  <from>
                    <xdr:col>1</xdr:col>
                    <xdr:colOff>38100</xdr:colOff>
                    <xdr:row>22</xdr:row>
                    <xdr:rowOff>19050</xdr:rowOff>
                  </from>
                  <to>
                    <xdr:col>2</xdr:col>
                    <xdr:colOff>57150</xdr:colOff>
                    <xdr:row>22</xdr:row>
                    <xdr:rowOff>247650</xdr:rowOff>
                  </to>
                </anchor>
              </controlPr>
            </control>
          </mc:Choice>
        </mc:AlternateContent>
        <mc:AlternateContent xmlns:mc="http://schemas.openxmlformats.org/markup-compatibility/2006">
          <mc:Choice Requires="x14">
            <control shapeId="31312" r:id="rId57" name="Check Box 1616">
              <controlPr defaultSize="0" autoFill="0" autoLine="0" autoPict="0">
                <anchor moveWithCells="1">
                  <from>
                    <xdr:col>1</xdr:col>
                    <xdr:colOff>38100</xdr:colOff>
                    <xdr:row>23</xdr:row>
                    <xdr:rowOff>19050</xdr:rowOff>
                  </from>
                  <to>
                    <xdr:col>2</xdr:col>
                    <xdr:colOff>57150</xdr:colOff>
                    <xdr:row>23</xdr:row>
                    <xdr:rowOff>247650</xdr:rowOff>
                  </to>
                </anchor>
              </controlPr>
            </control>
          </mc:Choice>
        </mc:AlternateContent>
        <mc:AlternateContent xmlns:mc="http://schemas.openxmlformats.org/markup-compatibility/2006">
          <mc:Choice Requires="x14">
            <control shapeId="31314" r:id="rId58" name="Check Box 1618">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31317" r:id="rId59" name="Check Box 1621">
              <controlPr defaultSize="0" autoFill="0" autoLine="0" autoPict="0">
                <anchor moveWithCells="1">
                  <from>
                    <xdr:col>27</xdr:col>
                    <xdr:colOff>38100</xdr:colOff>
                    <xdr:row>22</xdr:row>
                    <xdr:rowOff>28575</xdr:rowOff>
                  </from>
                  <to>
                    <xdr:col>28</xdr:col>
                    <xdr:colOff>57150</xdr:colOff>
                    <xdr:row>22</xdr:row>
                    <xdr:rowOff>247650</xdr:rowOff>
                  </to>
                </anchor>
              </controlPr>
            </control>
          </mc:Choice>
        </mc:AlternateContent>
        <mc:AlternateContent xmlns:mc="http://schemas.openxmlformats.org/markup-compatibility/2006">
          <mc:Choice Requires="x14">
            <control shapeId="31318" r:id="rId60" name="Check Box 1622">
              <controlPr defaultSize="0" autoFill="0" autoLine="0" autoPict="0">
                <anchor moveWithCells="1">
                  <from>
                    <xdr:col>27</xdr:col>
                    <xdr:colOff>38100</xdr:colOff>
                    <xdr:row>23</xdr:row>
                    <xdr:rowOff>28575</xdr:rowOff>
                  </from>
                  <to>
                    <xdr:col>28</xdr:col>
                    <xdr:colOff>57150</xdr:colOff>
                    <xdr:row>23</xdr:row>
                    <xdr:rowOff>247650</xdr:rowOff>
                  </to>
                </anchor>
              </controlPr>
            </control>
          </mc:Choice>
        </mc:AlternateContent>
        <mc:AlternateContent xmlns:mc="http://schemas.openxmlformats.org/markup-compatibility/2006">
          <mc:Choice Requires="x14">
            <control shapeId="31319" r:id="rId61" name="Check Box 1623">
              <controlPr defaultSize="0" autoFill="0" autoLine="0" autoPict="0">
                <anchor moveWithCells="1">
                  <from>
                    <xdr:col>27</xdr:col>
                    <xdr:colOff>38100</xdr:colOff>
                    <xdr:row>24</xdr:row>
                    <xdr:rowOff>28575</xdr:rowOff>
                  </from>
                  <to>
                    <xdr:col>28</xdr:col>
                    <xdr:colOff>57150</xdr:colOff>
                    <xdr:row>24</xdr:row>
                    <xdr:rowOff>247650</xdr:rowOff>
                  </to>
                </anchor>
              </controlPr>
            </control>
          </mc:Choice>
        </mc:AlternateContent>
        <mc:AlternateContent xmlns:mc="http://schemas.openxmlformats.org/markup-compatibility/2006">
          <mc:Choice Requires="x14">
            <control shapeId="31320" r:id="rId62" name="Check Box 1624">
              <controlPr defaultSize="0" autoFill="0" autoLine="0" autoPict="0">
                <anchor moveWithCells="1">
                  <from>
                    <xdr:col>27</xdr:col>
                    <xdr:colOff>38100</xdr:colOff>
                    <xdr:row>25</xdr:row>
                    <xdr:rowOff>28575</xdr:rowOff>
                  </from>
                  <to>
                    <xdr:col>28</xdr:col>
                    <xdr:colOff>57150</xdr:colOff>
                    <xdr:row>25</xdr:row>
                    <xdr:rowOff>247650</xdr:rowOff>
                  </to>
                </anchor>
              </controlPr>
            </control>
          </mc:Choice>
        </mc:AlternateContent>
        <mc:AlternateContent xmlns:mc="http://schemas.openxmlformats.org/markup-compatibility/2006">
          <mc:Choice Requires="x14">
            <control shapeId="31321" r:id="rId63" name="Check Box 1625">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22" r:id="rId64" name="Check Box 1626">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23" r:id="rId65" name="Check Box 1627">
              <controlPr defaultSize="0" autoFill="0" autoLine="0" autoPict="0">
                <anchor moveWithCells="1">
                  <from>
                    <xdr:col>27</xdr:col>
                    <xdr:colOff>38100</xdr:colOff>
                    <xdr:row>29</xdr:row>
                    <xdr:rowOff>28575</xdr:rowOff>
                  </from>
                  <to>
                    <xdr:col>28</xdr:col>
                    <xdr:colOff>57150</xdr:colOff>
                    <xdr:row>29</xdr:row>
                    <xdr:rowOff>247650</xdr:rowOff>
                  </to>
                </anchor>
              </controlPr>
            </control>
          </mc:Choice>
        </mc:AlternateContent>
        <mc:AlternateContent xmlns:mc="http://schemas.openxmlformats.org/markup-compatibility/2006">
          <mc:Choice Requires="x14">
            <control shapeId="31326" r:id="rId66" name="Check Box 1630">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27" r:id="rId67" name="Check Box 1631">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30" r:id="rId68" name="Check Box 1634">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31331" r:id="rId69" name="Check Box 1635">
              <controlPr defaultSize="0" autoFill="0" autoLine="0" autoPict="0">
                <anchor moveWithCells="1">
                  <from>
                    <xdr:col>27</xdr:col>
                    <xdr:colOff>38100</xdr:colOff>
                    <xdr:row>20</xdr:row>
                    <xdr:rowOff>19050</xdr:rowOff>
                  </from>
                  <to>
                    <xdr:col>28</xdr:col>
                    <xdr:colOff>57150</xdr:colOff>
                    <xdr:row>20</xdr:row>
                    <xdr:rowOff>247650</xdr:rowOff>
                  </to>
                </anchor>
              </controlPr>
            </control>
          </mc:Choice>
        </mc:AlternateContent>
        <mc:AlternateContent xmlns:mc="http://schemas.openxmlformats.org/markup-compatibility/2006">
          <mc:Choice Requires="x14">
            <control shapeId="31333" r:id="rId70" name="Check Box 1637">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31334" r:id="rId71" name="Check Box 1638">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31335" r:id="rId72" name="Check Box 1639">
              <controlPr defaultSize="0" autoFill="0" autoLine="0" autoPict="0">
                <anchor moveWithCells="1">
                  <from>
                    <xdr:col>27</xdr:col>
                    <xdr:colOff>38100</xdr:colOff>
                    <xdr:row>24</xdr:row>
                    <xdr:rowOff>19050</xdr:rowOff>
                  </from>
                  <to>
                    <xdr:col>28</xdr:col>
                    <xdr:colOff>57150</xdr:colOff>
                    <xdr:row>24</xdr:row>
                    <xdr:rowOff>247650</xdr:rowOff>
                  </to>
                </anchor>
              </controlPr>
            </control>
          </mc:Choice>
        </mc:AlternateContent>
        <mc:AlternateContent xmlns:mc="http://schemas.openxmlformats.org/markup-compatibility/2006">
          <mc:Choice Requires="x14">
            <control shapeId="31336" r:id="rId73" name="Check Box 1640">
              <controlPr defaultSize="0" autoFill="0" autoLine="0" autoPict="0">
                <anchor moveWithCells="1">
                  <from>
                    <xdr:col>27</xdr:col>
                    <xdr:colOff>38100</xdr:colOff>
                    <xdr:row>25</xdr:row>
                    <xdr:rowOff>19050</xdr:rowOff>
                  </from>
                  <to>
                    <xdr:col>28</xdr:col>
                    <xdr:colOff>57150</xdr:colOff>
                    <xdr:row>25</xdr:row>
                    <xdr:rowOff>247650</xdr:rowOff>
                  </to>
                </anchor>
              </controlPr>
            </control>
          </mc:Choice>
        </mc:AlternateContent>
        <mc:AlternateContent xmlns:mc="http://schemas.openxmlformats.org/markup-compatibility/2006">
          <mc:Choice Requires="x14">
            <control shapeId="31337" r:id="rId74" name="Check Box 1641">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38" r:id="rId75" name="Check Box 1642">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31339" r:id="rId76" name="Check Box 1643">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31340" r:id="rId77" name="Check Box 1644">
              <controlPr defaultSize="0" autoFill="0" autoLine="0" autoPict="0">
                <anchor moveWithCells="1">
                  <from>
                    <xdr:col>27</xdr:col>
                    <xdr:colOff>38100</xdr:colOff>
                    <xdr:row>25</xdr:row>
                    <xdr:rowOff>19050</xdr:rowOff>
                  </from>
                  <to>
                    <xdr:col>28</xdr:col>
                    <xdr:colOff>57150</xdr:colOff>
                    <xdr:row>25</xdr:row>
                    <xdr:rowOff>247650</xdr:rowOff>
                  </to>
                </anchor>
              </controlPr>
            </control>
          </mc:Choice>
        </mc:AlternateContent>
        <mc:AlternateContent xmlns:mc="http://schemas.openxmlformats.org/markup-compatibility/2006">
          <mc:Choice Requires="x14">
            <control shapeId="31341" r:id="rId78" name="Check Box 1645">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42" r:id="rId79" name="Check Box 1646">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46" r:id="rId80" name="Check Box 1650">
              <controlPr defaultSize="0" autoFill="0" autoLine="0" autoPict="0">
                <anchor moveWithCells="1">
                  <from>
                    <xdr:col>27</xdr:col>
                    <xdr:colOff>38100</xdr:colOff>
                    <xdr:row>19</xdr:row>
                    <xdr:rowOff>19050</xdr:rowOff>
                  </from>
                  <to>
                    <xdr:col>28</xdr:col>
                    <xdr:colOff>57150</xdr:colOff>
                    <xdr:row>19</xdr:row>
                    <xdr:rowOff>247650</xdr:rowOff>
                  </to>
                </anchor>
              </controlPr>
            </control>
          </mc:Choice>
        </mc:AlternateContent>
        <mc:AlternateContent xmlns:mc="http://schemas.openxmlformats.org/markup-compatibility/2006">
          <mc:Choice Requires="x14">
            <control shapeId="31347" r:id="rId81" name="Check Box 1651">
              <controlPr defaultSize="0" autoFill="0" autoLine="0" autoPict="0">
                <anchor moveWithCells="1">
                  <from>
                    <xdr:col>27</xdr:col>
                    <xdr:colOff>38100</xdr:colOff>
                    <xdr:row>20</xdr:row>
                    <xdr:rowOff>19050</xdr:rowOff>
                  </from>
                  <to>
                    <xdr:col>28</xdr:col>
                    <xdr:colOff>57150</xdr:colOff>
                    <xdr:row>20</xdr:row>
                    <xdr:rowOff>247650</xdr:rowOff>
                  </to>
                </anchor>
              </controlPr>
            </control>
          </mc:Choice>
        </mc:AlternateContent>
        <mc:AlternateContent xmlns:mc="http://schemas.openxmlformats.org/markup-compatibility/2006">
          <mc:Choice Requires="x14">
            <control shapeId="31348" r:id="rId82" name="Check Box 1652">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31349" r:id="rId83" name="Check Box 1653">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31350" r:id="rId84" name="Check Box 1654">
              <controlPr defaultSize="0" autoFill="0" autoLine="0" autoPict="0">
                <anchor moveWithCells="1">
                  <from>
                    <xdr:col>27</xdr:col>
                    <xdr:colOff>38100</xdr:colOff>
                    <xdr:row>24</xdr:row>
                    <xdr:rowOff>19050</xdr:rowOff>
                  </from>
                  <to>
                    <xdr:col>28</xdr:col>
                    <xdr:colOff>57150</xdr:colOff>
                    <xdr:row>24</xdr:row>
                    <xdr:rowOff>247650</xdr:rowOff>
                  </to>
                </anchor>
              </controlPr>
            </control>
          </mc:Choice>
        </mc:AlternateContent>
        <mc:AlternateContent xmlns:mc="http://schemas.openxmlformats.org/markup-compatibility/2006">
          <mc:Choice Requires="x14">
            <control shapeId="31351" r:id="rId85" name="Check Box 1655">
              <controlPr defaultSize="0" autoFill="0" autoLine="0" autoPict="0">
                <anchor moveWithCells="1">
                  <from>
                    <xdr:col>27</xdr:col>
                    <xdr:colOff>38100</xdr:colOff>
                    <xdr:row>25</xdr:row>
                    <xdr:rowOff>19050</xdr:rowOff>
                  </from>
                  <to>
                    <xdr:col>28</xdr:col>
                    <xdr:colOff>57150</xdr:colOff>
                    <xdr:row>25</xdr:row>
                    <xdr:rowOff>247650</xdr:rowOff>
                  </to>
                </anchor>
              </controlPr>
            </control>
          </mc:Choice>
        </mc:AlternateContent>
        <mc:AlternateContent xmlns:mc="http://schemas.openxmlformats.org/markup-compatibility/2006">
          <mc:Choice Requires="x14">
            <control shapeId="31352" r:id="rId86" name="Check Box 1656">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53" r:id="rId87" name="Check Box 1657">
              <controlPr defaultSize="0" autoFill="0" autoLine="0" autoPict="0">
                <anchor moveWithCells="1">
                  <from>
                    <xdr:col>27</xdr:col>
                    <xdr:colOff>38100</xdr:colOff>
                    <xdr:row>22</xdr:row>
                    <xdr:rowOff>19050</xdr:rowOff>
                  </from>
                  <to>
                    <xdr:col>28</xdr:col>
                    <xdr:colOff>57150</xdr:colOff>
                    <xdr:row>22</xdr:row>
                    <xdr:rowOff>247650</xdr:rowOff>
                  </to>
                </anchor>
              </controlPr>
            </control>
          </mc:Choice>
        </mc:AlternateContent>
        <mc:AlternateContent xmlns:mc="http://schemas.openxmlformats.org/markup-compatibility/2006">
          <mc:Choice Requires="x14">
            <control shapeId="31354" r:id="rId88" name="Check Box 1658">
              <controlPr defaultSize="0" autoFill="0" autoLine="0" autoPict="0">
                <anchor moveWithCells="1">
                  <from>
                    <xdr:col>27</xdr:col>
                    <xdr:colOff>38100</xdr:colOff>
                    <xdr:row>23</xdr:row>
                    <xdr:rowOff>19050</xdr:rowOff>
                  </from>
                  <to>
                    <xdr:col>28</xdr:col>
                    <xdr:colOff>57150</xdr:colOff>
                    <xdr:row>23</xdr:row>
                    <xdr:rowOff>247650</xdr:rowOff>
                  </to>
                </anchor>
              </controlPr>
            </control>
          </mc:Choice>
        </mc:AlternateContent>
        <mc:AlternateContent xmlns:mc="http://schemas.openxmlformats.org/markup-compatibility/2006">
          <mc:Choice Requires="x14">
            <control shapeId="31355" r:id="rId89" name="Check Box 1659">
              <controlPr defaultSize="0" autoFill="0" autoLine="0" autoPict="0">
                <anchor moveWithCells="1">
                  <from>
                    <xdr:col>27</xdr:col>
                    <xdr:colOff>38100</xdr:colOff>
                    <xdr:row>25</xdr:row>
                    <xdr:rowOff>19050</xdr:rowOff>
                  </from>
                  <to>
                    <xdr:col>28</xdr:col>
                    <xdr:colOff>57150</xdr:colOff>
                    <xdr:row>25</xdr:row>
                    <xdr:rowOff>247650</xdr:rowOff>
                  </to>
                </anchor>
              </controlPr>
            </control>
          </mc:Choice>
        </mc:AlternateContent>
        <mc:AlternateContent xmlns:mc="http://schemas.openxmlformats.org/markup-compatibility/2006">
          <mc:Choice Requires="x14">
            <control shapeId="31356" r:id="rId90" name="Check Box 1660">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57" r:id="rId91" name="Check Box 1661">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58" r:id="rId92" name="Check Box 1662">
              <controlPr defaultSize="0" autoFill="0" autoLine="0" autoPict="0">
                <anchor moveWithCells="1">
                  <from>
                    <xdr:col>27</xdr:col>
                    <xdr:colOff>38100</xdr:colOff>
                    <xdr:row>29</xdr:row>
                    <xdr:rowOff>28575</xdr:rowOff>
                  </from>
                  <to>
                    <xdr:col>28</xdr:col>
                    <xdr:colOff>57150</xdr:colOff>
                    <xdr:row>29</xdr:row>
                    <xdr:rowOff>247650</xdr:rowOff>
                  </to>
                </anchor>
              </controlPr>
            </control>
          </mc:Choice>
        </mc:AlternateContent>
        <mc:AlternateContent xmlns:mc="http://schemas.openxmlformats.org/markup-compatibility/2006">
          <mc:Choice Requires="x14">
            <control shapeId="31359" r:id="rId93" name="Check Box 1663">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60" r:id="rId94" name="Check Box 1664">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61" r:id="rId95" name="Check Box 1665">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62" r:id="rId96" name="Check Box 1666">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63" r:id="rId97" name="Check Box 1667">
              <controlPr defaultSize="0" autoFill="0" autoLine="0" autoPict="0">
                <anchor moveWithCells="1">
                  <from>
                    <xdr:col>27</xdr:col>
                    <xdr:colOff>38100</xdr:colOff>
                    <xdr:row>27</xdr:row>
                    <xdr:rowOff>28575</xdr:rowOff>
                  </from>
                  <to>
                    <xdr:col>28</xdr:col>
                    <xdr:colOff>57150</xdr:colOff>
                    <xdr:row>27</xdr:row>
                    <xdr:rowOff>247650</xdr:rowOff>
                  </to>
                </anchor>
              </controlPr>
            </control>
          </mc:Choice>
        </mc:AlternateContent>
        <mc:AlternateContent xmlns:mc="http://schemas.openxmlformats.org/markup-compatibility/2006">
          <mc:Choice Requires="x14">
            <control shapeId="31364" r:id="rId98" name="Check Box 1668">
              <controlPr defaultSize="0" autoFill="0" autoLine="0" autoPict="0">
                <anchor moveWithCells="1">
                  <from>
                    <xdr:col>27</xdr:col>
                    <xdr:colOff>38100</xdr:colOff>
                    <xdr:row>26</xdr:row>
                    <xdr:rowOff>28575</xdr:rowOff>
                  </from>
                  <to>
                    <xdr:col>28</xdr:col>
                    <xdr:colOff>57150</xdr:colOff>
                    <xdr:row>26</xdr:row>
                    <xdr:rowOff>247650</xdr:rowOff>
                  </to>
                </anchor>
              </controlPr>
            </control>
          </mc:Choice>
        </mc:AlternateContent>
        <mc:AlternateContent xmlns:mc="http://schemas.openxmlformats.org/markup-compatibility/2006">
          <mc:Choice Requires="x14">
            <control shapeId="31365" r:id="rId99" name="Check Box 1669">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66" r:id="rId100" name="Check Box 1670">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67" r:id="rId101" name="Check Box 1671">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68" r:id="rId102" name="Check Box 1672">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69" r:id="rId103" name="Check Box 1673">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70" r:id="rId104" name="Check Box 1674">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71" r:id="rId105" name="Check Box 1675">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72" r:id="rId106" name="Check Box 1676">
              <controlPr defaultSize="0" autoFill="0" autoLine="0" autoPict="0">
                <anchor moveWithCells="1">
                  <from>
                    <xdr:col>1</xdr:col>
                    <xdr:colOff>38100</xdr:colOff>
                    <xdr:row>27</xdr:row>
                    <xdr:rowOff>28575</xdr:rowOff>
                  </from>
                  <to>
                    <xdr:col>2</xdr:col>
                    <xdr:colOff>57150</xdr:colOff>
                    <xdr:row>27</xdr:row>
                    <xdr:rowOff>247650</xdr:rowOff>
                  </to>
                </anchor>
              </controlPr>
            </control>
          </mc:Choice>
        </mc:AlternateContent>
        <mc:AlternateContent xmlns:mc="http://schemas.openxmlformats.org/markup-compatibility/2006">
          <mc:Choice Requires="x14">
            <control shapeId="31373" r:id="rId107" name="Check Box 1677">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4" r:id="rId108" name="Check Box 1678">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5" r:id="rId109" name="Check Box 1679">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6" r:id="rId110" name="Check Box 1680">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7" r:id="rId111" name="Check Box 1681">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8" r:id="rId112" name="Check Box 1682">
              <controlPr defaultSize="0" autoFill="0" autoLine="0" autoPict="0">
                <anchor moveWithCells="1">
                  <from>
                    <xdr:col>1</xdr:col>
                    <xdr:colOff>38100</xdr:colOff>
                    <xdr:row>26</xdr:row>
                    <xdr:rowOff>28575</xdr:rowOff>
                  </from>
                  <to>
                    <xdr:col>2</xdr:col>
                    <xdr:colOff>57150</xdr:colOff>
                    <xdr:row>26</xdr:row>
                    <xdr:rowOff>247650</xdr:rowOff>
                  </to>
                </anchor>
              </controlPr>
            </control>
          </mc:Choice>
        </mc:AlternateContent>
        <mc:AlternateContent xmlns:mc="http://schemas.openxmlformats.org/markup-compatibility/2006">
          <mc:Choice Requires="x14">
            <control shapeId="31379" r:id="rId113" name="Check Box 1683">
              <controlPr defaultSize="0" autoFill="0" autoLine="0" autoPict="0">
                <anchor moveWithCells="1">
                  <from>
                    <xdr:col>1</xdr:col>
                    <xdr:colOff>38100</xdr:colOff>
                    <xdr:row>25</xdr:row>
                    <xdr:rowOff>28575</xdr:rowOff>
                  </from>
                  <to>
                    <xdr:col>2</xdr:col>
                    <xdr:colOff>57150</xdr:colOff>
                    <xdr:row>25</xdr:row>
                    <xdr:rowOff>247650</xdr:rowOff>
                  </to>
                </anchor>
              </controlPr>
            </control>
          </mc:Choice>
        </mc:AlternateContent>
        <mc:AlternateContent xmlns:mc="http://schemas.openxmlformats.org/markup-compatibility/2006">
          <mc:Choice Requires="x14">
            <control shapeId="31380" r:id="rId114" name="Check Box 1684">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31381" r:id="rId115" name="Check Box 1685">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31382" r:id="rId116" name="Check Box 1686">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31383" r:id="rId117" name="Check Box 1687">
              <controlPr defaultSize="0" autoFill="0" autoLine="0" autoPict="0">
                <anchor moveWithCells="1">
                  <from>
                    <xdr:col>1</xdr:col>
                    <xdr:colOff>38100</xdr:colOff>
                    <xdr:row>25</xdr:row>
                    <xdr:rowOff>19050</xdr:rowOff>
                  </from>
                  <to>
                    <xdr:col>2</xdr:col>
                    <xdr:colOff>57150</xdr:colOff>
                    <xdr:row>25</xdr:row>
                    <xdr:rowOff>247650</xdr:rowOff>
                  </to>
                </anchor>
              </controlPr>
            </control>
          </mc:Choice>
        </mc:AlternateContent>
        <mc:AlternateContent xmlns:mc="http://schemas.openxmlformats.org/markup-compatibility/2006">
          <mc:Choice Requires="x14">
            <control shapeId="31385" r:id="rId118" name="Check Box 1689">
              <controlPr defaultSize="0" autoFill="0" autoLine="0" autoPict="0">
                <anchor moveWithCells="1">
                  <from>
                    <xdr:col>27</xdr:col>
                    <xdr:colOff>38100</xdr:colOff>
                    <xdr:row>28</xdr:row>
                    <xdr:rowOff>28575</xdr:rowOff>
                  </from>
                  <to>
                    <xdr:col>28</xdr:col>
                    <xdr:colOff>57150</xdr:colOff>
                    <xdr:row>28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59BD9-40E4-4CDF-AEED-19DC1A1C6871}">
  <sheetPr>
    <tabColor rgb="FF00B0F0"/>
    <outlinePr summaryBelow="0" summaryRight="0"/>
  </sheetPr>
  <dimension ref="A1:AV177"/>
  <sheetViews>
    <sheetView view="pageBreakPreview" zoomScale="25" zoomScaleNormal="82" zoomScaleSheetLayoutView="25" workbookViewId="0">
      <selection activeCell="D33" sqref="D33"/>
    </sheetView>
  </sheetViews>
  <sheetFormatPr defaultColWidth="11" defaultRowHeight="15.75" customHeight="1"/>
  <cols>
    <col min="1" max="2" width="5" style="832" customWidth="1"/>
    <col min="3" max="16" width="10" style="832" customWidth="1"/>
    <col min="17" max="18" width="5" style="832" customWidth="1"/>
    <col min="19" max="32" width="10" style="832" customWidth="1"/>
    <col min="33" max="34" width="11" style="832"/>
    <col min="35" max="48" width="11" style="1056"/>
    <col min="49" max="16384" width="11" style="832"/>
  </cols>
  <sheetData>
    <row r="1" spans="1:48" ht="15">
      <c r="D1" s="833"/>
      <c r="E1" s="833"/>
      <c r="F1" s="833"/>
      <c r="G1" s="833"/>
      <c r="H1" s="833"/>
      <c r="I1" s="833"/>
      <c r="J1" s="833"/>
      <c r="K1" s="833"/>
      <c r="L1" s="833"/>
      <c r="M1" s="833"/>
      <c r="N1" s="833"/>
      <c r="O1" s="833"/>
      <c r="P1" s="833"/>
      <c r="T1" s="833"/>
      <c r="U1" s="833"/>
      <c r="V1" s="833"/>
      <c r="W1" s="833"/>
      <c r="X1" s="833"/>
      <c r="Y1" s="833"/>
      <c r="Z1" s="833"/>
      <c r="AA1" s="833"/>
      <c r="AB1" s="833"/>
      <c r="AC1" s="833"/>
      <c r="AD1" s="833"/>
      <c r="AE1" s="833"/>
      <c r="AF1" s="833"/>
    </row>
    <row r="2" spans="1:48" ht="46.5" customHeight="1">
      <c r="A2" s="834"/>
      <c r="B2" s="834"/>
      <c r="C2" s="1319" t="s">
        <v>3022</v>
      </c>
      <c r="D2" s="1320"/>
      <c r="E2" s="1320"/>
      <c r="F2" s="1320"/>
      <c r="G2" s="1320"/>
      <c r="H2" s="1320"/>
      <c r="I2" s="1320"/>
      <c r="J2" s="1320"/>
      <c r="K2" s="1320"/>
      <c r="L2" s="1320"/>
      <c r="M2" s="1320"/>
      <c r="N2" s="1320"/>
      <c r="O2" s="1320"/>
      <c r="P2" s="1320"/>
      <c r="Q2" s="834"/>
      <c r="R2" s="834"/>
      <c r="S2" s="1319" t="s">
        <v>3022</v>
      </c>
      <c r="T2" s="1320"/>
      <c r="U2" s="1320"/>
      <c r="V2" s="1320"/>
      <c r="W2" s="1320"/>
      <c r="X2" s="1320"/>
      <c r="Y2" s="1320"/>
      <c r="Z2" s="1320"/>
      <c r="AA2" s="1320"/>
      <c r="AB2" s="1320"/>
      <c r="AC2" s="1320"/>
      <c r="AD2" s="1320"/>
      <c r="AE2" s="1320"/>
      <c r="AF2" s="1320"/>
    </row>
    <row r="3" spans="1:48" ht="18.75">
      <c r="E3" s="833"/>
      <c r="F3" s="833"/>
      <c r="G3" s="833"/>
      <c r="H3" s="833"/>
      <c r="I3" s="833"/>
      <c r="J3" s="833"/>
      <c r="K3" s="833"/>
      <c r="L3" s="833"/>
      <c r="M3" s="833"/>
      <c r="N3" s="833"/>
      <c r="O3" s="833"/>
      <c r="P3" s="833"/>
      <c r="U3" s="833"/>
      <c r="V3" s="833"/>
      <c r="W3" s="833"/>
      <c r="X3" s="833"/>
      <c r="Y3" s="833"/>
      <c r="Z3" s="833"/>
      <c r="AA3" s="833"/>
      <c r="AB3" s="833"/>
      <c r="AC3" s="833"/>
      <c r="AD3" s="833"/>
      <c r="AE3" s="833"/>
      <c r="AF3" s="833"/>
      <c r="AJ3" s="1490" t="s">
        <v>3209</v>
      </c>
      <c r="AK3" s="1491"/>
      <c r="AL3" s="1492"/>
      <c r="AM3" s="1490" t="s">
        <v>3209</v>
      </c>
      <c r="AN3" s="1491"/>
      <c r="AO3" s="1492"/>
      <c r="AP3" s="1057"/>
      <c r="AQ3" s="1489" t="s">
        <v>3210</v>
      </c>
      <c r="AR3" s="1489"/>
      <c r="AS3" s="1489"/>
      <c r="AT3" s="1489"/>
      <c r="AU3" s="1489"/>
      <c r="AV3" s="1489"/>
    </row>
    <row r="4" spans="1:48" ht="19.5" customHeight="1">
      <c r="B4" s="835"/>
      <c r="C4" s="1321" t="s">
        <v>3023</v>
      </c>
      <c r="D4" s="1320"/>
      <c r="E4" s="1322">
        <f>'01 使用承認申請書'!D4</f>
        <v>0</v>
      </c>
      <c r="F4" s="1323"/>
      <c r="G4" s="1323"/>
      <c r="H4" s="1323"/>
      <c r="I4" s="1324"/>
      <c r="J4" s="835"/>
      <c r="K4" s="1328" t="s">
        <v>3024</v>
      </c>
      <c r="L4" s="1337">
        <f>'01 使用承認申請書'!B18</f>
        <v>0</v>
      </c>
      <c r="M4" s="835"/>
      <c r="N4" s="835"/>
      <c r="O4" s="835"/>
      <c r="P4" s="836"/>
      <c r="R4" s="835"/>
      <c r="S4" s="1321" t="s">
        <v>3023</v>
      </c>
      <c r="T4" s="1320"/>
      <c r="U4" s="1331" t="s">
        <v>3109</v>
      </c>
      <c r="V4" s="1332"/>
      <c r="W4" s="1332"/>
      <c r="X4" s="1332"/>
      <c r="Y4" s="1333"/>
      <c r="Z4" s="835"/>
      <c r="AA4" s="1328" t="s">
        <v>3024</v>
      </c>
      <c r="AB4" s="1337" t="s">
        <v>3111</v>
      </c>
      <c r="AC4" s="835"/>
      <c r="AD4" s="835"/>
      <c r="AE4" s="835"/>
      <c r="AF4" s="836"/>
      <c r="AJ4" s="1493"/>
      <c r="AK4" s="1494"/>
      <c r="AL4" s="1495"/>
      <c r="AM4" s="1493"/>
      <c r="AN4" s="1494"/>
      <c r="AO4" s="1495"/>
      <c r="AP4" s="1057"/>
      <c r="AQ4" s="1057"/>
      <c r="AR4" s="1057"/>
      <c r="AS4" s="1057"/>
      <c r="AT4" s="1057"/>
      <c r="AU4" s="1057"/>
      <c r="AV4" s="1057"/>
    </row>
    <row r="5" spans="1:48" ht="19.5" customHeight="1">
      <c r="A5" s="837"/>
      <c r="B5" s="835"/>
      <c r="C5" s="1320"/>
      <c r="D5" s="1320"/>
      <c r="E5" s="1325"/>
      <c r="F5" s="1326"/>
      <c r="G5" s="1326"/>
      <c r="H5" s="1326"/>
      <c r="I5" s="1327"/>
      <c r="J5" s="835"/>
      <c r="K5" s="1320"/>
      <c r="L5" s="1338"/>
      <c r="M5" s="835"/>
      <c r="N5" s="835"/>
      <c r="O5" s="835"/>
      <c r="P5" s="836"/>
      <c r="Q5" s="837"/>
      <c r="R5" s="835"/>
      <c r="S5" s="1320"/>
      <c r="T5" s="1320"/>
      <c r="U5" s="1334"/>
      <c r="V5" s="1335"/>
      <c r="W5" s="1335"/>
      <c r="X5" s="1335"/>
      <c r="Y5" s="1336"/>
      <c r="Z5" s="835"/>
      <c r="AA5" s="1320"/>
      <c r="AB5" s="1338"/>
      <c r="AC5" s="838"/>
      <c r="AD5" s="835"/>
      <c r="AE5" s="835"/>
      <c r="AF5" s="836"/>
      <c r="AJ5" s="1057"/>
      <c r="AK5" s="1057"/>
      <c r="AL5" s="1057"/>
      <c r="AM5" s="1057"/>
      <c r="AN5" s="1057"/>
      <c r="AO5" s="1057"/>
      <c r="AP5" s="1057"/>
      <c r="AQ5" s="1489" t="s">
        <v>3212</v>
      </c>
      <c r="AR5" s="1489"/>
      <c r="AS5" s="1489"/>
      <c r="AT5" s="1489" t="s">
        <v>3212</v>
      </c>
      <c r="AU5" s="1489"/>
      <c r="AV5" s="1489"/>
    </row>
    <row r="6" spans="1:48" ht="19.5" customHeight="1">
      <c r="A6" s="837"/>
      <c r="B6" s="835"/>
      <c r="C6" s="839" t="s">
        <v>3025</v>
      </c>
      <c r="E6" s="840"/>
      <c r="F6" s="840"/>
      <c r="G6" s="840"/>
      <c r="H6" s="840"/>
      <c r="I6" s="840"/>
      <c r="J6" s="835"/>
      <c r="L6" s="840"/>
      <c r="M6" s="835"/>
      <c r="N6" s="835"/>
      <c r="O6" s="835"/>
      <c r="P6" s="836"/>
      <c r="Q6" s="837"/>
      <c r="R6" s="835"/>
      <c r="U6" s="840"/>
      <c r="V6" s="840"/>
      <c r="W6" s="840"/>
      <c r="X6" s="840"/>
      <c r="Y6" s="840"/>
      <c r="Z6" s="835"/>
      <c r="AB6" s="840"/>
      <c r="AC6" s="835"/>
      <c r="AD6" s="835"/>
      <c r="AE6" s="835"/>
      <c r="AF6" s="836"/>
      <c r="AJ6" s="1490" t="s">
        <v>3211</v>
      </c>
      <c r="AK6" s="1491"/>
      <c r="AL6" s="1492"/>
      <c r="AM6" s="1490" t="s">
        <v>3211</v>
      </c>
      <c r="AN6" s="1491"/>
      <c r="AO6" s="1492"/>
      <c r="AP6" s="1057"/>
      <c r="AQ6" s="1489"/>
      <c r="AR6" s="1489"/>
      <c r="AS6" s="1489"/>
      <c r="AT6" s="1489"/>
      <c r="AU6" s="1489"/>
      <c r="AV6" s="1489"/>
    </row>
    <row r="7" spans="1:48" ht="16.5" customHeight="1">
      <c r="A7" s="1339" t="s">
        <v>3026</v>
      </c>
      <c r="B7" s="1340"/>
      <c r="C7" s="1343"/>
      <c r="D7" s="1343"/>
      <c r="E7" s="1343"/>
      <c r="F7" s="1343"/>
      <c r="G7" s="1343"/>
      <c r="H7" s="1343"/>
      <c r="I7" s="1343"/>
      <c r="J7" s="1343"/>
      <c r="K7" s="1343"/>
      <c r="L7" s="1343"/>
      <c r="M7" s="1343"/>
      <c r="N7" s="1343"/>
      <c r="O7" s="1343"/>
      <c r="P7" s="1343"/>
      <c r="Q7" s="1339" t="s">
        <v>3026</v>
      </c>
      <c r="R7" s="1340"/>
      <c r="S7" s="1346" t="s">
        <v>3118</v>
      </c>
      <c r="T7" s="1346"/>
      <c r="U7" s="1346"/>
      <c r="V7" s="1346"/>
      <c r="W7" s="1346"/>
      <c r="X7" s="1346"/>
      <c r="Y7" s="1346"/>
      <c r="Z7" s="1346"/>
      <c r="AA7" s="1346"/>
      <c r="AB7" s="1346"/>
      <c r="AC7" s="1346"/>
      <c r="AD7" s="1346"/>
      <c r="AE7" s="1346"/>
      <c r="AF7" s="1346"/>
      <c r="AJ7" s="1493"/>
      <c r="AK7" s="1494"/>
      <c r="AL7" s="1495"/>
      <c r="AM7" s="1493"/>
      <c r="AN7" s="1494"/>
      <c r="AO7" s="1495"/>
    </row>
    <row r="8" spans="1:48" ht="16.5" customHeight="1">
      <c r="A8" s="1341"/>
      <c r="B8" s="1341"/>
      <c r="C8" s="1344"/>
      <c r="D8" s="1344"/>
      <c r="E8" s="1344"/>
      <c r="F8" s="1344"/>
      <c r="G8" s="1344"/>
      <c r="H8" s="1344"/>
      <c r="I8" s="1344"/>
      <c r="J8" s="1344"/>
      <c r="K8" s="1344"/>
      <c r="L8" s="1344"/>
      <c r="M8" s="1344"/>
      <c r="N8" s="1344"/>
      <c r="O8" s="1344"/>
      <c r="P8" s="1344"/>
      <c r="Q8" s="1341"/>
      <c r="R8" s="1341"/>
      <c r="S8" s="1347"/>
      <c r="T8" s="1347"/>
      <c r="U8" s="1347"/>
      <c r="V8" s="1347"/>
      <c r="W8" s="1347"/>
      <c r="X8" s="1347"/>
      <c r="Y8" s="1347"/>
      <c r="Z8" s="1347"/>
      <c r="AA8" s="1347"/>
      <c r="AB8" s="1347"/>
      <c r="AC8" s="1347"/>
      <c r="AD8" s="1347"/>
      <c r="AE8" s="1347"/>
      <c r="AF8" s="1347"/>
      <c r="AQ8" s="1496" t="s">
        <v>3112</v>
      </c>
      <c r="AR8" s="1496"/>
      <c r="AS8" s="1496"/>
      <c r="AT8" s="1496"/>
      <c r="AU8" s="1496"/>
      <c r="AV8" s="1496"/>
    </row>
    <row r="9" spans="1:48" ht="12" customHeight="1">
      <c r="A9" s="1341"/>
      <c r="B9" s="1341"/>
      <c r="C9" s="1344"/>
      <c r="D9" s="1344"/>
      <c r="E9" s="1344"/>
      <c r="F9" s="1344"/>
      <c r="G9" s="1344"/>
      <c r="H9" s="1344"/>
      <c r="I9" s="1344"/>
      <c r="J9" s="1344"/>
      <c r="K9" s="1344"/>
      <c r="L9" s="1344"/>
      <c r="M9" s="1344"/>
      <c r="N9" s="1344"/>
      <c r="O9" s="1344"/>
      <c r="P9" s="1344"/>
      <c r="Q9" s="1341"/>
      <c r="R9" s="1341"/>
      <c r="S9" s="1347"/>
      <c r="T9" s="1347"/>
      <c r="U9" s="1347"/>
      <c r="V9" s="1347"/>
      <c r="W9" s="1347"/>
      <c r="X9" s="1347"/>
      <c r="Y9" s="1347"/>
      <c r="Z9" s="1347"/>
      <c r="AA9" s="1347"/>
      <c r="AB9" s="1347"/>
      <c r="AC9" s="1347"/>
      <c r="AD9" s="1347"/>
      <c r="AE9" s="1347"/>
      <c r="AF9" s="1347"/>
      <c r="AQ9" s="1496"/>
      <c r="AR9" s="1496"/>
      <c r="AS9" s="1496"/>
      <c r="AT9" s="1496"/>
      <c r="AU9" s="1496"/>
      <c r="AV9" s="1496"/>
    </row>
    <row r="10" spans="1:48" ht="12" customHeight="1">
      <c r="A10" s="1341"/>
      <c r="B10" s="1341"/>
      <c r="C10" s="1344"/>
      <c r="D10" s="1344"/>
      <c r="E10" s="1344"/>
      <c r="F10" s="1344"/>
      <c r="G10" s="1344"/>
      <c r="H10" s="1344"/>
      <c r="I10" s="1344"/>
      <c r="J10" s="1344"/>
      <c r="K10" s="1344"/>
      <c r="L10" s="1344"/>
      <c r="M10" s="1344"/>
      <c r="N10" s="1344"/>
      <c r="O10" s="1344"/>
      <c r="P10" s="1344"/>
      <c r="Q10" s="1341"/>
      <c r="R10" s="1341"/>
      <c r="S10" s="1347"/>
      <c r="T10" s="1347"/>
      <c r="U10" s="1347"/>
      <c r="V10" s="1347"/>
      <c r="W10" s="1347"/>
      <c r="X10" s="1347"/>
      <c r="Y10" s="1347"/>
      <c r="Z10" s="1347"/>
      <c r="AA10" s="1347"/>
      <c r="AB10" s="1347"/>
      <c r="AC10" s="1347"/>
      <c r="AD10" s="1347"/>
      <c r="AE10" s="1347"/>
      <c r="AF10" s="1347"/>
      <c r="AJ10" s="1496" t="s">
        <v>3213</v>
      </c>
      <c r="AK10" s="1496"/>
      <c r="AL10" s="1496"/>
      <c r="AM10" s="1496"/>
      <c r="AN10" s="1496"/>
      <c r="AO10" s="1496"/>
    </row>
    <row r="11" spans="1:48" ht="12.75" customHeight="1">
      <c r="A11" s="1341"/>
      <c r="B11" s="1341"/>
      <c r="C11" s="1344"/>
      <c r="D11" s="1344"/>
      <c r="E11" s="1344"/>
      <c r="F11" s="1344"/>
      <c r="G11" s="1344"/>
      <c r="H11" s="1344"/>
      <c r="I11" s="1344"/>
      <c r="J11" s="1344"/>
      <c r="K11" s="1344"/>
      <c r="L11" s="1344"/>
      <c r="M11" s="1344"/>
      <c r="N11" s="1344"/>
      <c r="O11" s="1344"/>
      <c r="P11" s="1344"/>
      <c r="Q11" s="1341"/>
      <c r="R11" s="1341"/>
      <c r="S11" s="1347"/>
      <c r="T11" s="1347"/>
      <c r="U11" s="1347"/>
      <c r="V11" s="1347"/>
      <c r="W11" s="1347"/>
      <c r="X11" s="1347"/>
      <c r="Y11" s="1347"/>
      <c r="Z11" s="1347"/>
      <c r="AA11" s="1347"/>
      <c r="AB11" s="1347"/>
      <c r="AC11" s="1347"/>
      <c r="AD11" s="1347"/>
      <c r="AE11" s="1347"/>
      <c r="AF11" s="1347"/>
      <c r="AJ11" s="1496"/>
      <c r="AK11" s="1496"/>
      <c r="AL11" s="1496"/>
      <c r="AM11" s="1496"/>
      <c r="AN11" s="1496"/>
      <c r="AO11" s="1496"/>
      <c r="AQ11" s="1496" t="s">
        <v>3215</v>
      </c>
      <c r="AR11" s="1496"/>
      <c r="AS11" s="1496"/>
      <c r="AT11" s="1496"/>
      <c r="AU11" s="1496"/>
      <c r="AV11" s="1496"/>
    </row>
    <row r="12" spans="1:48" ht="12.75" customHeight="1">
      <c r="A12" s="1342"/>
      <c r="B12" s="1342"/>
      <c r="C12" s="1345"/>
      <c r="D12" s="1345"/>
      <c r="E12" s="1345"/>
      <c r="F12" s="1345"/>
      <c r="G12" s="1345"/>
      <c r="H12" s="1345"/>
      <c r="I12" s="1345"/>
      <c r="J12" s="1345"/>
      <c r="K12" s="1345"/>
      <c r="L12" s="1345"/>
      <c r="M12" s="1345"/>
      <c r="N12" s="1345"/>
      <c r="O12" s="1345"/>
      <c r="P12" s="1345"/>
      <c r="Q12" s="1342"/>
      <c r="R12" s="1342"/>
      <c r="S12" s="1348"/>
      <c r="T12" s="1348"/>
      <c r="U12" s="1348"/>
      <c r="V12" s="1348"/>
      <c r="W12" s="1348"/>
      <c r="X12" s="1348"/>
      <c r="Y12" s="1348"/>
      <c r="Z12" s="1348"/>
      <c r="AA12" s="1348"/>
      <c r="AB12" s="1348"/>
      <c r="AC12" s="1348"/>
      <c r="AD12" s="1348"/>
      <c r="AE12" s="1348"/>
      <c r="AF12" s="1348"/>
      <c r="AQ12" s="1496"/>
      <c r="AR12" s="1496"/>
      <c r="AS12" s="1496"/>
      <c r="AT12" s="1496"/>
      <c r="AU12" s="1496"/>
      <c r="AV12" s="1496"/>
    </row>
    <row r="13" spans="1:48" ht="19.5" customHeight="1">
      <c r="A13" s="837"/>
      <c r="B13" s="837"/>
      <c r="C13" s="841"/>
      <c r="D13" s="837"/>
      <c r="F13" s="842" t="s">
        <v>3027</v>
      </c>
      <c r="G13" s="837"/>
      <c r="H13" s="835"/>
      <c r="I13" s="835"/>
      <c r="J13" s="835"/>
      <c r="K13" s="835"/>
      <c r="L13" s="835"/>
      <c r="M13" s="835"/>
      <c r="N13" s="835"/>
      <c r="O13" s="835"/>
      <c r="P13" s="836"/>
      <c r="Q13" s="837"/>
      <c r="R13" s="837"/>
      <c r="S13" s="837"/>
      <c r="T13" s="837"/>
      <c r="U13" s="837"/>
      <c r="V13" s="837"/>
      <c r="W13" s="837"/>
      <c r="X13" s="835"/>
      <c r="Y13" s="835"/>
      <c r="Z13" s="835"/>
      <c r="AA13" s="835"/>
      <c r="AB13" s="835"/>
      <c r="AC13" s="835"/>
      <c r="AD13" s="835"/>
      <c r="AE13" s="835"/>
      <c r="AF13" s="836"/>
      <c r="AJ13" s="1496" t="s">
        <v>3214</v>
      </c>
      <c r="AK13" s="1496"/>
      <c r="AL13" s="1496"/>
      <c r="AM13" s="1496"/>
      <c r="AN13" s="1496"/>
      <c r="AO13" s="1496"/>
    </row>
    <row r="14" spans="1:48" ht="24" customHeight="1">
      <c r="A14" s="837"/>
      <c r="B14" s="837"/>
      <c r="C14" s="1349" t="s">
        <v>3028</v>
      </c>
      <c r="D14" s="1350" t="s">
        <v>3126</v>
      </c>
      <c r="E14" s="1351"/>
      <c r="F14" s="1351"/>
      <c r="G14" s="1351"/>
      <c r="H14" s="1351"/>
      <c r="I14" s="1352"/>
      <c r="J14" s="1356"/>
      <c r="K14" s="1358" t="s">
        <v>3127</v>
      </c>
      <c r="L14" s="1359"/>
      <c r="M14" s="1359"/>
      <c r="N14" s="1359"/>
      <c r="O14" s="1359"/>
      <c r="P14" s="1360"/>
      <c r="Q14" s="837"/>
      <c r="R14" s="837"/>
      <c r="S14" s="1349" t="s">
        <v>3028</v>
      </c>
      <c r="T14" s="1364">
        <v>10</v>
      </c>
      <c r="U14" s="1365" t="s">
        <v>3029</v>
      </c>
      <c r="V14" s="1365">
        <v>7</v>
      </c>
      <c r="W14" s="1366" t="s">
        <v>3030</v>
      </c>
      <c r="X14" s="1365" t="s">
        <v>3031</v>
      </c>
      <c r="Y14" s="1367" t="s">
        <v>3032</v>
      </c>
      <c r="Z14" s="1368"/>
      <c r="AA14" s="1364">
        <v>10</v>
      </c>
      <c r="AB14" s="1365" t="s">
        <v>3029</v>
      </c>
      <c r="AC14" s="1365">
        <v>8</v>
      </c>
      <c r="AD14" s="1366" t="s">
        <v>3030</v>
      </c>
      <c r="AE14" s="1365" t="s">
        <v>3033</v>
      </c>
      <c r="AF14" s="1367" t="s">
        <v>3032</v>
      </c>
      <c r="AJ14" s="1496"/>
      <c r="AK14" s="1496"/>
      <c r="AL14" s="1496"/>
      <c r="AM14" s="1496"/>
      <c r="AN14" s="1496"/>
      <c r="AO14" s="1496"/>
      <c r="AQ14" s="1496" t="s">
        <v>3216</v>
      </c>
      <c r="AR14" s="1496"/>
      <c r="AS14" s="1496"/>
      <c r="AT14" s="1496"/>
      <c r="AU14" s="1496"/>
      <c r="AV14" s="1496"/>
    </row>
    <row r="15" spans="1:48" ht="15" customHeight="1">
      <c r="A15" s="837"/>
      <c r="B15" s="837"/>
      <c r="C15" s="1334"/>
      <c r="D15" s="1353"/>
      <c r="E15" s="1354"/>
      <c r="F15" s="1354"/>
      <c r="G15" s="1354"/>
      <c r="H15" s="1354"/>
      <c r="I15" s="1355"/>
      <c r="J15" s="1357"/>
      <c r="K15" s="1361"/>
      <c r="L15" s="1362"/>
      <c r="M15" s="1362"/>
      <c r="N15" s="1362"/>
      <c r="O15" s="1362"/>
      <c r="P15" s="1363"/>
      <c r="Q15" s="837"/>
      <c r="R15" s="837"/>
      <c r="S15" s="1334"/>
      <c r="T15" s="1334"/>
      <c r="U15" s="1335"/>
      <c r="V15" s="1335"/>
      <c r="W15" s="1335"/>
      <c r="X15" s="1335"/>
      <c r="Y15" s="1336"/>
      <c r="Z15" s="1334"/>
      <c r="AA15" s="1334"/>
      <c r="AB15" s="1335"/>
      <c r="AC15" s="1335"/>
      <c r="AD15" s="1335"/>
      <c r="AE15" s="1335"/>
      <c r="AF15" s="1336"/>
      <c r="AQ15" s="1496"/>
      <c r="AR15" s="1496"/>
      <c r="AS15" s="1496"/>
      <c r="AT15" s="1496"/>
      <c r="AU15" s="1496"/>
      <c r="AV15" s="1496"/>
    </row>
    <row r="16" spans="1:48" ht="21">
      <c r="A16" s="843"/>
      <c r="B16" s="843"/>
      <c r="C16" s="844"/>
      <c r="D16" s="1380" t="s">
        <v>3034</v>
      </c>
      <c r="E16" s="1332"/>
      <c r="F16" s="1332"/>
      <c r="G16" s="1381" t="s">
        <v>3035</v>
      </c>
      <c r="H16" s="1382"/>
      <c r="I16" s="1383"/>
      <c r="J16" s="845"/>
      <c r="K16" s="1384" t="s">
        <v>3034</v>
      </c>
      <c r="L16" s="1382"/>
      <c r="M16" s="1385"/>
      <c r="N16" s="1386" t="s">
        <v>3035</v>
      </c>
      <c r="O16" s="1332"/>
      <c r="P16" s="1333"/>
      <c r="Q16" s="843"/>
      <c r="R16" s="843"/>
      <c r="S16" s="844"/>
      <c r="T16" s="1380" t="s">
        <v>3034</v>
      </c>
      <c r="U16" s="1332"/>
      <c r="V16" s="1332"/>
      <c r="W16" s="1381" t="s">
        <v>3035</v>
      </c>
      <c r="X16" s="1382"/>
      <c r="Y16" s="1382"/>
      <c r="Z16" s="845"/>
      <c r="AA16" s="1387" t="s">
        <v>3034</v>
      </c>
      <c r="AB16" s="1382"/>
      <c r="AC16" s="1385"/>
      <c r="AD16" s="1386" t="s">
        <v>3035</v>
      </c>
      <c r="AE16" s="1332"/>
      <c r="AF16" s="1333"/>
    </row>
    <row r="17" spans="1:48" ht="16.5" customHeight="1">
      <c r="A17" s="846"/>
      <c r="B17" s="1369" t="s">
        <v>3036</v>
      </c>
      <c r="C17" s="847">
        <v>0.20833333333333334</v>
      </c>
      <c r="D17" s="1371" t="s">
        <v>3037</v>
      </c>
      <c r="E17" s="1372"/>
      <c r="F17" s="1372"/>
      <c r="G17" s="1372"/>
      <c r="H17" s="1372"/>
      <c r="I17" s="1373"/>
      <c r="J17" s="848">
        <v>0.20833333333333334</v>
      </c>
      <c r="K17" s="1371" t="s">
        <v>3037</v>
      </c>
      <c r="L17" s="1372"/>
      <c r="M17" s="1372"/>
      <c r="N17" s="1372"/>
      <c r="O17" s="1372"/>
      <c r="P17" s="1373"/>
      <c r="Q17" s="846"/>
      <c r="R17" s="1369" t="s">
        <v>3036</v>
      </c>
      <c r="S17" s="847">
        <v>0.20833333333333334</v>
      </c>
      <c r="T17" s="1371" t="s">
        <v>3037</v>
      </c>
      <c r="U17" s="1372"/>
      <c r="V17" s="1372"/>
      <c r="W17" s="1372"/>
      <c r="X17" s="1372"/>
      <c r="Y17" s="1373"/>
      <c r="Z17" s="848">
        <v>0.20833333333333334</v>
      </c>
      <c r="AA17" s="1371" t="s">
        <v>3037</v>
      </c>
      <c r="AB17" s="1372"/>
      <c r="AC17" s="1372"/>
      <c r="AD17" s="1372"/>
      <c r="AE17" s="1372"/>
      <c r="AF17" s="1373"/>
    </row>
    <row r="18" spans="1:48" ht="16.5" customHeight="1">
      <c r="A18" s="846"/>
      <c r="B18" s="1370"/>
      <c r="C18" s="849">
        <v>0.21875</v>
      </c>
      <c r="D18" s="1374"/>
      <c r="E18" s="1375"/>
      <c r="F18" s="1375"/>
      <c r="G18" s="1375"/>
      <c r="H18" s="1375"/>
      <c r="I18" s="1376"/>
      <c r="J18" s="850">
        <v>0.21875</v>
      </c>
      <c r="K18" s="1374"/>
      <c r="L18" s="1375"/>
      <c r="M18" s="1375"/>
      <c r="N18" s="1375"/>
      <c r="O18" s="1375"/>
      <c r="P18" s="1376"/>
      <c r="Q18" s="846"/>
      <c r="R18" s="1370"/>
      <c r="S18" s="849">
        <v>0.21875</v>
      </c>
      <c r="T18" s="1374"/>
      <c r="U18" s="1375"/>
      <c r="V18" s="1375"/>
      <c r="W18" s="1375"/>
      <c r="X18" s="1375"/>
      <c r="Y18" s="1376"/>
      <c r="Z18" s="850">
        <v>0.21875</v>
      </c>
      <c r="AA18" s="1374"/>
      <c r="AB18" s="1375"/>
      <c r="AC18" s="1375"/>
      <c r="AD18" s="1375"/>
      <c r="AE18" s="1375"/>
      <c r="AF18" s="1376"/>
    </row>
    <row r="19" spans="1:48" ht="16.5" customHeight="1">
      <c r="A19" s="846"/>
      <c r="B19" s="1370"/>
      <c r="C19" s="851">
        <v>0.22916666666666666</v>
      </c>
      <c r="D19" s="1374"/>
      <c r="E19" s="1375"/>
      <c r="F19" s="1375"/>
      <c r="G19" s="1375"/>
      <c r="H19" s="1375"/>
      <c r="I19" s="1376"/>
      <c r="J19" s="852">
        <v>0.22916666666666666</v>
      </c>
      <c r="K19" s="1374"/>
      <c r="L19" s="1375"/>
      <c r="M19" s="1375"/>
      <c r="N19" s="1375"/>
      <c r="O19" s="1375"/>
      <c r="P19" s="1376"/>
      <c r="Q19" s="846"/>
      <c r="R19" s="1370"/>
      <c r="S19" s="851">
        <v>0.22916666666666666</v>
      </c>
      <c r="T19" s="1374"/>
      <c r="U19" s="1375"/>
      <c r="V19" s="1375"/>
      <c r="W19" s="1375"/>
      <c r="X19" s="1375"/>
      <c r="Y19" s="1376"/>
      <c r="Z19" s="852">
        <v>0.22916666666666666</v>
      </c>
      <c r="AA19" s="1374"/>
      <c r="AB19" s="1375"/>
      <c r="AC19" s="1375"/>
      <c r="AD19" s="1375"/>
      <c r="AE19" s="1375"/>
      <c r="AF19" s="1376"/>
    </row>
    <row r="20" spans="1:48" ht="16.5" customHeight="1">
      <c r="A20" s="846"/>
      <c r="B20" s="1338"/>
      <c r="C20" s="853">
        <v>0.23958333333333334</v>
      </c>
      <c r="D20" s="1377"/>
      <c r="E20" s="1378"/>
      <c r="F20" s="1378"/>
      <c r="G20" s="1378"/>
      <c r="H20" s="1378"/>
      <c r="I20" s="1379"/>
      <c r="J20" s="854">
        <v>0.23958333333333334</v>
      </c>
      <c r="K20" s="1377"/>
      <c r="L20" s="1378"/>
      <c r="M20" s="1378"/>
      <c r="N20" s="1378"/>
      <c r="O20" s="1378"/>
      <c r="P20" s="1379"/>
      <c r="Q20" s="846"/>
      <c r="R20" s="1338"/>
      <c r="S20" s="853">
        <v>0.23958333333333334</v>
      </c>
      <c r="T20" s="1377"/>
      <c r="U20" s="1378"/>
      <c r="V20" s="1378"/>
      <c r="W20" s="1378"/>
      <c r="X20" s="1378"/>
      <c r="Y20" s="1379"/>
      <c r="Z20" s="854">
        <v>0.23958333333333334</v>
      </c>
      <c r="AA20" s="1377"/>
      <c r="AB20" s="1378"/>
      <c r="AC20" s="1378"/>
      <c r="AD20" s="1378"/>
      <c r="AE20" s="1378"/>
      <c r="AF20" s="1379"/>
    </row>
    <row r="21" spans="1:48" ht="16.5" customHeight="1">
      <c r="A21" s="855"/>
      <c r="B21" s="855"/>
      <c r="C21" s="856">
        <v>0.25</v>
      </c>
      <c r="D21" s="857"/>
      <c r="E21" s="858"/>
      <c r="F21" s="858"/>
      <c r="G21" s="1033"/>
      <c r="H21" s="876"/>
      <c r="I21" s="876"/>
      <c r="J21" s="859">
        <v>0.25</v>
      </c>
      <c r="K21" s="875"/>
      <c r="L21" s="876"/>
      <c r="M21" s="1034"/>
      <c r="N21" s="858"/>
      <c r="O21" s="858"/>
      <c r="P21" s="860"/>
      <c r="Q21" s="855"/>
      <c r="R21" s="855"/>
      <c r="S21" s="856">
        <v>0.25</v>
      </c>
      <c r="T21" s="857"/>
      <c r="U21" s="858"/>
      <c r="V21" s="858"/>
      <c r="W21" s="1033"/>
      <c r="X21" s="858"/>
      <c r="Y21" s="858"/>
      <c r="Z21" s="859">
        <v>0.25</v>
      </c>
      <c r="AA21" s="1390" t="s">
        <v>3038</v>
      </c>
      <c r="AB21" s="1391"/>
      <c r="AC21" s="1391"/>
      <c r="AD21" s="1391"/>
      <c r="AE21" s="1391"/>
      <c r="AF21" s="1392"/>
    </row>
    <row r="22" spans="1:48" ht="16.5" customHeight="1">
      <c r="A22" s="861"/>
      <c r="B22" s="861"/>
      <c r="C22" s="862">
        <v>0.26041666666666669</v>
      </c>
      <c r="D22" s="863"/>
      <c r="E22" s="864"/>
      <c r="F22" s="864"/>
      <c r="G22" s="1035"/>
      <c r="H22" s="864"/>
      <c r="I22" s="864"/>
      <c r="J22" s="862">
        <v>0.26041666666666669</v>
      </c>
      <c r="K22" s="863"/>
      <c r="L22" s="864"/>
      <c r="M22" s="1036"/>
      <c r="N22" s="864"/>
      <c r="O22" s="864"/>
      <c r="P22" s="865"/>
      <c r="Q22" s="861"/>
      <c r="R22" s="861"/>
      <c r="S22" s="862">
        <v>0.26041666666666669</v>
      </c>
      <c r="T22" s="863"/>
      <c r="U22" s="864"/>
      <c r="V22" s="864"/>
      <c r="W22" s="1035"/>
      <c r="X22" s="864"/>
      <c r="Y22" s="864"/>
      <c r="Z22" s="862">
        <v>0.26041666666666669</v>
      </c>
      <c r="AA22" s="1393"/>
      <c r="AB22" s="1394"/>
      <c r="AC22" s="1394"/>
      <c r="AD22" s="1394"/>
      <c r="AE22" s="1394"/>
      <c r="AF22" s="1395"/>
      <c r="AJ22" s="1449" t="s">
        <v>3219</v>
      </c>
      <c r="AK22" s="1449"/>
      <c r="AL22" s="1449"/>
      <c r="AM22" s="1449"/>
      <c r="AN22" s="1449"/>
      <c r="AO22" s="1449"/>
      <c r="AP22" s="1449"/>
      <c r="AQ22" s="1449"/>
      <c r="AR22" s="1449"/>
      <c r="AS22" s="1449"/>
      <c r="AT22" s="1449"/>
      <c r="AU22" s="1449"/>
      <c r="AV22" s="1449"/>
    </row>
    <row r="23" spans="1:48" ht="16.5" customHeight="1">
      <c r="A23" s="866"/>
      <c r="B23" s="866"/>
      <c r="C23" s="867">
        <v>0.27083333333333331</v>
      </c>
      <c r="D23" s="863"/>
      <c r="E23" s="864"/>
      <c r="F23" s="864"/>
      <c r="G23" s="1035"/>
      <c r="H23" s="864"/>
      <c r="I23" s="864"/>
      <c r="J23" s="867">
        <v>0.27083333333333331</v>
      </c>
      <c r="K23" s="863"/>
      <c r="L23" s="864"/>
      <c r="M23" s="1036"/>
      <c r="N23" s="864"/>
      <c r="O23" s="864"/>
      <c r="P23" s="865"/>
      <c r="Q23" s="866"/>
      <c r="R23" s="866"/>
      <c r="S23" s="867">
        <v>0.27083333333333331</v>
      </c>
      <c r="T23" s="863"/>
      <c r="U23" s="864"/>
      <c r="V23" s="864"/>
      <c r="W23" s="1035"/>
      <c r="X23" s="864"/>
      <c r="Y23" s="864"/>
      <c r="Z23" s="867">
        <v>0.27083333333333331</v>
      </c>
      <c r="AA23" s="1414" t="s">
        <v>3110</v>
      </c>
      <c r="AB23" s="1414"/>
      <c r="AC23" s="1414"/>
      <c r="AD23" s="1414"/>
      <c r="AE23" s="1414"/>
      <c r="AF23" s="1414"/>
      <c r="AJ23" s="1449"/>
      <c r="AK23" s="1449"/>
      <c r="AL23" s="1449"/>
      <c r="AM23" s="1449"/>
      <c r="AN23" s="1449"/>
      <c r="AO23" s="1449"/>
      <c r="AP23" s="1449"/>
      <c r="AQ23" s="1449"/>
      <c r="AR23" s="1449"/>
      <c r="AS23" s="1449"/>
      <c r="AT23" s="1449"/>
      <c r="AU23" s="1449"/>
      <c r="AV23" s="1449"/>
    </row>
    <row r="24" spans="1:48" ht="16.5" customHeight="1" thickBot="1">
      <c r="A24" s="868"/>
      <c r="B24" s="1388" t="s">
        <v>3039</v>
      </c>
      <c r="C24" s="869">
        <v>0.28125</v>
      </c>
      <c r="D24" s="870"/>
      <c r="E24" s="871"/>
      <c r="F24" s="871"/>
      <c r="G24" s="1037"/>
      <c r="H24" s="871"/>
      <c r="I24" s="871"/>
      <c r="J24" s="872">
        <v>0.28125</v>
      </c>
      <c r="K24" s="870"/>
      <c r="L24" s="871"/>
      <c r="M24" s="1038"/>
      <c r="N24" s="871"/>
      <c r="O24" s="871"/>
      <c r="P24" s="873"/>
      <c r="Q24" s="868"/>
      <c r="R24" s="1388" t="s">
        <v>3039</v>
      </c>
      <c r="S24" s="869">
        <v>0.28125</v>
      </c>
      <c r="T24" s="870"/>
      <c r="U24" s="871"/>
      <c r="V24" s="871"/>
      <c r="W24" s="1037"/>
      <c r="X24" s="871"/>
      <c r="Y24" s="871"/>
      <c r="Z24" s="872">
        <v>0.28125</v>
      </c>
      <c r="AA24" s="1415"/>
      <c r="AB24" s="1415"/>
      <c r="AC24" s="1415"/>
      <c r="AD24" s="1415"/>
      <c r="AE24" s="1415"/>
      <c r="AF24" s="1415"/>
    </row>
    <row r="25" spans="1:48" ht="16.5" customHeight="1">
      <c r="A25" s="868"/>
      <c r="B25" s="1370"/>
      <c r="C25" s="874">
        <v>0.29166666666666669</v>
      </c>
      <c r="D25" s="875"/>
      <c r="E25" s="876"/>
      <c r="F25" s="876"/>
      <c r="G25" s="1033"/>
      <c r="H25" s="876"/>
      <c r="I25" s="876"/>
      <c r="J25" s="877">
        <v>0.29166666666666669</v>
      </c>
      <c r="K25" s="875"/>
      <c r="L25" s="876"/>
      <c r="M25" s="1034"/>
      <c r="N25" s="876"/>
      <c r="O25" s="876"/>
      <c r="P25" s="878"/>
      <c r="Q25" s="868"/>
      <c r="R25" s="1370"/>
      <c r="S25" s="874">
        <v>0.29166666666666669</v>
      </c>
      <c r="T25" s="875"/>
      <c r="U25" s="876"/>
      <c r="V25" s="876"/>
      <c r="W25" s="1033"/>
      <c r="X25" s="876"/>
      <c r="Y25" s="876"/>
      <c r="Z25" s="877">
        <v>0.29166666666666669</v>
      </c>
      <c r="AA25" s="1396" t="s">
        <v>3040</v>
      </c>
      <c r="AB25" s="1397"/>
      <c r="AC25" s="1397"/>
      <c r="AD25" s="1397"/>
      <c r="AE25" s="1397"/>
      <c r="AF25" s="1398"/>
      <c r="AJ25" s="1450" t="s">
        <v>3185</v>
      </c>
      <c r="AK25" s="1451"/>
      <c r="AL25" s="1451"/>
      <c r="AM25" s="1451"/>
      <c r="AN25" s="1451"/>
      <c r="AO25" s="1452"/>
      <c r="AP25" s="1058"/>
      <c r="AQ25" s="1450" t="s">
        <v>3190</v>
      </c>
      <c r="AR25" s="1451"/>
      <c r="AS25" s="1451"/>
      <c r="AT25" s="1451"/>
      <c r="AU25" s="1451"/>
      <c r="AV25" s="1452"/>
    </row>
    <row r="26" spans="1:48" ht="16.5" customHeight="1">
      <c r="A26" s="868"/>
      <c r="B26" s="1370"/>
      <c r="C26" s="879">
        <v>0.30208333333333331</v>
      </c>
      <c r="D26" s="863"/>
      <c r="E26" s="864"/>
      <c r="F26" s="864"/>
      <c r="G26" s="1035"/>
      <c r="H26" s="864"/>
      <c r="I26" s="864"/>
      <c r="J26" s="879">
        <v>0.30208333333333331</v>
      </c>
      <c r="K26" s="863"/>
      <c r="L26" s="864"/>
      <c r="M26" s="1036"/>
      <c r="N26" s="864"/>
      <c r="O26" s="864"/>
      <c r="P26" s="865"/>
      <c r="Q26" s="868"/>
      <c r="R26" s="1370"/>
      <c r="S26" s="879">
        <v>0.30208333333333331</v>
      </c>
      <c r="T26" s="863"/>
      <c r="U26" s="864"/>
      <c r="V26" s="864"/>
      <c r="W26" s="1035"/>
      <c r="X26" s="864"/>
      <c r="Y26" s="864"/>
      <c r="Z26" s="879">
        <v>0.30208333333333331</v>
      </c>
      <c r="AA26" s="1399"/>
      <c r="AB26" s="1400"/>
      <c r="AC26" s="1400"/>
      <c r="AD26" s="1400"/>
      <c r="AE26" s="1400"/>
      <c r="AF26" s="1401"/>
      <c r="AJ26" s="1453"/>
      <c r="AK26" s="1429"/>
      <c r="AL26" s="1429"/>
      <c r="AM26" s="1429"/>
      <c r="AN26" s="1429"/>
      <c r="AO26" s="1454"/>
      <c r="AP26" s="1058"/>
      <c r="AQ26" s="1453"/>
      <c r="AR26" s="1429"/>
      <c r="AS26" s="1429"/>
      <c r="AT26" s="1429"/>
      <c r="AU26" s="1429"/>
      <c r="AV26" s="1454"/>
    </row>
    <row r="27" spans="1:48" ht="16.5" customHeight="1">
      <c r="A27" s="868"/>
      <c r="B27" s="1370"/>
      <c r="C27" s="880">
        <v>0.3125</v>
      </c>
      <c r="D27" s="863"/>
      <c r="E27" s="864"/>
      <c r="F27" s="864"/>
      <c r="G27" s="1035"/>
      <c r="H27" s="864"/>
      <c r="I27" s="864"/>
      <c r="J27" s="880">
        <v>0.3125</v>
      </c>
      <c r="K27" s="863"/>
      <c r="L27" s="864"/>
      <c r="M27" s="1036"/>
      <c r="N27" s="864"/>
      <c r="O27" s="864"/>
      <c r="P27" s="865"/>
      <c r="Q27" s="868"/>
      <c r="R27" s="1370"/>
      <c r="S27" s="880">
        <v>0.3125</v>
      </c>
      <c r="T27" s="863"/>
      <c r="U27" s="864"/>
      <c r="V27" s="864"/>
      <c r="W27" s="1035"/>
      <c r="X27" s="864"/>
      <c r="Y27" s="864"/>
      <c r="Z27" s="880">
        <v>0.3125</v>
      </c>
      <c r="AA27" s="1399"/>
      <c r="AB27" s="1400"/>
      <c r="AC27" s="1400"/>
      <c r="AD27" s="1400"/>
      <c r="AE27" s="1400"/>
      <c r="AF27" s="1401"/>
      <c r="AJ27" s="1453"/>
      <c r="AK27" s="1429"/>
      <c r="AL27" s="1429"/>
      <c r="AM27" s="1429"/>
      <c r="AN27" s="1429"/>
      <c r="AO27" s="1454"/>
      <c r="AP27" s="1058"/>
      <c r="AQ27" s="1453"/>
      <c r="AR27" s="1429"/>
      <c r="AS27" s="1429"/>
      <c r="AT27" s="1429"/>
      <c r="AU27" s="1429"/>
      <c r="AV27" s="1454"/>
    </row>
    <row r="28" spans="1:48" ht="16.5" customHeight="1">
      <c r="A28" s="868"/>
      <c r="B28" s="1370"/>
      <c r="C28" s="869">
        <v>0.32291666666666669</v>
      </c>
      <c r="D28" s="870"/>
      <c r="E28" s="871"/>
      <c r="F28" s="871"/>
      <c r="G28" s="1037"/>
      <c r="H28" s="871"/>
      <c r="I28" s="871"/>
      <c r="J28" s="872">
        <v>0.32291666666666669</v>
      </c>
      <c r="K28" s="870"/>
      <c r="L28" s="871"/>
      <c r="M28" s="1038"/>
      <c r="N28" s="871"/>
      <c r="O28" s="871"/>
      <c r="P28" s="873"/>
      <c r="Q28" s="868"/>
      <c r="R28" s="1370"/>
      <c r="S28" s="869">
        <v>0.32291666666666669</v>
      </c>
      <c r="T28" s="870"/>
      <c r="U28" s="871"/>
      <c r="V28" s="871"/>
      <c r="W28" s="1037"/>
      <c r="X28" s="871"/>
      <c r="Y28" s="871"/>
      <c r="Z28" s="872">
        <v>0.32291666666666669</v>
      </c>
      <c r="AA28" s="1393"/>
      <c r="AB28" s="1394"/>
      <c r="AC28" s="1394"/>
      <c r="AD28" s="1394"/>
      <c r="AE28" s="1394"/>
      <c r="AF28" s="1395"/>
      <c r="AJ28" s="1453"/>
      <c r="AK28" s="1429"/>
      <c r="AL28" s="1429"/>
      <c r="AM28" s="1429"/>
      <c r="AN28" s="1429"/>
      <c r="AO28" s="1454"/>
      <c r="AP28" s="1058"/>
      <c r="AQ28" s="1453"/>
      <c r="AR28" s="1429"/>
      <c r="AS28" s="1429"/>
      <c r="AT28" s="1429"/>
      <c r="AU28" s="1429"/>
      <c r="AV28" s="1454"/>
    </row>
    <row r="29" spans="1:48" ht="16.5" customHeight="1">
      <c r="A29" s="868"/>
      <c r="B29" s="1370"/>
      <c r="C29" s="874">
        <v>0.33333333333333331</v>
      </c>
      <c r="D29" s="875"/>
      <c r="E29" s="876"/>
      <c r="F29" s="876"/>
      <c r="G29" s="1033"/>
      <c r="H29" s="876"/>
      <c r="I29" s="876"/>
      <c r="J29" s="877">
        <v>0.33333333333333331</v>
      </c>
      <c r="K29" s="875"/>
      <c r="L29" s="876"/>
      <c r="M29" s="1034"/>
      <c r="N29" s="876"/>
      <c r="O29" s="876"/>
      <c r="P29" s="878"/>
      <c r="Q29" s="868"/>
      <c r="R29" s="1370"/>
      <c r="S29" s="874">
        <v>0.33333333333333331</v>
      </c>
      <c r="T29" s="875"/>
      <c r="U29" s="876"/>
      <c r="V29" s="876"/>
      <c r="W29" s="1033"/>
      <c r="X29" s="876"/>
      <c r="Y29" s="876"/>
      <c r="Z29" s="877">
        <v>0.33333333333333331</v>
      </c>
      <c r="AA29" s="1402" t="s">
        <v>3041</v>
      </c>
      <c r="AB29" s="1403"/>
      <c r="AC29" s="1403"/>
      <c r="AD29" s="1403"/>
      <c r="AE29" s="1403"/>
      <c r="AF29" s="1404"/>
      <c r="AJ29" s="1453"/>
      <c r="AK29" s="1429"/>
      <c r="AL29" s="1429"/>
      <c r="AM29" s="1429"/>
      <c r="AN29" s="1429"/>
      <c r="AO29" s="1454"/>
      <c r="AP29" s="1058"/>
      <c r="AQ29" s="1453"/>
      <c r="AR29" s="1429"/>
      <c r="AS29" s="1429"/>
      <c r="AT29" s="1429"/>
      <c r="AU29" s="1429"/>
      <c r="AV29" s="1454"/>
    </row>
    <row r="30" spans="1:48" ht="16.5" customHeight="1">
      <c r="A30" s="868"/>
      <c r="B30" s="1370"/>
      <c r="C30" s="879">
        <v>0.34375</v>
      </c>
      <c r="D30" s="863"/>
      <c r="E30" s="864"/>
      <c r="F30" s="864"/>
      <c r="G30" s="1035"/>
      <c r="H30" s="864"/>
      <c r="I30" s="864"/>
      <c r="J30" s="879">
        <v>0.34375</v>
      </c>
      <c r="K30" s="863"/>
      <c r="L30" s="864"/>
      <c r="M30" s="1036"/>
      <c r="N30" s="864"/>
      <c r="O30" s="864"/>
      <c r="P30" s="865"/>
      <c r="Q30" s="868"/>
      <c r="R30" s="1370"/>
      <c r="S30" s="879">
        <v>0.34375</v>
      </c>
      <c r="T30" s="863"/>
      <c r="U30" s="864"/>
      <c r="V30" s="864"/>
      <c r="W30" s="864"/>
      <c r="X30" s="864"/>
      <c r="Y30" s="864"/>
      <c r="Z30" s="879">
        <v>0.34375</v>
      </c>
      <c r="AA30" s="1405"/>
      <c r="AB30" s="1406"/>
      <c r="AC30" s="1406"/>
      <c r="AD30" s="1406"/>
      <c r="AE30" s="1406"/>
      <c r="AF30" s="1407"/>
      <c r="AJ30" s="1453"/>
      <c r="AK30" s="1429"/>
      <c r="AL30" s="1429"/>
      <c r="AM30" s="1429"/>
      <c r="AN30" s="1429"/>
      <c r="AO30" s="1454"/>
      <c r="AP30" s="1058"/>
      <c r="AQ30" s="1453"/>
      <c r="AR30" s="1429"/>
      <c r="AS30" s="1429"/>
      <c r="AT30" s="1429"/>
      <c r="AU30" s="1429"/>
      <c r="AV30" s="1454"/>
    </row>
    <row r="31" spans="1:48" ht="16.5" customHeight="1">
      <c r="A31" s="868"/>
      <c r="B31" s="1338"/>
      <c r="C31" s="880">
        <v>0.35416666666666669</v>
      </c>
      <c r="D31" s="863"/>
      <c r="E31" s="864"/>
      <c r="F31" s="864"/>
      <c r="G31" s="1035"/>
      <c r="H31" s="864"/>
      <c r="I31" s="864"/>
      <c r="J31" s="880">
        <v>0.35416666666666669</v>
      </c>
      <c r="K31" s="863"/>
      <c r="L31" s="864"/>
      <c r="M31" s="1036"/>
      <c r="N31" s="864"/>
      <c r="O31" s="864"/>
      <c r="P31" s="865"/>
      <c r="Q31" s="868"/>
      <c r="R31" s="1338"/>
      <c r="S31" s="880">
        <v>0.35416666666666669</v>
      </c>
      <c r="T31" s="863"/>
      <c r="U31" s="864"/>
      <c r="V31" s="864"/>
      <c r="W31" s="864"/>
      <c r="X31" s="864"/>
      <c r="Y31" s="864"/>
      <c r="Z31" s="880">
        <v>0.35416666666666669</v>
      </c>
      <c r="AA31" s="1408" t="s">
        <v>3112</v>
      </c>
      <c r="AB31" s="1409"/>
      <c r="AC31" s="1409"/>
      <c r="AD31" s="1409"/>
      <c r="AE31" s="1409"/>
      <c r="AF31" s="1410"/>
      <c r="AJ31" s="1455" t="s">
        <v>3186</v>
      </c>
      <c r="AK31" s="1430"/>
      <c r="AL31" s="1430"/>
      <c r="AM31" s="1430"/>
      <c r="AN31" s="1430"/>
      <c r="AO31" s="1456"/>
      <c r="AP31" s="1058"/>
      <c r="AQ31" s="1453"/>
      <c r="AR31" s="1429"/>
      <c r="AS31" s="1429"/>
      <c r="AT31" s="1429"/>
      <c r="AU31" s="1429"/>
      <c r="AV31" s="1454"/>
    </row>
    <row r="32" spans="1:48" ht="16.5" customHeight="1" thickBot="1">
      <c r="A32" s="861"/>
      <c r="B32" s="861"/>
      <c r="C32" s="883">
        <v>0.36458333333333331</v>
      </c>
      <c r="D32" s="881"/>
      <c r="E32" s="882"/>
      <c r="F32" s="882"/>
      <c r="G32" s="1039"/>
      <c r="H32" s="882"/>
      <c r="I32" s="882"/>
      <c r="J32" s="884">
        <v>0.36458333333333331</v>
      </c>
      <c r="K32" s="870"/>
      <c r="L32" s="871"/>
      <c r="M32" s="1038"/>
      <c r="N32" s="871"/>
      <c r="O32" s="871"/>
      <c r="P32" s="873"/>
      <c r="Q32" s="861"/>
      <c r="R32" s="861"/>
      <c r="S32" s="885">
        <v>0.36458333333333331</v>
      </c>
      <c r="T32" s="870"/>
      <c r="U32" s="871"/>
      <c r="V32" s="871"/>
      <c r="W32" s="871"/>
      <c r="X32" s="871"/>
      <c r="Y32" s="871"/>
      <c r="Z32" s="884">
        <v>0.36458333333333331</v>
      </c>
      <c r="AA32" s="1411"/>
      <c r="AB32" s="1412"/>
      <c r="AC32" s="1412"/>
      <c r="AD32" s="1412"/>
      <c r="AE32" s="1412"/>
      <c r="AF32" s="1413"/>
      <c r="AJ32" s="1455"/>
      <c r="AK32" s="1430"/>
      <c r="AL32" s="1430"/>
      <c r="AM32" s="1430"/>
      <c r="AN32" s="1430"/>
      <c r="AO32" s="1456"/>
      <c r="AP32" s="1058"/>
      <c r="AQ32" s="1455" t="s">
        <v>3186</v>
      </c>
      <c r="AR32" s="1430"/>
      <c r="AS32" s="1430"/>
      <c r="AT32" s="1430"/>
      <c r="AU32" s="1430"/>
      <c r="AV32" s="1456"/>
    </row>
    <row r="33" spans="1:48" ht="16.5" customHeight="1" thickTop="1">
      <c r="A33" s="855"/>
      <c r="B33" s="855"/>
      <c r="C33" s="886">
        <v>0.375</v>
      </c>
      <c r="D33" s="887"/>
      <c r="E33" s="888"/>
      <c r="F33" s="888"/>
      <c r="G33" s="1040"/>
      <c r="H33" s="888"/>
      <c r="I33" s="889"/>
      <c r="J33" s="859">
        <v>0.375</v>
      </c>
      <c r="K33" s="875"/>
      <c r="L33" s="876"/>
      <c r="M33" s="1034"/>
      <c r="N33" s="876"/>
      <c r="O33" s="876"/>
      <c r="P33" s="878"/>
      <c r="Q33" s="855"/>
      <c r="R33" s="855"/>
      <c r="S33" s="886">
        <v>0.375</v>
      </c>
      <c r="T33" s="1461"/>
      <c r="U33" s="1462"/>
      <c r="V33" s="1462"/>
      <c r="W33" s="1462"/>
      <c r="X33" s="1462"/>
      <c r="Y33" s="1463"/>
      <c r="Z33" s="859">
        <v>0.375</v>
      </c>
      <c r="AA33" s="1389" t="s">
        <v>3119</v>
      </c>
      <c r="AB33" s="1389"/>
      <c r="AC33" s="1013"/>
      <c r="AD33" s="1013"/>
      <c r="AE33" s="1013"/>
      <c r="AF33" s="1013"/>
      <c r="AJ33" s="1453" t="s">
        <v>3187</v>
      </c>
      <c r="AK33" s="1429"/>
      <c r="AL33" s="1429"/>
      <c r="AM33" s="1429"/>
      <c r="AN33" s="1429"/>
      <c r="AO33" s="1454"/>
      <c r="AP33" s="1058"/>
      <c r="AQ33" s="1455"/>
      <c r="AR33" s="1430"/>
      <c r="AS33" s="1430"/>
      <c r="AT33" s="1430"/>
      <c r="AU33" s="1430"/>
      <c r="AV33" s="1456"/>
    </row>
    <row r="34" spans="1:48" ht="16.5" customHeight="1">
      <c r="A34" s="861"/>
      <c r="B34" s="861"/>
      <c r="C34" s="862">
        <v>0.38541666666666669</v>
      </c>
      <c r="D34" s="863"/>
      <c r="E34" s="864"/>
      <c r="F34" s="864"/>
      <c r="G34" s="1035"/>
      <c r="H34" s="864"/>
      <c r="I34" s="864"/>
      <c r="J34" s="862">
        <v>0.38541666666666669</v>
      </c>
      <c r="K34" s="863"/>
      <c r="L34" s="864"/>
      <c r="M34" s="1036"/>
      <c r="N34" s="864"/>
      <c r="O34" s="864"/>
      <c r="P34" s="865"/>
      <c r="Q34" s="861"/>
      <c r="R34" s="861"/>
      <c r="S34" s="862">
        <v>0.38541666666666669</v>
      </c>
      <c r="T34" s="1464"/>
      <c r="U34" s="1465"/>
      <c r="V34" s="1465"/>
      <c r="W34" s="1465"/>
      <c r="X34" s="1465"/>
      <c r="Y34" s="1466"/>
      <c r="Z34" s="862">
        <v>0.38541666666666669</v>
      </c>
      <c r="AA34" s="1424" t="s">
        <v>3113</v>
      </c>
      <c r="AB34" s="1425"/>
      <c r="AC34" s="1013"/>
      <c r="AD34" s="1013"/>
      <c r="AE34" s="1013"/>
      <c r="AF34" s="1013"/>
      <c r="AJ34" s="1453"/>
      <c r="AK34" s="1429"/>
      <c r="AL34" s="1429"/>
      <c r="AM34" s="1429"/>
      <c r="AN34" s="1429"/>
      <c r="AO34" s="1454"/>
      <c r="AP34" s="1058"/>
      <c r="AQ34" s="1455"/>
      <c r="AR34" s="1430"/>
      <c r="AS34" s="1430"/>
      <c r="AT34" s="1430"/>
      <c r="AU34" s="1430"/>
      <c r="AV34" s="1456"/>
    </row>
    <row r="35" spans="1:48" ht="16.5" customHeight="1">
      <c r="A35" s="866"/>
      <c r="B35" s="866"/>
      <c r="C35" s="867">
        <v>0.39583333333333331</v>
      </c>
      <c r="D35" s="863"/>
      <c r="E35" s="864"/>
      <c r="F35" s="864"/>
      <c r="G35" s="1035"/>
      <c r="H35" s="864"/>
      <c r="I35" s="864"/>
      <c r="J35" s="867">
        <v>0.39583333333333331</v>
      </c>
      <c r="K35" s="863"/>
      <c r="L35" s="864"/>
      <c r="M35" s="1036"/>
      <c r="N35" s="864"/>
      <c r="O35" s="864"/>
      <c r="P35" s="865"/>
      <c r="Q35" s="866"/>
      <c r="R35" s="866"/>
      <c r="S35" s="867">
        <v>0.39583333333333331</v>
      </c>
      <c r="T35" s="1464"/>
      <c r="U35" s="1465"/>
      <c r="V35" s="1465"/>
      <c r="W35" s="1465"/>
      <c r="X35" s="1465"/>
      <c r="Y35" s="1466"/>
      <c r="Z35" s="867">
        <v>0.39583333333333331</v>
      </c>
      <c r="AA35" s="1426"/>
      <c r="AB35" s="1427"/>
      <c r="AC35" s="1013"/>
      <c r="AD35" s="1013"/>
      <c r="AE35" s="1013"/>
      <c r="AF35" s="1013"/>
      <c r="AJ35" s="1453"/>
      <c r="AK35" s="1429"/>
      <c r="AL35" s="1429"/>
      <c r="AM35" s="1429"/>
      <c r="AN35" s="1429"/>
      <c r="AO35" s="1454"/>
      <c r="AP35" s="1058"/>
      <c r="AQ35" s="1453" t="s">
        <v>3187</v>
      </c>
      <c r="AR35" s="1429"/>
      <c r="AS35" s="1429"/>
      <c r="AT35" s="1429"/>
      <c r="AU35" s="1429"/>
      <c r="AV35" s="1454"/>
    </row>
    <row r="36" spans="1:48" ht="16.5" customHeight="1" thickBot="1">
      <c r="A36" s="861"/>
      <c r="B36" s="861"/>
      <c r="C36" s="883">
        <v>0.40625</v>
      </c>
      <c r="D36" s="881"/>
      <c r="E36" s="882"/>
      <c r="F36" s="882"/>
      <c r="G36" s="1039"/>
      <c r="H36" s="882"/>
      <c r="I36" s="882"/>
      <c r="J36" s="884">
        <v>0.40625</v>
      </c>
      <c r="K36" s="870"/>
      <c r="L36" s="871"/>
      <c r="M36" s="1038"/>
      <c r="N36" s="871"/>
      <c r="O36" s="871"/>
      <c r="P36" s="873"/>
      <c r="Q36" s="861"/>
      <c r="R36" s="861"/>
      <c r="S36" s="883">
        <v>0.40625</v>
      </c>
      <c r="T36" s="1464"/>
      <c r="U36" s="1465"/>
      <c r="V36" s="1465"/>
      <c r="W36" s="1465"/>
      <c r="X36" s="1465"/>
      <c r="Y36" s="1466"/>
      <c r="Z36" s="884">
        <v>0.40625</v>
      </c>
      <c r="AA36" s="1393"/>
      <c r="AB36" s="1394"/>
      <c r="AC36" s="1394"/>
      <c r="AD36" s="1394"/>
      <c r="AE36" s="1394"/>
      <c r="AF36" s="1395"/>
      <c r="AJ36" s="1467"/>
      <c r="AK36" s="1468"/>
      <c r="AL36" s="1468"/>
      <c r="AM36" s="1468"/>
      <c r="AN36" s="1468"/>
      <c r="AO36" s="1469"/>
      <c r="AP36" s="1058"/>
      <c r="AQ36" s="1453"/>
      <c r="AR36" s="1429"/>
      <c r="AS36" s="1429"/>
      <c r="AT36" s="1429"/>
      <c r="AU36" s="1429"/>
      <c r="AV36" s="1454"/>
    </row>
    <row r="37" spans="1:48" ht="16.5" customHeight="1" thickTop="1" thickBot="1">
      <c r="A37" s="855"/>
      <c r="B37" s="855"/>
      <c r="C37" s="890">
        <v>0.41666666666666669</v>
      </c>
      <c r="D37" s="891"/>
      <c r="E37" s="892"/>
      <c r="F37" s="892"/>
      <c r="G37" s="1041"/>
      <c r="H37" s="892"/>
      <c r="I37" s="893"/>
      <c r="J37" s="859">
        <v>0.41666666666666669</v>
      </c>
      <c r="K37" s="875"/>
      <c r="L37" s="876"/>
      <c r="M37" s="1034"/>
      <c r="N37" s="876"/>
      <c r="O37" s="876"/>
      <c r="P37" s="878"/>
      <c r="Q37" s="855"/>
      <c r="R37" s="855"/>
      <c r="S37" s="890">
        <v>0.41666666666666669</v>
      </c>
      <c r="T37" s="1416" t="s">
        <v>3114</v>
      </c>
      <c r="U37" s="1417"/>
      <c r="V37" s="1417"/>
      <c r="W37" s="1420" t="s">
        <v>3117</v>
      </c>
      <c r="X37" s="1417"/>
      <c r="Y37" s="1421"/>
      <c r="Z37" s="991">
        <v>0.41666666666666669</v>
      </c>
      <c r="AA37" s="875"/>
      <c r="AB37" s="876"/>
      <c r="AC37" s="876"/>
      <c r="AD37" s="876"/>
      <c r="AE37" s="876"/>
      <c r="AF37" s="878"/>
      <c r="AJ37" s="1058"/>
      <c r="AK37" s="1058"/>
      <c r="AL37" s="1058"/>
      <c r="AM37" s="1058"/>
      <c r="AN37" s="1058"/>
      <c r="AO37" s="1058"/>
      <c r="AP37" s="1058"/>
      <c r="AQ37" s="1453"/>
      <c r="AR37" s="1429"/>
      <c r="AS37" s="1429"/>
      <c r="AT37" s="1429"/>
      <c r="AU37" s="1429"/>
      <c r="AV37" s="1454"/>
    </row>
    <row r="38" spans="1:48" ht="16.5" customHeight="1">
      <c r="A38" s="861"/>
      <c r="B38" s="861"/>
      <c r="C38" s="862">
        <v>0.42708333333333331</v>
      </c>
      <c r="D38" s="863"/>
      <c r="E38" s="864"/>
      <c r="F38" s="864"/>
      <c r="G38" s="1035"/>
      <c r="H38" s="864"/>
      <c r="I38" s="864"/>
      <c r="J38" s="862">
        <v>0.42708333333333331</v>
      </c>
      <c r="K38" s="863"/>
      <c r="L38" s="864"/>
      <c r="M38" s="1036"/>
      <c r="N38" s="864"/>
      <c r="O38" s="864"/>
      <c r="P38" s="865"/>
      <c r="Q38" s="861"/>
      <c r="R38" s="861"/>
      <c r="S38" s="862">
        <v>0.42708333333333331</v>
      </c>
      <c r="T38" s="1418"/>
      <c r="U38" s="1419"/>
      <c r="V38" s="1419"/>
      <c r="W38" s="1422"/>
      <c r="X38" s="1419"/>
      <c r="Y38" s="1423"/>
      <c r="Z38" s="992">
        <v>0.42708333333333331</v>
      </c>
      <c r="AA38" s="863"/>
      <c r="AB38" s="864"/>
      <c r="AC38" s="864"/>
      <c r="AD38" s="864"/>
      <c r="AE38" s="864"/>
      <c r="AF38" s="865"/>
      <c r="AJ38" s="1450" t="s">
        <v>3191</v>
      </c>
      <c r="AK38" s="1451"/>
      <c r="AL38" s="1451"/>
      <c r="AM38" s="1451"/>
      <c r="AN38" s="1451"/>
      <c r="AO38" s="1452"/>
      <c r="AP38" s="1058"/>
      <c r="AQ38" s="1453"/>
      <c r="AR38" s="1429"/>
      <c r="AS38" s="1429"/>
      <c r="AT38" s="1429"/>
      <c r="AU38" s="1429"/>
      <c r="AV38" s="1454"/>
    </row>
    <row r="39" spans="1:48" ht="16.5" customHeight="1">
      <c r="A39" s="866"/>
      <c r="B39" s="866"/>
      <c r="C39" s="867">
        <v>0.4375</v>
      </c>
      <c r="D39" s="863"/>
      <c r="E39" s="864"/>
      <c r="F39" s="864"/>
      <c r="G39" s="1035"/>
      <c r="H39" s="864"/>
      <c r="I39" s="864"/>
      <c r="J39" s="867">
        <v>0.4375</v>
      </c>
      <c r="K39" s="863"/>
      <c r="L39" s="864"/>
      <c r="M39" s="1036"/>
      <c r="N39" s="864"/>
      <c r="O39" s="864"/>
      <c r="P39" s="865"/>
      <c r="Q39" s="866"/>
      <c r="R39" s="866"/>
      <c r="S39" s="867">
        <v>0.4375</v>
      </c>
      <c r="T39" s="1389" t="s">
        <v>3218</v>
      </c>
      <c r="U39" s="1389"/>
      <c r="V39" s="1389"/>
      <c r="W39" s="1389"/>
      <c r="X39" s="1389"/>
      <c r="Y39" s="1389"/>
      <c r="Z39" s="993">
        <v>0.4375</v>
      </c>
      <c r="AA39" s="863"/>
      <c r="AB39" s="864"/>
      <c r="AC39" s="864"/>
      <c r="AD39" s="864"/>
      <c r="AE39" s="864"/>
      <c r="AF39" s="865"/>
      <c r="AJ39" s="1453"/>
      <c r="AK39" s="1429"/>
      <c r="AL39" s="1429"/>
      <c r="AM39" s="1429"/>
      <c r="AN39" s="1429"/>
      <c r="AO39" s="1454"/>
      <c r="AP39" s="1058"/>
      <c r="AQ39" s="1453"/>
      <c r="AR39" s="1429"/>
      <c r="AS39" s="1429"/>
      <c r="AT39" s="1429"/>
      <c r="AU39" s="1429"/>
      <c r="AV39" s="1454"/>
    </row>
    <row r="40" spans="1:48" ht="16.5" customHeight="1" thickBot="1">
      <c r="A40" s="861"/>
      <c r="B40" s="861"/>
      <c r="C40" s="885">
        <v>0.44791666666666669</v>
      </c>
      <c r="D40" s="870"/>
      <c r="E40" s="871"/>
      <c r="F40" s="871"/>
      <c r="G40" s="1037"/>
      <c r="H40" s="871"/>
      <c r="I40" s="871"/>
      <c r="J40" s="884">
        <v>0.44791666666666669</v>
      </c>
      <c r="K40" s="870"/>
      <c r="L40" s="871"/>
      <c r="M40" s="1038"/>
      <c r="N40" s="871"/>
      <c r="O40" s="871"/>
      <c r="P40" s="873"/>
      <c r="Q40" s="861"/>
      <c r="R40" s="861"/>
      <c r="S40" s="885">
        <v>0.44791666666666669</v>
      </c>
      <c r="T40" s="1428" t="s">
        <v>3101</v>
      </c>
      <c r="U40" s="1428"/>
      <c r="V40" s="1428"/>
      <c r="W40" s="1428"/>
      <c r="X40" s="1428"/>
      <c r="Y40" s="1428"/>
      <c r="Z40" s="994">
        <v>0.44791666666666669</v>
      </c>
      <c r="AA40" s="870"/>
      <c r="AB40" s="871"/>
      <c r="AC40" s="871"/>
      <c r="AD40" s="871"/>
      <c r="AE40" s="871"/>
      <c r="AF40" s="873"/>
      <c r="AJ40" s="1453"/>
      <c r="AK40" s="1429"/>
      <c r="AL40" s="1429"/>
      <c r="AM40" s="1429"/>
      <c r="AN40" s="1429"/>
      <c r="AO40" s="1454"/>
      <c r="AP40" s="1058"/>
      <c r="AQ40" s="1467"/>
      <c r="AR40" s="1468"/>
      <c r="AS40" s="1468"/>
      <c r="AT40" s="1468"/>
      <c r="AU40" s="1468"/>
      <c r="AV40" s="1469"/>
    </row>
    <row r="41" spans="1:48" ht="16.5" customHeight="1">
      <c r="A41" s="855"/>
      <c r="B41" s="855"/>
      <c r="C41" s="856">
        <v>0.45833333333333331</v>
      </c>
      <c r="D41" s="875"/>
      <c r="E41" s="876"/>
      <c r="F41" s="876"/>
      <c r="G41" s="1033"/>
      <c r="H41" s="876"/>
      <c r="I41" s="876"/>
      <c r="J41" s="859">
        <v>0.45833333333333331</v>
      </c>
      <c r="K41" s="875"/>
      <c r="L41" s="876"/>
      <c r="M41" s="1034"/>
      <c r="N41" s="876"/>
      <c r="O41" s="876"/>
      <c r="P41" s="878"/>
      <c r="Q41" s="855"/>
      <c r="R41" s="855"/>
      <c r="S41" s="856">
        <v>0.45833333333333331</v>
      </c>
      <c r="T41" s="1429" t="s">
        <v>3185</v>
      </c>
      <c r="U41" s="1429"/>
      <c r="V41" s="1429"/>
      <c r="W41" s="1429"/>
      <c r="X41" s="1429"/>
      <c r="Y41" s="1429"/>
      <c r="Z41" s="991">
        <v>0.45833333333333331</v>
      </c>
      <c r="AA41" s="875"/>
      <c r="AB41" s="876"/>
      <c r="AC41" s="876"/>
      <c r="AD41" s="876"/>
      <c r="AE41" s="876"/>
      <c r="AF41" s="878"/>
      <c r="AJ41" s="1453"/>
      <c r="AK41" s="1429"/>
      <c r="AL41" s="1429"/>
      <c r="AM41" s="1429"/>
      <c r="AN41" s="1429"/>
      <c r="AO41" s="1454"/>
      <c r="AP41" s="1058"/>
      <c r="AQ41" s="1058"/>
      <c r="AR41" s="1058"/>
      <c r="AS41" s="1058"/>
      <c r="AT41" s="1058"/>
      <c r="AU41" s="1058"/>
      <c r="AV41" s="1058"/>
    </row>
    <row r="42" spans="1:48" ht="16.5" customHeight="1">
      <c r="A42" s="861"/>
      <c r="B42" s="861"/>
      <c r="C42" s="862">
        <v>0.46875</v>
      </c>
      <c r="D42" s="863"/>
      <c r="E42" s="864"/>
      <c r="F42" s="864"/>
      <c r="G42" s="1035"/>
      <c r="H42" s="864"/>
      <c r="I42" s="864"/>
      <c r="J42" s="862">
        <v>0.46875</v>
      </c>
      <c r="K42" s="863"/>
      <c r="L42" s="864"/>
      <c r="M42" s="1036"/>
      <c r="N42" s="864"/>
      <c r="O42" s="864"/>
      <c r="P42" s="865"/>
      <c r="Q42" s="861"/>
      <c r="R42" s="861"/>
      <c r="S42" s="862">
        <v>0.46875</v>
      </c>
      <c r="T42" s="1429"/>
      <c r="U42" s="1429"/>
      <c r="V42" s="1429"/>
      <c r="W42" s="1429"/>
      <c r="X42" s="1429"/>
      <c r="Y42" s="1429"/>
      <c r="Z42" s="992">
        <v>0.46875</v>
      </c>
      <c r="AA42" s="863"/>
      <c r="AB42" s="864"/>
      <c r="AC42" s="864"/>
      <c r="AD42" s="864"/>
      <c r="AE42" s="864"/>
      <c r="AF42" s="865"/>
      <c r="AJ42" s="1453"/>
      <c r="AK42" s="1429"/>
      <c r="AL42" s="1429"/>
      <c r="AM42" s="1429"/>
      <c r="AN42" s="1429"/>
      <c r="AO42" s="1454"/>
      <c r="AP42" s="1058"/>
      <c r="AQ42" s="1429" t="s">
        <v>3188</v>
      </c>
      <c r="AR42" s="1429"/>
      <c r="AS42" s="1429"/>
      <c r="AT42" s="1429"/>
      <c r="AU42" s="1429"/>
      <c r="AV42" s="1429"/>
    </row>
    <row r="43" spans="1:48" ht="16.5" customHeight="1">
      <c r="A43" s="868"/>
      <c r="B43" s="1388" t="s">
        <v>3039</v>
      </c>
      <c r="C43" s="880">
        <v>0.47916666666666669</v>
      </c>
      <c r="D43" s="863"/>
      <c r="E43" s="864"/>
      <c r="F43" s="864"/>
      <c r="G43" s="1035"/>
      <c r="H43" s="864"/>
      <c r="I43" s="864"/>
      <c r="J43" s="880">
        <v>0.47916666666666669</v>
      </c>
      <c r="K43" s="863"/>
      <c r="L43" s="864"/>
      <c r="M43" s="1036"/>
      <c r="N43" s="864"/>
      <c r="O43" s="864"/>
      <c r="P43" s="865"/>
      <c r="Q43" s="868"/>
      <c r="R43" s="1388" t="s">
        <v>3039</v>
      </c>
      <c r="S43" s="880">
        <v>0.47916666666666669</v>
      </c>
      <c r="T43" s="1429"/>
      <c r="U43" s="1429"/>
      <c r="V43" s="1429"/>
      <c r="W43" s="1429"/>
      <c r="X43" s="1429"/>
      <c r="Y43" s="1429"/>
      <c r="Z43" s="995">
        <v>0.47916666666666669</v>
      </c>
      <c r="AA43" s="863"/>
      <c r="AB43" s="864"/>
      <c r="AC43" s="864"/>
      <c r="AD43" s="864"/>
      <c r="AE43" s="864"/>
      <c r="AF43" s="865"/>
      <c r="AJ43" s="1453"/>
      <c r="AK43" s="1429"/>
      <c r="AL43" s="1429"/>
      <c r="AM43" s="1429"/>
      <c r="AN43" s="1429"/>
      <c r="AO43" s="1454"/>
      <c r="AP43" s="1058"/>
      <c r="AQ43" s="1429"/>
      <c r="AR43" s="1429"/>
      <c r="AS43" s="1429"/>
      <c r="AT43" s="1429"/>
      <c r="AU43" s="1429"/>
      <c r="AV43" s="1429"/>
    </row>
    <row r="44" spans="1:48" ht="16.5" customHeight="1">
      <c r="A44" s="868"/>
      <c r="B44" s="1370"/>
      <c r="C44" s="869">
        <v>0.48958333333333331</v>
      </c>
      <c r="D44" s="870"/>
      <c r="E44" s="871"/>
      <c r="F44" s="871"/>
      <c r="G44" s="1037"/>
      <c r="H44" s="871"/>
      <c r="I44" s="871"/>
      <c r="J44" s="872">
        <v>0.48958333333333331</v>
      </c>
      <c r="K44" s="870"/>
      <c r="L44" s="871"/>
      <c r="M44" s="1038"/>
      <c r="N44" s="871"/>
      <c r="O44" s="871"/>
      <c r="P44" s="873"/>
      <c r="Q44" s="868"/>
      <c r="R44" s="1370"/>
      <c r="S44" s="869">
        <v>0.48958333333333331</v>
      </c>
      <c r="T44" s="1429"/>
      <c r="U44" s="1429"/>
      <c r="V44" s="1429"/>
      <c r="W44" s="1429"/>
      <c r="X44" s="1429"/>
      <c r="Y44" s="1429"/>
      <c r="Z44" s="996">
        <v>0.48958333333333331</v>
      </c>
      <c r="AA44" s="870"/>
      <c r="AB44" s="871"/>
      <c r="AC44" s="871"/>
      <c r="AD44" s="871"/>
      <c r="AE44" s="871"/>
      <c r="AF44" s="873"/>
      <c r="AJ44" s="1455" t="s">
        <v>3186</v>
      </c>
      <c r="AK44" s="1430"/>
      <c r="AL44" s="1430"/>
      <c r="AM44" s="1430"/>
      <c r="AN44" s="1430"/>
      <c r="AO44" s="1456"/>
      <c r="AP44" s="1058"/>
      <c r="AQ44" s="1429"/>
      <c r="AR44" s="1429"/>
      <c r="AS44" s="1429"/>
      <c r="AT44" s="1429"/>
      <c r="AU44" s="1429"/>
      <c r="AV44" s="1429"/>
    </row>
    <row r="45" spans="1:48" ht="16.5" customHeight="1">
      <c r="A45" s="868"/>
      <c r="B45" s="1370"/>
      <c r="C45" s="874">
        <v>0.5</v>
      </c>
      <c r="D45" s="875"/>
      <c r="E45" s="876"/>
      <c r="F45" s="876"/>
      <c r="G45" s="1033"/>
      <c r="H45" s="876"/>
      <c r="I45" s="876"/>
      <c r="J45" s="877">
        <v>0.5</v>
      </c>
      <c r="K45" s="875"/>
      <c r="L45" s="876"/>
      <c r="M45" s="1034"/>
      <c r="N45" s="876"/>
      <c r="O45" s="876"/>
      <c r="P45" s="878"/>
      <c r="Q45" s="868"/>
      <c r="R45" s="1370"/>
      <c r="S45" s="874">
        <v>0.5</v>
      </c>
      <c r="T45" s="1429"/>
      <c r="U45" s="1429"/>
      <c r="V45" s="1429"/>
      <c r="W45" s="1429"/>
      <c r="X45" s="1429"/>
      <c r="Y45" s="1429"/>
      <c r="Z45" s="895">
        <v>0.5</v>
      </c>
      <c r="AA45" s="875"/>
      <c r="AB45" s="876"/>
      <c r="AC45" s="876"/>
      <c r="AD45" s="876"/>
      <c r="AE45" s="876"/>
      <c r="AF45" s="878"/>
      <c r="AJ45" s="1455"/>
      <c r="AK45" s="1430"/>
      <c r="AL45" s="1430"/>
      <c r="AM45" s="1430"/>
      <c r="AN45" s="1430"/>
      <c r="AO45" s="1456"/>
      <c r="AP45" s="1058"/>
      <c r="AQ45" s="1429"/>
      <c r="AR45" s="1429"/>
      <c r="AS45" s="1429"/>
      <c r="AT45" s="1429"/>
      <c r="AU45" s="1429"/>
      <c r="AV45" s="1429"/>
    </row>
    <row r="46" spans="1:48" ht="16.5" customHeight="1">
      <c r="A46" s="868"/>
      <c r="B46" s="1370"/>
      <c r="C46" s="879">
        <v>0.51041666666666663</v>
      </c>
      <c r="D46" s="863"/>
      <c r="E46" s="864"/>
      <c r="F46" s="864"/>
      <c r="G46" s="1035"/>
      <c r="H46" s="864"/>
      <c r="I46" s="864"/>
      <c r="J46" s="879">
        <v>0.51041666666666663</v>
      </c>
      <c r="K46" s="863"/>
      <c r="L46" s="864"/>
      <c r="M46" s="1036"/>
      <c r="N46" s="864"/>
      <c r="O46" s="864"/>
      <c r="P46" s="865"/>
      <c r="Q46" s="868"/>
      <c r="R46" s="1370"/>
      <c r="S46" s="879">
        <v>0.51041666666666663</v>
      </c>
      <c r="T46" s="1429"/>
      <c r="U46" s="1429"/>
      <c r="V46" s="1429"/>
      <c r="W46" s="1429"/>
      <c r="X46" s="1429"/>
      <c r="Y46" s="1429"/>
      <c r="Z46" s="896">
        <v>0.51041666666666663</v>
      </c>
      <c r="AA46" s="863"/>
      <c r="AB46" s="864"/>
      <c r="AC46" s="864"/>
      <c r="AD46" s="864"/>
      <c r="AE46" s="864"/>
      <c r="AF46" s="865"/>
      <c r="AJ46" s="1453" t="s">
        <v>3187</v>
      </c>
      <c r="AK46" s="1429"/>
      <c r="AL46" s="1429"/>
      <c r="AM46" s="1429"/>
      <c r="AN46" s="1429"/>
      <c r="AO46" s="1454"/>
      <c r="AP46" s="1058"/>
      <c r="AQ46" s="1429"/>
      <c r="AR46" s="1429"/>
      <c r="AS46" s="1429"/>
      <c r="AT46" s="1429"/>
      <c r="AU46" s="1429"/>
      <c r="AV46" s="1429"/>
    </row>
    <row r="47" spans="1:48" ht="16.5" customHeight="1">
      <c r="A47" s="868"/>
      <c r="B47" s="1370"/>
      <c r="C47" s="880">
        <v>0.52083333333333337</v>
      </c>
      <c r="D47" s="863"/>
      <c r="E47" s="864"/>
      <c r="F47" s="864"/>
      <c r="G47" s="1035"/>
      <c r="H47" s="864"/>
      <c r="I47" s="864"/>
      <c r="J47" s="880">
        <v>0.52083333333333337</v>
      </c>
      <c r="K47" s="863"/>
      <c r="L47" s="864"/>
      <c r="M47" s="1036"/>
      <c r="N47" s="864"/>
      <c r="O47" s="864"/>
      <c r="P47" s="865"/>
      <c r="Q47" s="868"/>
      <c r="R47" s="1370"/>
      <c r="S47" s="880">
        <v>0.52083333333333337</v>
      </c>
      <c r="T47" s="1430" t="s">
        <v>3186</v>
      </c>
      <c r="U47" s="1430"/>
      <c r="V47" s="1430"/>
      <c r="W47" s="1430"/>
      <c r="X47" s="1430"/>
      <c r="Y47" s="1430"/>
      <c r="Z47" s="995">
        <v>0.52083333333333337</v>
      </c>
      <c r="AA47" s="863"/>
      <c r="AB47" s="864"/>
      <c r="AC47" s="864"/>
      <c r="AD47" s="864"/>
      <c r="AE47" s="864"/>
      <c r="AF47" s="865"/>
      <c r="AJ47" s="1453"/>
      <c r="AK47" s="1429"/>
      <c r="AL47" s="1429"/>
      <c r="AM47" s="1429"/>
      <c r="AN47" s="1429"/>
      <c r="AO47" s="1454"/>
      <c r="AP47" s="1058"/>
      <c r="AQ47" s="1429"/>
      <c r="AR47" s="1429"/>
      <c r="AS47" s="1429"/>
      <c r="AT47" s="1429"/>
      <c r="AU47" s="1429"/>
      <c r="AV47" s="1429"/>
    </row>
    <row r="48" spans="1:48" ht="16.5" customHeight="1">
      <c r="A48" s="868"/>
      <c r="B48" s="1370"/>
      <c r="C48" s="869">
        <v>0.53125</v>
      </c>
      <c r="D48" s="870"/>
      <c r="E48" s="871"/>
      <c r="F48" s="871"/>
      <c r="G48" s="1037"/>
      <c r="H48" s="871"/>
      <c r="I48" s="871"/>
      <c r="J48" s="872">
        <v>0.53125</v>
      </c>
      <c r="K48" s="870"/>
      <c r="L48" s="871"/>
      <c r="M48" s="1038"/>
      <c r="N48" s="871"/>
      <c r="O48" s="871"/>
      <c r="P48" s="873"/>
      <c r="Q48" s="868"/>
      <c r="R48" s="1370"/>
      <c r="S48" s="869">
        <v>0.53125</v>
      </c>
      <c r="T48" s="1430"/>
      <c r="U48" s="1430"/>
      <c r="V48" s="1430"/>
      <c r="W48" s="1430"/>
      <c r="X48" s="1430"/>
      <c r="Y48" s="1430"/>
      <c r="Z48" s="996">
        <v>0.53125</v>
      </c>
      <c r="AA48" s="870"/>
      <c r="AB48" s="871"/>
      <c r="AC48" s="871"/>
      <c r="AD48" s="871"/>
      <c r="AE48" s="871"/>
      <c r="AF48" s="873"/>
      <c r="AJ48" s="1453"/>
      <c r="AK48" s="1429"/>
      <c r="AL48" s="1429"/>
      <c r="AM48" s="1429"/>
      <c r="AN48" s="1429"/>
      <c r="AO48" s="1454"/>
      <c r="AP48" s="1058"/>
      <c r="AQ48" s="1429"/>
      <c r="AR48" s="1429"/>
      <c r="AS48" s="1429"/>
      <c r="AT48" s="1429"/>
      <c r="AU48" s="1429"/>
      <c r="AV48" s="1429"/>
    </row>
    <row r="49" spans="1:48" ht="16.5" customHeight="1">
      <c r="A49" s="868"/>
      <c r="B49" s="1370"/>
      <c r="C49" s="874">
        <v>0.54166666666666663</v>
      </c>
      <c r="D49" s="875"/>
      <c r="E49" s="876"/>
      <c r="F49" s="876"/>
      <c r="G49" s="1033"/>
      <c r="H49" s="876"/>
      <c r="I49" s="876"/>
      <c r="J49" s="877">
        <v>0.54166666666666663</v>
      </c>
      <c r="K49" s="894"/>
      <c r="L49" s="876"/>
      <c r="M49" s="1034"/>
      <c r="N49" s="876"/>
      <c r="O49" s="876"/>
      <c r="P49" s="878"/>
      <c r="Q49" s="868"/>
      <c r="R49" s="1370"/>
      <c r="S49" s="874">
        <v>0.54166666666666663</v>
      </c>
      <c r="T49" s="1429" t="s">
        <v>3187</v>
      </c>
      <c r="U49" s="1429"/>
      <c r="V49" s="1429"/>
      <c r="W49" s="1429"/>
      <c r="X49" s="1429"/>
      <c r="Y49" s="1429"/>
      <c r="Z49" s="895">
        <v>0.54166666666666663</v>
      </c>
      <c r="AA49" s="894"/>
      <c r="AB49" s="876"/>
      <c r="AC49" s="876"/>
      <c r="AD49" s="876"/>
      <c r="AE49" s="876"/>
      <c r="AF49" s="878"/>
      <c r="AJ49" s="1453"/>
      <c r="AK49" s="1429"/>
      <c r="AL49" s="1429"/>
      <c r="AM49" s="1429"/>
      <c r="AN49" s="1429"/>
      <c r="AO49" s="1454"/>
      <c r="AP49" s="1058"/>
      <c r="AQ49" s="1429"/>
      <c r="AR49" s="1429"/>
      <c r="AS49" s="1429"/>
      <c r="AT49" s="1429"/>
      <c r="AU49" s="1429"/>
      <c r="AV49" s="1429"/>
    </row>
    <row r="50" spans="1:48" ht="16.5" customHeight="1">
      <c r="A50" s="868"/>
      <c r="B50" s="1338"/>
      <c r="C50" s="879">
        <v>0.55208333333333337</v>
      </c>
      <c r="D50" s="863"/>
      <c r="E50" s="864"/>
      <c r="F50" s="864"/>
      <c r="G50" s="1035"/>
      <c r="H50" s="864"/>
      <c r="I50" s="864"/>
      <c r="J50" s="879">
        <v>0.55208333333333337</v>
      </c>
      <c r="K50" s="863"/>
      <c r="L50" s="864"/>
      <c r="M50" s="1036"/>
      <c r="N50" s="864"/>
      <c r="O50" s="864"/>
      <c r="P50" s="865"/>
      <c r="Q50" s="868"/>
      <c r="R50" s="1338"/>
      <c r="S50" s="879">
        <v>0.55208333333333337</v>
      </c>
      <c r="T50" s="1429"/>
      <c r="U50" s="1429"/>
      <c r="V50" s="1429"/>
      <c r="W50" s="1429"/>
      <c r="X50" s="1429"/>
      <c r="Y50" s="1429"/>
      <c r="Z50" s="896">
        <v>0.55208333333333337</v>
      </c>
      <c r="AA50" s="863"/>
      <c r="AB50" s="864"/>
      <c r="AC50" s="864"/>
      <c r="AD50" s="864"/>
      <c r="AE50" s="864"/>
      <c r="AF50" s="865"/>
      <c r="AJ50" s="1453"/>
      <c r="AK50" s="1429"/>
      <c r="AL50" s="1429"/>
      <c r="AM50" s="1429"/>
      <c r="AN50" s="1429"/>
      <c r="AO50" s="1454"/>
      <c r="AP50" s="1058"/>
      <c r="AQ50" s="1430" t="s">
        <v>3186</v>
      </c>
      <c r="AR50" s="1430"/>
      <c r="AS50" s="1430"/>
      <c r="AT50" s="1430"/>
      <c r="AU50" s="1430"/>
      <c r="AV50" s="1430"/>
    </row>
    <row r="51" spans="1:48" ht="16.5" customHeight="1" thickBot="1">
      <c r="A51" s="866"/>
      <c r="B51" s="866"/>
      <c r="C51" s="867">
        <v>0.5625</v>
      </c>
      <c r="D51" s="863"/>
      <c r="E51" s="864"/>
      <c r="F51" s="864"/>
      <c r="G51" s="1035"/>
      <c r="H51" s="864"/>
      <c r="I51" s="864"/>
      <c r="J51" s="867">
        <v>0.5625</v>
      </c>
      <c r="K51" s="863"/>
      <c r="L51" s="864"/>
      <c r="M51" s="1036"/>
      <c r="N51" s="864"/>
      <c r="O51" s="864"/>
      <c r="P51" s="865"/>
      <c r="Q51" s="866"/>
      <c r="R51" s="866"/>
      <c r="S51" s="867">
        <v>0.5625</v>
      </c>
      <c r="T51" s="1429"/>
      <c r="U51" s="1429"/>
      <c r="V51" s="1429"/>
      <c r="W51" s="1429"/>
      <c r="X51" s="1429"/>
      <c r="Y51" s="1429"/>
      <c r="Z51" s="997">
        <v>0.5625</v>
      </c>
      <c r="AA51" s="864"/>
      <c r="AB51" s="864"/>
      <c r="AC51" s="864"/>
      <c r="AD51" s="864"/>
      <c r="AE51" s="864"/>
      <c r="AF51" s="865"/>
      <c r="AJ51" s="1467"/>
      <c r="AK51" s="1468"/>
      <c r="AL51" s="1468"/>
      <c r="AM51" s="1468"/>
      <c r="AN51" s="1468"/>
      <c r="AO51" s="1469"/>
      <c r="AP51" s="1058"/>
      <c r="AQ51" s="1430"/>
      <c r="AR51" s="1430"/>
      <c r="AS51" s="1430"/>
      <c r="AT51" s="1430"/>
      <c r="AU51" s="1430"/>
      <c r="AV51" s="1430"/>
    </row>
    <row r="52" spans="1:48" ht="16.5" customHeight="1" thickBot="1">
      <c r="A52" s="861"/>
      <c r="B52" s="861"/>
      <c r="C52" s="885">
        <v>0.57291666666666663</v>
      </c>
      <c r="D52" s="870"/>
      <c r="E52" s="871"/>
      <c r="F52" s="871"/>
      <c r="G52" s="1037"/>
      <c r="H52" s="871"/>
      <c r="I52" s="871"/>
      <c r="J52" s="884">
        <v>0.57291666666666663</v>
      </c>
      <c r="K52" s="870"/>
      <c r="L52" s="871"/>
      <c r="M52" s="1038"/>
      <c r="N52" s="871"/>
      <c r="O52" s="871"/>
      <c r="P52" s="873"/>
      <c r="Q52" s="861"/>
      <c r="R52" s="861"/>
      <c r="S52" s="885">
        <v>0.57291666666666663</v>
      </c>
      <c r="T52" s="1429"/>
      <c r="U52" s="1429"/>
      <c r="V52" s="1429"/>
      <c r="W52" s="1429"/>
      <c r="X52" s="1429"/>
      <c r="Y52" s="1429"/>
      <c r="Z52" s="998">
        <v>0.57291666666666663</v>
      </c>
      <c r="AA52" s="871"/>
      <c r="AB52" s="871"/>
      <c r="AC52" s="871"/>
      <c r="AD52" s="871"/>
      <c r="AE52" s="871"/>
      <c r="AF52" s="873"/>
      <c r="AJ52" s="1058"/>
      <c r="AK52" s="1058"/>
      <c r="AL52" s="1058"/>
      <c r="AM52" s="1058"/>
      <c r="AN52" s="1058"/>
      <c r="AO52" s="1058"/>
      <c r="AP52" s="1058"/>
      <c r="AQ52" s="1430"/>
      <c r="AR52" s="1430"/>
      <c r="AS52" s="1430"/>
      <c r="AT52" s="1430"/>
      <c r="AU52" s="1430"/>
      <c r="AV52" s="1430"/>
    </row>
    <row r="53" spans="1:48" ht="16.5" customHeight="1">
      <c r="A53" s="855"/>
      <c r="B53" s="855"/>
      <c r="C53" s="856">
        <v>0.58333333333333337</v>
      </c>
      <c r="D53" s="875"/>
      <c r="E53" s="876"/>
      <c r="F53" s="876"/>
      <c r="G53" s="1033"/>
      <c r="H53" s="876"/>
      <c r="I53" s="876"/>
      <c r="J53" s="899">
        <v>0.58333333333333337</v>
      </c>
      <c r="K53" s="876"/>
      <c r="L53" s="876"/>
      <c r="M53" s="1042"/>
      <c r="N53" s="876"/>
      <c r="O53" s="876"/>
      <c r="P53" s="878"/>
      <c r="Q53" s="855"/>
      <c r="R53" s="855"/>
      <c r="S53" s="856">
        <v>0.58333333333333337</v>
      </c>
      <c r="T53" s="1429"/>
      <c r="U53" s="1429"/>
      <c r="V53" s="1429"/>
      <c r="W53" s="1429"/>
      <c r="X53" s="1429"/>
      <c r="Y53" s="1429"/>
      <c r="Z53" s="999">
        <v>0.58333333333333337</v>
      </c>
      <c r="AA53" s="876"/>
      <c r="AB53" s="876"/>
      <c r="AC53" s="900"/>
      <c r="AD53" s="876"/>
      <c r="AE53" s="876"/>
      <c r="AF53" s="878"/>
      <c r="AJ53" s="1450" t="s">
        <v>3189</v>
      </c>
      <c r="AK53" s="1451"/>
      <c r="AL53" s="1451"/>
      <c r="AM53" s="1451"/>
      <c r="AN53" s="1451"/>
      <c r="AO53" s="1452"/>
      <c r="AP53" s="1058"/>
      <c r="AQ53" s="1429" t="s">
        <v>3187</v>
      </c>
      <c r="AR53" s="1429"/>
      <c r="AS53" s="1429"/>
      <c r="AT53" s="1429"/>
      <c r="AU53" s="1429"/>
      <c r="AV53" s="1429"/>
    </row>
    <row r="54" spans="1:48" ht="16.5" customHeight="1">
      <c r="A54" s="861"/>
      <c r="B54" s="861"/>
      <c r="C54" s="862">
        <v>0.59375</v>
      </c>
      <c r="D54" s="863"/>
      <c r="E54" s="864"/>
      <c r="F54" s="864"/>
      <c r="G54" s="1035"/>
      <c r="H54" s="864"/>
      <c r="I54" s="864"/>
      <c r="J54" s="901">
        <v>0.59375</v>
      </c>
      <c r="K54" s="902"/>
      <c r="L54" s="864"/>
      <c r="M54" s="1036"/>
      <c r="N54" s="864"/>
      <c r="O54" s="864"/>
      <c r="P54" s="865"/>
      <c r="Q54" s="861"/>
      <c r="R54" s="861"/>
      <c r="S54" s="862">
        <v>0.59375</v>
      </c>
      <c r="T54" s="1438" t="s">
        <v>3217</v>
      </c>
      <c r="U54" s="1439"/>
      <c r="V54" s="1439"/>
      <c r="W54" s="1439"/>
      <c r="X54" s="1439"/>
      <c r="Y54" s="1440"/>
      <c r="Z54" s="1000">
        <v>0.59375</v>
      </c>
      <c r="AA54" s="902"/>
      <c r="AB54" s="864"/>
      <c r="AC54" s="864"/>
      <c r="AD54" s="864"/>
      <c r="AE54" s="864"/>
      <c r="AF54" s="865"/>
      <c r="AJ54" s="1453"/>
      <c r="AK54" s="1429"/>
      <c r="AL54" s="1429"/>
      <c r="AM54" s="1429"/>
      <c r="AN54" s="1429"/>
      <c r="AO54" s="1454"/>
      <c r="AP54" s="1058"/>
      <c r="AQ54" s="1429"/>
      <c r="AR54" s="1429"/>
      <c r="AS54" s="1429"/>
      <c r="AT54" s="1429"/>
      <c r="AU54" s="1429"/>
      <c r="AV54" s="1429"/>
    </row>
    <row r="55" spans="1:48" ht="16.5" customHeight="1">
      <c r="A55" s="866"/>
      <c r="B55" s="866"/>
      <c r="C55" s="867">
        <v>0.60416666666666663</v>
      </c>
      <c r="D55" s="863"/>
      <c r="E55" s="864"/>
      <c r="F55" s="864"/>
      <c r="G55" s="1035"/>
      <c r="H55" s="864"/>
      <c r="I55" s="864"/>
      <c r="J55" s="897">
        <v>0.60416666666666663</v>
      </c>
      <c r="K55" s="864"/>
      <c r="L55" s="864"/>
      <c r="M55" s="1036"/>
      <c r="N55" s="864"/>
      <c r="O55" s="864"/>
      <c r="P55" s="865"/>
      <c r="Q55" s="866"/>
      <c r="R55" s="866"/>
      <c r="S55" s="867">
        <v>0.60416666666666663</v>
      </c>
      <c r="T55" s="1416" t="s">
        <v>3102</v>
      </c>
      <c r="U55" s="1417"/>
      <c r="V55" s="1417"/>
      <c r="W55" s="1417"/>
      <c r="X55" s="1417"/>
      <c r="Y55" s="1421"/>
      <c r="Z55" s="997">
        <v>0.60416666666666663</v>
      </c>
      <c r="AA55" s="864"/>
      <c r="AB55" s="864"/>
      <c r="AC55" s="864"/>
      <c r="AD55" s="864"/>
      <c r="AE55" s="864"/>
      <c r="AF55" s="865"/>
      <c r="AJ55" s="1453"/>
      <c r="AK55" s="1429"/>
      <c r="AL55" s="1429"/>
      <c r="AM55" s="1429"/>
      <c r="AN55" s="1429"/>
      <c r="AO55" s="1454"/>
      <c r="AP55" s="1058"/>
      <c r="AQ55" s="1429"/>
      <c r="AR55" s="1429"/>
      <c r="AS55" s="1429"/>
      <c r="AT55" s="1429"/>
      <c r="AU55" s="1429"/>
      <c r="AV55" s="1429"/>
    </row>
    <row r="56" spans="1:48" ht="16.5" customHeight="1">
      <c r="A56" s="861"/>
      <c r="B56" s="861"/>
      <c r="C56" s="885">
        <v>0.61458333333333337</v>
      </c>
      <c r="D56" s="870"/>
      <c r="E56" s="871"/>
      <c r="F56" s="871"/>
      <c r="G56" s="1037"/>
      <c r="H56" s="871"/>
      <c r="I56" s="871"/>
      <c r="J56" s="898">
        <v>0.61458333333333337</v>
      </c>
      <c r="K56" s="871"/>
      <c r="L56" s="871"/>
      <c r="M56" s="1038"/>
      <c r="N56" s="871"/>
      <c r="O56" s="871"/>
      <c r="P56" s="873"/>
      <c r="Q56" s="861"/>
      <c r="R56" s="861"/>
      <c r="S56" s="885">
        <v>0.61458333333333337</v>
      </c>
      <c r="T56" s="1418"/>
      <c r="U56" s="1419"/>
      <c r="V56" s="1419"/>
      <c r="W56" s="1419"/>
      <c r="X56" s="1419"/>
      <c r="Y56" s="1423"/>
      <c r="Z56" s="998">
        <v>0.61458333333333337</v>
      </c>
      <c r="AA56" s="871"/>
      <c r="AB56" s="871"/>
      <c r="AC56" s="871"/>
      <c r="AD56" s="871"/>
      <c r="AE56" s="871"/>
      <c r="AF56" s="873"/>
      <c r="AJ56" s="1453"/>
      <c r="AK56" s="1429"/>
      <c r="AL56" s="1429"/>
      <c r="AM56" s="1429"/>
      <c r="AN56" s="1429"/>
      <c r="AO56" s="1454"/>
      <c r="AP56" s="1058"/>
      <c r="AQ56" s="1429"/>
      <c r="AR56" s="1429"/>
      <c r="AS56" s="1429"/>
      <c r="AT56" s="1429"/>
      <c r="AU56" s="1429"/>
      <c r="AV56" s="1429"/>
    </row>
    <row r="57" spans="1:48" ht="16.5" customHeight="1">
      <c r="A57" s="855"/>
      <c r="B57" s="855"/>
      <c r="C57" s="856">
        <v>0.625</v>
      </c>
      <c r="D57" s="875"/>
      <c r="E57" s="876"/>
      <c r="F57" s="876"/>
      <c r="G57" s="1033"/>
      <c r="H57" s="876"/>
      <c r="I57" s="876"/>
      <c r="J57" s="899">
        <v>0.625</v>
      </c>
      <c r="K57" s="900"/>
      <c r="L57" s="876"/>
      <c r="M57" s="1042"/>
      <c r="N57" s="876"/>
      <c r="O57" s="876"/>
      <c r="P57" s="878"/>
      <c r="Q57" s="855"/>
      <c r="R57" s="855"/>
      <c r="S57" s="856">
        <v>0.625</v>
      </c>
      <c r="T57" s="1457" t="s">
        <v>3197</v>
      </c>
      <c r="U57" s="1417"/>
      <c r="V57" s="1417"/>
      <c r="W57" s="1420" t="s">
        <v>3116</v>
      </c>
      <c r="X57" s="1417"/>
      <c r="Y57" s="1421"/>
      <c r="Z57" s="999">
        <v>0.625</v>
      </c>
      <c r="AA57" s="900"/>
      <c r="AB57" s="876"/>
      <c r="AC57" s="900"/>
      <c r="AD57" s="876"/>
      <c r="AE57" s="876"/>
      <c r="AF57" s="878"/>
      <c r="AJ57" s="1453"/>
      <c r="AK57" s="1429"/>
      <c r="AL57" s="1429"/>
      <c r="AM57" s="1429"/>
      <c r="AN57" s="1429"/>
      <c r="AO57" s="1454"/>
      <c r="AP57" s="1058"/>
      <c r="AQ57" s="1429"/>
      <c r="AR57" s="1429"/>
      <c r="AS57" s="1429"/>
      <c r="AT57" s="1429"/>
      <c r="AU57" s="1429"/>
      <c r="AV57" s="1429"/>
    </row>
    <row r="58" spans="1:48" ht="16.5" customHeight="1">
      <c r="A58" s="861"/>
      <c r="B58" s="861"/>
      <c r="C58" s="862">
        <v>0.63541666666666663</v>
      </c>
      <c r="D58" s="863"/>
      <c r="E58" s="864"/>
      <c r="F58" s="864"/>
      <c r="G58" s="1035"/>
      <c r="H58" s="864"/>
      <c r="I58" s="864"/>
      <c r="J58" s="901">
        <v>0.63541666666666663</v>
      </c>
      <c r="K58" s="902"/>
      <c r="L58" s="864"/>
      <c r="M58" s="1036"/>
      <c r="N58" s="864"/>
      <c r="O58" s="864"/>
      <c r="P58" s="865"/>
      <c r="Q58" s="861"/>
      <c r="R58" s="861"/>
      <c r="S58" s="862">
        <v>0.63541666666666663</v>
      </c>
      <c r="T58" s="1458"/>
      <c r="U58" s="1412"/>
      <c r="V58" s="1412"/>
      <c r="W58" s="1459"/>
      <c r="X58" s="1412"/>
      <c r="Y58" s="1460"/>
      <c r="Z58" s="1000">
        <v>0.63541666666666663</v>
      </c>
      <c r="AA58" s="902"/>
      <c r="AB58" s="864"/>
      <c r="AC58" s="864"/>
      <c r="AD58" s="864"/>
      <c r="AE58" s="864"/>
      <c r="AF58" s="865"/>
      <c r="AJ58" s="1453"/>
      <c r="AK58" s="1429"/>
      <c r="AL58" s="1429"/>
      <c r="AM58" s="1429"/>
      <c r="AN58" s="1429"/>
      <c r="AO58" s="1454"/>
      <c r="AP58" s="1058"/>
      <c r="AQ58" s="1429"/>
      <c r="AR58" s="1429"/>
      <c r="AS58" s="1429"/>
      <c r="AT58" s="1429"/>
      <c r="AU58" s="1429"/>
      <c r="AV58" s="1429"/>
    </row>
    <row r="59" spans="1:48" ht="16.5" customHeight="1">
      <c r="A59" s="866"/>
      <c r="B59" s="866"/>
      <c r="C59" s="867">
        <v>0.64583333333333337</v>
      </c>
      <c r="D59" s="863"/>
      <c r="E59" s="864"/>
      <c r="F59" s="864"/>
      <c r="G59" s="1035"/>
      <c r="H59" s="864"/>
      <c r="I59" s="864"/>
      <c r="J59" s="897">
        <v>0.64583333333333337</v>
      </c>
      <c r="K59" s="864"/>
      <c r="L59" s="864"/>
      <c r="M59" s="1036"/>
      <c r="N59" s="864"/>
      <c r="O59" s="864"/>
      <c r="P59" s="865"/>
      <c r="Q59" s="866"/>
      <c r="R59" s="866"/>
      <c r="S59" s="867">
        <v>0.64583333333333337</v>
      </c>
      <c r="T59" s="1458"/>
      <c r="U59" s="1412"/>
      <c r="V59" s="1412"/>
      <c r="W59" s="1459"/>
      <c r="X59" s="1412"/>
      <c r="Y59" s="1460"/>
      <c r="Z59" s="997">
        <v>0.64583333333333337</v>
      </c>
      <c r="AA59" s="864"/>
      <c r="AB59" s="864"/>
      <c r="AC59" s="864"/>
      <c r="AD59" s="864"/>
      <c r="AE59" s="864"/>
      <c r="AF59" s="865"/>
      <c r="AJ59" s="1453"/>
      <c r="AK59" s="1429"/>
      <c r="AL59" s="1429"/>
      <c r="AM59" s="1429"/>
      <c r="AN59" s="1429"/>
      <c r="AO59" s="1454"/>
      <c r="AP59" s="1058"/>
      <c r="AQ59" s="1429"/>
      <c r="AR59" s="1429"/>
      <c r="AS59" s="1429"/>
      <c r="AT59" s="1429"/>
      <c r="AU59" s="1429"/>
      <c r="AV59" s="1429"/>
    </row>
    <row r="60" spans="1:48" ht="16.5" customHeight="1">
      <c r="A60" s="861"/>
      <c r="B60" s="861"/>
      <c r="C60" s="885">
        <v>0.65625</v>
      </c>
      <c r="D60" s="870"/>
      <c r="E60" s="871"/>
      <c r="F60" s="871"/>
      <c r="G60" s="1037"/>
      <c r="H60" s="871"/>
      <c r="I60" s="871"/>
      <c r="J60" s="898">
        <v>0.65625</v>
      </c>
      <c r="K60" s="871"/>
      <c r="L60" s="871"/>
      <c r="M60" s="1043"/>
      <c r="N60" s="871"/>
      <c r="O60" s="871"/>
      <c r="P60" s="873"/>
      <c r="Q60" s="861"/>
      <c r="R60" s="861"/>
      <c r="S60" s="885">
        <v>0.65625</v>
      </c>
      <c r="T60" s="1458"/>
      <c r="U60" s="1412"/>
      <c r="V60" s="1412"/>
      <c r="W60" s="1459"/>
      <c r="X60" s="1412"/>
      <c r="Y60" s="1460"/>
      <c r="Z60" s="998">
        <v>0.65625</v>
      </c>
      <c r="AA60" s="871"/>
      <c r="AB60" s="871"/>
      <c r="AC60" s="903"/>
      <c r="AD60" s="871"/>
      <c r="AE60" s="871"/>
      <c r="AF60" s="873"/>
      <c r="AJ60" s="1453"/>
      <c r="AK60" s="1429"/>
      <c r="AL60" s="1429"/>
      <c r="AM60" s="1429"/>
      <c r="AN60" s="1429"/>
      <c r="AO60" s="1454"/>
      <c r="AP60" s="1058"/>
      <c r="AQ60" s="1058"/>
      <c r="AR60" s="1060"/>
      <c r="AS60" s="1060"/>
      <c r="AT60" s="1060"/>
      <c r="AU60" s="1060"/>
      <c r="AV60" s="1060"/>
    </row>
    <row r="61" spans="1:48" ht="16.5" customHeight="1">
      <c r="A61" s="1432" t="s">
        <v>3042</v>
      </c>
      <c r="B61" s="855"/>
      <c r="C61" s="904">
        <v>0.66666666666666663</v>
      </c>
      <c r="D61" s="875"/>
      <c r="E61" s="876"/>
      <c r="F61" s="876"/>
      <c r="G61" s="1033"/>
      <c r="H61" s="876"/>
      <c r="I61" s="876"/>
      <c r="J61" s="905">
        <v>0.66666666666666663</v>
      </c>
      <c r="K61" s="876"/>
      <c r="L61" s="876"/>
      <c r="M61" s="1042"/>
      <c r="N61" s="876"/>
      <c r="O61" s="876"/>
      <c r="P61" s="878"/>
      <c r="Q61" s="1432" t="s">
        <v>3042</v>
      </c>
      <c r="R61" s="855"/>
      <c r="S61" s="904">
        <v>0.66666666666666663</v>
      </c>
      <c r="T61" s="1458"/>
      <c r="U61" s="1412"/>
      <c r="V61" s="1412"/>
      <c r="W61" s="1459"/>
      <c r="X61" s="1412"/>
      <c r="Y61" s="1460"/>
      <c r="Z61" s="1001">
        <v>0.66666666666666663</v>
      </c>
      <c r="AA61" s="876"/>
      <c r="AB61" s="876"/>
      <c r="AC61" s="900"/>
      <c r="AD61" s="876"/>
      <c r="AE61" s="876"/>
      <c r="AF61" s="878"/>
      <c r="AJ61" s="1453"/>
      <c r="AK61" s="1429"/>
      <c r="AL61" s="1429"/>
      <c r="AM61" s="1429"/>
      <c r="AN61" s="1429"/>
      <c r="AO61" s="1454"/>
      <c r="AP61" s="1058"/>
      <c r="AQ61" s="1429" t="s">
        <v>3192</v>
      </c>
      <c r="AR61" s="1429"/>
      <c r="AS61" s="1429"/>
      <c r="AT61" s="1429"/>
      <c r="AU61" s="1429"/>
      <c r="AV61" s="1429"/>
    </row>
    <row r="62" spans="1:48" ht="16.5" customHeight="1">
      <c r="A62" s="1370"/>
      <c r="B62" s="861"/>
      <c r="C62" s="906">
        <v>0.67708333333333337</v>
      </c>
      <c r="D62" s="863"/>
      <c r="E62" s="864"/>
      <c r="F62" s="864"/>
      <c r="G62" s="1035"/>
      <c r="H62" s="864"/>
      <c r="I62" s="864"/>
      <c r="J62" s="907">
        <v>0.67708333333333337</v>
      </c>
      <c r="K62" s="864"/>
      <c r="L62" s="864"/>
      <c r="M62" s="1036"/>
      <c r="N62" s="864"/>
      <c r="O62" s="864"/>
      <c r="P62" s="865"/>
      <c r="Q62" s="1370"/>
      <c r="R62" s="861"/>
      <c r="S62" s="906">
        <v>0.67708333333333337</v>
      </c>
      <c r="T62" s="1458"/>
      <c r="U62" s="1412"/>
      <c r="V62" s="1412"/>
      <c r="W62" s="1459"/>
      <c r="X62" s="1412"/>
      <c r="Y62" s="1460"/>
      <c r="Z62" s="1002">
        <v>0.67708333333333337</v>
      </c>
      <c r="AA62" s="864"/>
      <c r="AB62" s="864"/>
      <c r="AC62" s="864"/>
      <c r="AD62" s="864"/>
      <c r="AE62" s="864"/>
      <c r="AF62" s="865"/>
      <c r="AJ62" s="1453"/>
      <c r="AK62" s="1429"/>
      <c r="AL62" s="1429"/>
      <c r="AM62" s="1429"/>
      <c r="AN62" s="1429"/>
      <c r="AO62" s="1454"/>
      <c r="AP62" s="1058"/>
      <c r="AQ62" s="1429"/>
      <c r="AR62" s="1429"/>
      <c r="AS62" s="1429"/>
      <c r="AT62" s="1429"/>
      <c r="AU62" s="1429"/>
      <c r="AV62" s="1429"/>
    </row>
    <row r="63" spans="1:48" ht="16.5" customHeight="1">
      <c r="A63" s="1370"/>
      <c r="B63" s="866"/>
      <c r="C63" s="908">
        <v>0.6875</v>
      </c>
      <c r="D63" s="863"/>
      <c r="E63" s="864"/>
      <c r="F63" s="864"/>
      <c r="G63" s="1035"/>
      <c r="H63" s="864"/>
      <c r="I63" s="864"/>
      <c r="J63" s="909">
        <v>0.6875</v>
      </c>
      <c r="K63" s="864"/>
      <c r="L63" s="864"/>
      <c r="M63" s="1036"/>
      <c r="N63" s="864"/>
      <c r="O63" s="902"/>
      <c r="P63" s="865"/>
      <c r="Q63" s="1370"/>
      <c r="R63" s="866"/>
      <c r="S63" s="908">
        <v>0.6875</v>
      </c>
      <c r="T63" s="1418"/>
      <c r="U63" s="1419"/>
      <c r="V63" s="1419"/>
      <c r="W63" s="1459"/>
      <c r="X63" s="1412"/>
      <c r="Y63" s="1460"/>
      <c r="Z63" s="1003">
        <v>0.6875</v>
      </c>
      <c r="AA63" s="864"/>
      <c r="AB63" s="864"/>
      <c r="AC63" s="864"/>
      <c r="AD63" s="864"/>
      <c r="AE63" s="902"/>
      <c r="AF63" s="865"/>
      <c r="AJ63" s="1455" t="s">
        <v>3186</v>
      </c>
      <c r="AK63" s="1430"/>
      <c r="AL63" s="1430"/>
      <c r="AM63" s="1430"/>
      <c r="AN63" s="1430"/>
      <c r="AO63" s="1456"/>
      <c r="AP63" s="1058"/>
      <c r="AQ63" s="1429"/>
      <c r="AR63" s="1429"/>
      <c r="AS63" s="1429"/>
      <c r="AT63" s="1429"/>
      <c r="AU63" s="1429"/>
      <c r="AV63" s="1429"/>
    </row>
    <row r="64" spans="1:48" ht="16.5" customHeight="1">
      <c r="A64" s="1370"/>
      <c r="B64" s="861"/>
      <c r="C64" s="910">
        <v>0.69791666666666663</v>
      </c>
      <c r="D64" s="870"/>
      <c r="E64" s="871"/>
      <c r="F64" s="871"/>
      <c r="G64" s="1037"/>
      <c r="H64" s="871"/>
      <c r="I64" s="871"/>
      <c r="J64" s="911">
        <v>0.69791666666666663</v>
      </c>
      <c r="K64" s="871"/>
      <c r="L64" s="871"/>
      <c r="M64" s="1038"/>
      <c r="N64" s="871"/>
      <c r="O64" s="903"/>
      <c r="P64" s="873"/>
      <c r="Q64" s="1370"/>
      <c r="R64" s="861"/>
      <c r="S64" s="910">
        <v>0.69791666666666663</v>
      </c>
      <c r="T64" s="1438" t="s">
        <v>3103</v>
      </c>
      <c r="U64" s="1439"/>
      <c r="V64" s="1439"/>
      <c r="W64" s="1422"/>
      <c r="X64" s="1419"/>
      <c r="Y64" s="1423"/>
      <c r="Z64" s="1004">
        <v>0.69791666666666663</v>
      </c>
      <c r="AA64" s="871"/>
      <c r="AB64" s="871"/>
      <c r="AC64" s="871"/>
      <c r="AD64" s="871"/>
      <c r="AE64" s="903"/>
      <c r="AF64" s="873"/>
      <c r="AJ64" s="1455"/>
      <c r="AK64" s="1430"/>
      <c r="AL64" s="1430"/>
      <c r="AM64" s="1430"/>
      <c r="AN64" s="1430"/>
      <c r="AO64" s="1456"/>
      <c r="AP64" s="1058"/>
      <c r="AQ64" s="1429"/>
      <c r="AR64" s="1429"/>
      <c r="AS64" s="1429"/>
      <c r="AT64" s="1429"/>
      <c r="AU64" s="1429"/>
      <c r="AV64" s="1429"/>
    </row>
    <row r="65" spans="1:48" ht="16.5" customHeight="1">
      <c r="A65" s="1370"/>
      <c r="B65" s="1388" t="s">
        <v>3039</v>
      </c>
      <c r="C65" s="874">
        <v>0.70833333333333337</v>
      </c>
      <c r="D65" s="1402"/>
      <c r="E65" s="1403"/>
      <c r="F65" s="876"/>
      <c r="G65" s="1033"/>
      <c r="H65" s="876"/>
      <c r="I65" s="876"/>
      <c r="J65" s="912">
        <v>0.70833333333333337</v>
      </c>
      <c r="K65" s="876"/>
      <c r="L65" s="876"/>
      <c r="M65" s="1034"/>
      <c r="N65" s="876"/>
      <c r="O65" s="876"/>
      <c r="P65" s="878"/>
      <c r="Q65" s="1370"/>
      <c r="R65" s="1388" t="s">
        <v>3039</v>
      </c>
      <c r="S65" s="874">
        <v>0.70833333333333337</v>
      </c>
      <c r="T65" s="1431" t="s">
        <v>3104</v>
      </c>
      <c r="U65" s="1431"/>
      <c r="V65" s="1431"/>
      <c r="W65" s="1431"/>
      <c r="X65" s="1431"/>
      <c r="Y65" s="1431"/>
      <c r="Z65" s="1005">
        <v>0.70833333333333337</v>
      </c>
      <c r="AA65" s="876"/>
      <c r="AB65" s="876"/>
      <c r="AC65" s="876"/>
      <c r="AD65" s="876"/>
      <c r="AE65" s="876"/>
      <c r="AF65" s="878"/>
      <c r="AJ65" s="1455"/>
      <c r="AK65" s="1430"/>
      <c r="AL65" s="1430"/>
      <c r="AM65" s="1430"/>
      <c r="AN65" s="1430"/>
      <c r="AO65" s="1456"/>
      <c r="AP65" s="1058"/>
      <c r="AQ65" s="1429"/>
      <c r="AR65" s="1429"/>
      <c r="AS65" s="1429"/>
      <c r="AT65" s="1429"/>
      <c r="AU65" s="1429"/>
      <c r="AV65" s="1429"/>
    </row>
    <row r="66" spans="1:48" ht="16.5" customHeight="1">
      <c r="A66" s="1370"/>
      <c r="B66" s="1370"/>
      <c r="C66" s="879">
        <v>0.71875</v>
      </c>
      <c r="D66" s="1411"/>
      <c r="E66" s="1412"/>
      <c r="F66" s="864"/>
      <c r="G66" s="1035"/>
      <c r="H66" s="864"/>
      <c r="I66" s="864"/>
      <c r="J66" s="913">
        <v>0.71875</v>
      </c>
      <c r="K66" s="864"/>
      <c r="L66" s="864"/>
      <c r="M66" s="1036"/>
      <c r="N66" s="864"/>
      <c r="O66" s="864"/>
      <c r="P66" s="865"/>
      <c r="Q66" s="1370"/>
      <c r="R66" s="1370"/>
      <c r="S66" s="879">
        <v>0.71875</v>
      </c>
      <c r="T66" s="1431"/>
      <c r="U66" s="1431"/>
      <c r="V66" s="1431"/>
      <c r="W66" s="1431"/>
      <c r="X66" s="1431"/>
      <c r="Y66" s="1431"/>
      <c r="Z66" s="1006">
        <v>0.71875</v>
      </c>
      <c r="AA66" s="864"/>
      <c r="AB66" s="864"/>
      <c r="AC66" s="864"/>
      <c r="AD66" s="864"/>
      <c r="AE66" s="864"/>
      <c r="AF66" s="865"/>
      <c r="AJ66" s="1453" t="s">
        <v>3187</v>
      </c>
      <c r="AK66" s="1429"/>
      <c r="AL66" s="1429"/>
      <c r="AM66" s="1429"/>
      <c r="AN66" s="1429"/>
      <c r="AO66" s="1454"/>
      <c r="AP66" s="1058"/>
      <c r="AQ66" s="1429"/>
      <c r="AR66" s="1429"/>
      <c r="AS66" s="1429"/>
      <c r="AT66" s="1429"/>
      <c r="AU66" s="1429"/>
      <c r="AV66" s="1429"/>
    </row>
    <row r="67" spans="1:48" ht="16.5" customHeight="1">
      <c r="A67" s="1370"/>
      <c r="B67" s="1370"/>
      <c r="C67" s="880">
        <v>0.72916666666666663</v>
      </c>
      <c r="D67" s="1411"/>
      <c r="E67" s="1412"/>
      <c r="F67" s="864"/>
      <c r="G67" s="1035"/>
      <c r="H67" s="864"/>
      <c r="I67" s="864"/>
      <c r="J67" s="914">
        <v>0.72916666666666663</v>
      </c>
      <c r="K67" s="864"/>
      <c r="L67" s="864"/>
      <c r="M67" s="1036"/>
      <c r="N67" s="864"/>
      <c r="O67" s="864"/>
      <c r="P67" s="865"/>
      <c r="Q67" s="1370"/>
      <c r="R67" s="1370"/>
      <c r="S67" s="880">
        <v>0.72916666666666663</v>
      </c>
      <c r="T67" s="1431"/>
      <c r="U67" s="1431"/>
      <c r="V67" s="1431"/>
      <c r="W67" s="1431"/>
      <c r="X67" s="1431"/>
      <c r="Y67" s="1431"/>
      <c r="Z67" s="1007">
        <v>0.72916666666666663</v>
      </c>
      <c r="AA67" s="864"/>
      <c r="AB67" s="864"/>
      <c r="AC67" s="864"/>
      <c r="AD67" s="864"/>
      <c r="AE67" s="864"/>
      <c r="AF67" s="865"/>
      <c r="AJ67" s="1453"/>
      <c r="AK67" s="1429"/>
      <c r="AL67" s="1429"/>
      <c r="AM67" s="1429"/>
      <c r="AN67" s="1429"/>
      <c r="AO67" s="1454"/>
      <c r="AP67" s="1058"/>
      <c r="AQ67" s="1429"/>
      <c r="AR67" s="1429"/>
      <c r="AS67" s="1429"/>
      <c r="AT67" s="1429"/>
      <c r="AU67" s="1429"/>
      <c r="AV67" s="1429"/>
    </row>
    <row r="68" spans="1:48" ht="16.5" customHeight="1">
      <c r="A68" s="1370"/>
      <c r="B68" s="1370"/>
      <c r="C68" s="869">
        <v>0.73958333333333337</v>
      </c>
      <c r="D68" s="1411"/>
      <c r="E68" s="1412"/>
      <c r="F68" s="871"/>
      <c r="G68" s="1037"/>
      <c r="H68" s="871"/>
      <c r="I68" s="871"/>
      <c r="J68" s="915">
        <v>0.73958333333333337</v>
      </c>
      <c r="K68" s="916"/>
      <c r="L68" s="916"/>
      <c r="M68" s="1044"/>
      <c r="N68" s="916"/>
      <c r="O68" s="916"/>
      <c r="P68" s="917"/>
      <c r="Q68" s="1370"/>
      <c r="R68" s="1370"/>
      <c r="S68" s="869">
        <v>0.73958333333333337</v>
      </c>
      <c r="T68" s="1431" t="s">
        <v>3040</v>
      </c>
      <c r="U68" s="1431"/>
      <c r="V68" s="1431"/>
      <c r="W68" s="1431"/>
      <c r="X68" s="1431"/>
      <c r="Y68" s="1431"/>
      <c r="Z68" s="1008">
        <v>0.73958333333333337</v>
      </c>
      <c r="AA68" s="916"/>
      <c r="AB68" s="916"/>
      <c r="AC68" s="916"/>
      <c r="AD68" s="916"/>
      <c r="AE68" s="916"/>
      <c r="AF68" s="917"/>
      <c r="AJ68" s="1453"/>
      <c r="AK68" s="1429"/>
      <c r="AL68" s="1429"/>
      <c r="AM68" s="1429"/>
      <c r="AN68" s="1429"/>
      <c r="AO68" s="1454"/>
      <c r="AP68" s="1058"/>
      <c r="AQ68" s="1429"/>
      <c r="AR68" s="1429"/>
      <c r="AS68" s="1429"/>
      <c r="AT68" s="1429"/>
      <c r="AU68" s="1429"/>
      <c r="AV68" s="1429"/>
    </row>
    <row r="69" spans="1:48" ht="16.5" customHeight="1">
      <c r="A69" s="1370"/>
      <c r="B69" s="1370"/>
      <c r="C69" s="874">
        <v>0.75</v>
      </c>
      <c r="D69" s="1411"/>
      <c r="E69" s="1412"/>
      <c r="F69" s="876"/>
      <c r="G69" s="1033"/>
      <c r="H69" s="876"/>
      <c r="I69" s="878"/>
      <c r="J69" s="918">
        <v>0.75</v>
      </c>
      <c r="K69" s="919"/>
      <c r="L69" s="919"/>
      <c r="M69" s="1045"/>
      <c r="N69" s="919"/>
      <c r="O69" s="919"/>
      <c r="P69" s="920"/>
      <c r="Q69" s="1370"/>
      <c r="R69" s="1370"/>
      <c r="S69" s="874">
        <v>0.75</v>
      </c>
      <c r="T69" s="1431"/>
      <c r="U69" s="1431"/>
      <c r="V69" s="1431"/>
      <c r="W69" s="1431"/>
      <c r="X69" s="1431"/>
      <c r="Y69" s="1431"/>
      <c r="Z69" s="1009">
        <v>0.75</v>
      </c>
      <c r="AA69" s="919"/>
      <c r="AB69" s="919"/>
      <c r="AC69" s="919"/>
      <c r="AD69" s="919"/>
      <c r="AE69" s="919"/>
      <c r="AF69" s="920"/>
      <c r="AJ69" s="1453"/>
      <c r="AK69" s="1429"/>
      <c r="AL69" s="1429"/>
      <c r="AM69" s="1429"/>
      <c r="AN69" s="1429"/>
      <c r="AO69" s="1454"/>
      <c r="AP69" s="1058"/>
      <c r="AQ69" s="1429"/>
      <c r="AR69" s="1429"/>
      <c r="AS69" s="1429"/>
      <c r="AT69" s="1429"/>
      <c r="AU69" s="1429"/>
      <c r="AV69" s="1429"/>
    </row>
    <row r="70" spans="1:48" ht="16.5" customHeight="1">
      <c r="A70" s="1370"/>
      <c r="B70" s="1370"/>
      <c r="C70" s="879">
        <v>0.76041666666666663</v>
      </c>
      <c r="D70" s="1411"/>
      <c r="E70" s="1412"/>
      <c r="F70" s="864"/>
      <c r="G70" s="1035"/>
      <c r="H70" s="864"/>
      <c r="I70" s="865"/>
      <c r="J70" s="913">
        <v>0.76041666666666663</v>
      </c>
      <c r="K70" s="921"/>
      <c r="L70" s="921"/>
      <c r="M70" s="1046"/>
      <c r="N70" s="921"/>
      <c r="O70" s="921"/>
      <c r="P70" s="922"/>
      <c r="Q70" s="1370"/>
      <c r="R70" s="1370"/>
      <c r="S70" s="879">
        <v>0.76041666666666663</v>
      </c>
      <c r="T70" s="1431"/>
      <c r="U70" s="1431"/>
      <c r="V70" s="1431"/>
      <c r="W70" s="1431"/>
      <c r="X70" s="1431"/>
      <c r="Y70" s="1431"/>
      <c r="Z70" s="1006">
        <v>0.76041666666666663</v>
      </c>
      <c r="AA70" s="921"/>
      <c r="AB70" s="921"/>
      <c r="AC70" s="921"/>
      <c r="AD70" s="921"/>
      <c r="AE70" s="921"/>
      <c r="AF70" s="922"/>
      <c r="AJ70" s="1453"/>
      <c r="AK70" s="1429"/>
      <c r="AL70" s="1429"/>
      <c r="AM70" s="1429"/>
      <c r="AN70" s="1429"/>
      <c r="AO70" s="1454"/>
      <c r="AP70" s="1058"/>
      <c r="AQ70" s="1429"/>
      <c r="AR70" s="1429"/>
      <c r="AS70" s="1429"/>
      <c r="AT70" s="1429"/>
      <c r="AU70" s="1429"/>
      <c r="AV70" s="1429"/>
    </row>
    <row r="71" spans="1:48" ht="16.5" customHeight="1">
      <c r="A71" s="1370"/>
      <c r="B71" s="1370"/>
      <c r="C71" s="880">
        <v>0.77083333333333337</v>
      </c>
      <c r="D71" s="1411"/>
      <c r="E71" s="1412"/>
      <c r="F71" s="864"/>
      <c r="G71" s="1035"/>
      <c r="H71" s="864"/>
      <c r="I71" s="865"/>
      <c r="J71" s="914">
        <v>0.77083333333333337</v>
      </c>
      <c r="K71" s="921"/>
      <c r="L71" s="921"/>
      <c r="M71" s="1046"/>
      <c r="N71" s="921"/>
      <c r="O71" s="921"/>
      <c r="P71" s="922"/>
      <c r="Q71" s="1370"/>
      <c r="R71" s="1370"/>
      <c r="S71" s="880">
        <v>0.77083333333333337</v>
      </c>
      <c r="T71" s="1416" t="s">
        <v>3105</v>
      </c>
      <c r="U71" s="1417"/>
      <c r="V71" s="1417"/>
      <c r="W71" s="1417"/>
      <c r="X71" s="1417"/>
      <c r="Y71" s="1421"/>
      <c r="Z71" s="1007">
        <v>0.77083333333333337</v>
      </c>
      <c r="AA71" s="921"/>
      <c r="AB71" s="921"/>
      <c r="AC71" s="921"/>
      <c r="AD71" s="921"/>
      <c r="AE71" s="921"/>
      <c r="AF71" s="922"/>
      <c r="AJ71" s="1453"/>
      <c r="AK71" s="1429"/>
      <c r="AL71" s="1429"/>
      <c r="AM71" s="1429"/>
      <c r="AN71" s="1429"/>
      <c r="AO71" s="1454"/>
      <c r="AP71" s="1058"/>
      <c r="AQ71" s="1430" t="s">
        <v>3186</v>
      </c>
      <c r="AR71" s="1430"/>
      <c r="AS71" s="1430"/>
      <c r="AT71" s="1430"/>
      <c r="AU71" s="1430"/>
      <c r="AV71" s="1430"/>
    </row>
    <row r="72" spans="1:48" ht="16.5" customHeight="1" thickBot="1">
      <c r="A72" s="1370"/>
      <c r="B72" s="1338"/>
      <c r="C72" s="869">
        <v>0.78125</v>
      </c>
      <c r="D72" s="1433"/>
      <c r="E72" s="1434"/>
      <c r="F72" s="871"/>
      <c r="G72" s="1037"/>
      <c r="H72" s="871"/>
      <c r="I72" s="873"/>
      <c r="J72" s="923">
        <v>0.78125</v>
      </c>
      <c r="K72" s="916"/>
      <c r="L72" s="916"/>
      <c r="M72" s="1044"/>
      <c r="N72" s="916"/>
      <c r="O72" s="916"/>
      <c r="P72" s="917"/>
      <c r="Q72" s="1370"/>
      <c r="R72" s="1338"/>
      <c r="S72" s="869">
        <v>0.78125</v>
      </c>
      <c r="T72" s="1418"/>
      <c r="U72" s="1419"/>
      <c r="V72" s="1419"/>
      <c r="W72" s="1419"/>
      <c r="X72" s="1419"/>
      <c r="Y72" s="1423"/>
      <c r="Z72" s="1010">
        <v>0.78125</v>
      </c>
      <c r="AA72" s="924"/>
      <c r="AB72" s="916"/>
      <c r="AC72" s="916"/>
      <c r="AD72" s="916"/>
      <c r="AE72" s="916"/>
      <c r="AF72" s="917"/>
      <c r="AJ72" s="1467"/>
      <c r="AK72" s="1468"/>
      <c r="AL72" s="1468"/>
      <c r="AM72" s="1468"/>
      <c r="AN72" s="1468"/>
      <c r="AO72" s="1469"/>
      <c r="AP72" s="1058"/>
      <c r="AQ72" s="1430"/>
      <c r="AR72" s="1430"/>
      <c r="AS72" s="1430"/>
      <c r="AT72" s="1430"/>
      <c r="AU72" s="1430"/>
      <c r="AV72" s="1430"/>
    </row>
    <row r="73" spans="1:48" ht="16.5" customHeight="1">
      <c r="A73" s="1370"/>
      <c r="B73" s="855"/>
      <c r="C73" s="904">
        <v>0.79166666666666663</v>
      </c>
      <c r="D73" s="875"/>
      <c r="E73" s="876"/>
      <c r="F73" s="876"/>
      <c r="G73" s="1033"/>
      <c r="H73" s="876"/>
      <c r="I73" s="876"/>
      <c r="J73" s="905">
        <v>0.79166666666666663</v>
      </c>
      <c r="K73" s="919"/>
      <c r="L73" s="919"/>
      <c r="M73" s="1045"/>
      <c r="N73" s="919"/>
      <c r="O73" s="919"/>
      <c r="P73" s="920"/>
      <c r="Q73" s="1370"/>
      <c r="R73" s="855"/>
      <c r="S73" s="904">
        <v>0.79166666666666663</v>
      </c>
      <c r="T73" s="1438" t="s">
        <v>3115</v>
      </c>
      <c r="U73" s="1439"/>
      <c r="V73" s="1439"/>
      <c r="W73" s="1439"/>
      <c r="X73" s="1439"/>
      <c r="Y73" s="1440"/>
      <c r="Z73" s="1001">
        <v>0.79166666666666663</v>
      </c>
      <c r="AA73" s="919"/>
      <c r="AB73" s="919"/>
      <c r="AC73" s="919"/>
      <c r="AD73" s="919"/>
      <c r="AE73" s="919"/>
      <c r="AF73" s="920"/>
      <c r="AJ73" s="1058"/>
      <c r="AK73" s="1058"/>
      <c r="AL73" s="1058"/>
      <c r="AM73" s="1058"/>
      <c r="AN73" s="1058"/>
      <c r="AO73" s="1058"/>
      <c r="AP73" s="1058"/>
      <c r="AQ73" s="1430"/>
      <c r="AR73" s="1430"/>
      <c r="AS73" s="1430"/>
      <c r="AT73" s="1430"/>
      <c r="AU73" s="1430"/>
      <c r="AV73" s="1430"/>
    </row>
    <row r="74" spans="1:48" ht="16.5" customHeight="1">
      <c r="A74" s="1370"/>
      <c r="B74" s="861"/>
      <c r="C74" s="906">
        <v>0.80208333333333337</v>
      </c>
      <c r="D74" s="863"/>
      <c r="E74" s="864"/>
      <c r="F74" s="864"/>
      <c r="G74" s="1035"/>
      <c r="H74" s="864"/>
      <c r="I74" s="864"/>
      <c r="J74" s="907">
        <v>0.80208333333333337</v>
      </c>
      <c r="K74" s="921"/>
      <c r="L74" s="921"/>
      <c r="M74" s="1046"/>
      <c r="N74" s="921"/>
      <c r="O74" s="921"/>
      <c r="P74" s="922"/>
      <c r="Q74" s="1370"/>
      <c r="R74" s="861"/>
      <c r="S74" s="906">
        <v>0.80208333333333337</v>
      </c>
      <c r="T74" s="1435" t="s">
        <v>3106</v>
      </c>
      <c r="U74" s="1435"/>
      <c r="V74" s="1436"/>
      <c r="W74" s="1437" t="s">
        <v>3107</v>
      </c>
      <c r="X74" s="1435"/>
      <c r="Y74" s="1435"/>
      <c r="Z74" s="1002">
        <v>0.80208333333333337</v>
      </c>
      <c r="AA74" s="921"/>
      <c r="AB74" s="921"/>
      <c r="AC74" s="921"/>
      <c r="AD74" s="921"/>
      <c r="AE74" s="921"/>
      <c r="AF74" s="922"/>
      <c r="AJ74" s="1429" t="s">
        <v>3194</v>
      </c>
      <c r="AK74" s="1429"/>
      <c r="AL74" s="1429"/>
      <c r="AM74" s="1429"/>
      <c r="AN74" s="1429"/>
      <c r="AO74" s="1429"/>
      <c r="AP74" s="1058"/>
      <c r="AQ74" s="1430"/>
      <c r="AR74" s="1430"/>
      <c r="AS74" s="1430"/>
      <c r="AT74" s="1430"/>
      <c r="AU74" s="1430"/>
      <c r="AV74" s="1430"/>
    </row>
    <row r="75" spans="1:48" ht="16.5" customHeight="1">
      <c r="A75" s="1370"/>
      <c r="B75" s="866"/>
      <c r="C75" s="908">
        <v>0.8125</v>
      </c>
      <c r="D75" s="863"/>
      <c r="E75" s="864"/>
      <c r="F75" s="864"/>
      <c r="G75" s="1035"/>
      <c r="H75" s="864"/>
      <c r="I75" s="864"/>
      <c r="J75" s="909">
        <v>0.8125</v>
      </c>
      <c r="K75" s="921"/>
      <c r="L75" s="921"/>
      <c r="M75" s="1046"/>
      <c r="N75" s="921"/>
      <c r="O75" s="921"/>
      <c r="P75" s="922"/>
      <c r="Q75" s="1370"/>
      <c r="R75" s="866"/>
      <c r="S75" s="908">
        <v>0.8125</v>
      </c>
      <c r="T75" s="1435"/>
      <c r="U75" s="1435"/>
      <c r="V75" s="1436"/>
      <c r="W75" s="1437"/>
      <c r="X75" s="1435"/>
      <c r="Y75" s="1435"/>
      <c r="Z75" s="1003">
        <v>0.8125</v>
      </c>
      <c r="AA75" s="921"/>
      <c r="AB75" s="921"/>
      <c r="AC75" s="921"/>
      <c r="AD75" s="921"/>
      <c r="AE75" s="921"/>
      <c r="AF75" s="922"/>
      <c r="AJ75" s="1429"/>
      <c r="AK75" s="1429"/>
      <c r="AL75" s="1429"/>
      <c r="AM75" s="1429"/>
      <c r="AN75" s="1429"/>
      <c r="AO75" s="1429"/>
      <c r="AP75" s="1058"/>
      <c r="AQ75" s="1429" t="s">
        <v>3187</v>
      </c>
      <c r="AR75" s="1429"/>
      <c r="AS75" s="1429"/>
      <c r="AT75" s="1429"/>
      <c r="AU75" s="1429"/>
      <c r="AV75" s="1429"/>
    </row>
    <row r="76" spans="1:48" ht="16.5" customHeight="1">
      <c r="A76" s="1370"/>
      <c r="B76" s="866"/>
      <c r="C76" s="925">
        <v>0.82291666666666663</v>
      </c>
      <c r="D76" s="870"/>
      <c r="E76" s="871"/>
      <c r="F76" s="871"/>
      <c r="G76" s="1037"/>
      <c r="H76" s="871"/>
      <c r="I76" s="871"/>
      <c r="J76" s="926">
        <v>0.82291666666666663</v>
      </c>
      <c r="K76" s="916"/>
      <c r="L76" s="916"/>
      <c r="M76" s="1044"/>
      <c r="N76" s="916"/>
      <c r="O76" s="916"/>
      <c r="P76" s="917"/>
      <c r="Q76" s="1370"/>
      <c r="R76" s="866"/>
      <c r="S76" s="925">
        <v>0.82291666666666663</v>
      </c>
      <c r="T76" s="1435"/>
      <c r="U76" s="1435"/>
      <c r="V76" s="1436"/>
      <c r="W76" s="1437"/>
      <c r="X76" s="1435"/>
      <c r="Y76" s="1435"/>
      <c r="Z76" s="1011">
        <v>0.82291666666666663</v>
      </c>
      <c r="AA76" s="916"/>
      <c r="AB76" s="916"/>
      <c r="AC76" s="916"/>
      <c r="AD76" s="916"/>
      <c r="AE76" s="916"/>
      <c r="AF76" s="917"/>
      <c r="AJ76" s="1429"/>
      <c r="AK76" s="1429"/>
      <c r="AL76" s="1429"/>
      <c r="AM76" s="1429"/>
      <c r="AN76" s="1429"/>
      <c r="AO76" s="1429"/>
      <c r="AP76" s="1058"/>
      <c r="AQ76" s="1429"/>
      <c r="AR76" s="1429"/>
      <c r="AS76" s="1429"/>
      <c r="AT76" s="1429"/>
      <c r="AU76" s="1429"/>
      <c r="AV76" s="1429"/>
    </row>
    <row r="77" spans="1:48" ht="16.5" customHeight="1">
      <c r="A77" s="1370"/>
      <c r="B77" s="927"/>
      <c r="C77" s="928">
        <v>0.83333333333333337</v>
      </c>
      <c r="D77" s="875"/>
      <c r="E77" s="876"/>
      <c r="F77" s="876"/>
      <c r="G77" s="1033"/>
      <c r="H77" s="876"/>
      <c r="I77" s="876"/>
      <c r="J77" s="929">
        <v>0.83333333333333337</v>
      </c>
      <c r="K77" s="919"/>
      <c r="L77" s="919"/>
      <c r="M77" s="1045"/>
      <c r="N77" s="919"/>
      <c r="O77" s="919"/>
      <c r="P77" s="920"/>
      <c r="Q77" s="1370"/>
      <c r="R77" s="927"/>
      <c r="S77" s="928">
        <v>0.83333333333333337</v>
      </c>
      <c r="T77" s="1441" t="s">
        <v>3115</v>
      </c>
      <c r="U77" s="1439"/>
      <c r="V77" s="1439"/>
      <c r="W77" s="1439"/>
      <c r="X77" s="1439"/>
      <c r="Y77" s="1442"/>
      <c r="Z77" s="929">
        <v>0.83333333333333337</v>
      </c>
      <c r="AA77" s="919"/>
      <c r="AB77" s="919"/>
      <c r="AC77" s="919"/>
      <c r="AD77" s="919"/>
      <c r="AE77" s="919"/>
      <c r="AF77" s="920"/>
      <c r="AJ77" s="1429"/>
      <c r="AK77" s="1429"/>
      <c r="AL77" s="1429"/>
      <c r="AM77" s="1429"/>
      <c r="AN77" s="1429"/>
      <c r="AO77" s="1429"/>
      <c r="AP77" s="1058"/>
      <c r="AQ77" s="1429"/>
      <c r="AR77" s="1429"/>
      <c r="AS77" s="1429"/>
      <c r="AT77" s="1429"/>
      <c r="AU77" s="1429"/>
      <c r="AV77" s="1429"/>
    </row>
    <row r="78" spans="1:48" ht="16.5" customHeight="1">
      <c r="A78" s="1370"/>
      <c r="B78" s="866"/>
      <c r="C78" s="908">
        <v>0.84375</v>
      </c>
      <c r="D78" s="863"/>
      <c r="E78" s="864"/>
      <c r="F78" s="864"/>
      <c r="G78" s="1035"/>
      <c r="H78" s="864"/>
      <c r="I78" s="864"/>
      <c r="J78" s="909">
        <v>0.84375</v>
      </c>
      <c r="K78" s="921"/>
      <c r="L78" s="921"/>
      <c r="M78" s="1046"/>
      <c r="N78" s="921"/>
      <c r="O78" s="921"/>
      <c r="P78" s="922"/>
      <c r="Q78" s="1370"/>
      <c r="R78" s="866"/>
      <c r="S78" s="908">
        <v>0.84375</v>
      </c>
      <c r="T78" s="1431" t="s">
        <v>3043</v>
      </c>
      <c r="U78" s="1431"/>
      <c r="V78" s="1431"/>
      <c r="W78" s="1431"/>
      <c r="X78" s="1431"/>
      <c r="Y78" s="1431"/>
      <c r="Z78" s="1003">
        <v>0.84375</v>
      </c>
      <c r="AA78" s="921"/>
      <c r="AB78" s="921"/>
      <c r="AC78" s="921"/>
      <c r="AD78" s="921"/>
      <c r="AE78" s="921"/>
      <c r="AF78" s="922"/>
      <c r="AJ78" s="1430" t="s">
        <v>3193</v>
      </c>
      <c r="AK78" s="1430"/>
      <c r="AL78" s="1430"/>
      <c r="AM78" s="1430"/>
      <c r="AN78" s="1430"/>
      <c r="AO78" s="1430"/>
      <c r="AP78" s="1058"/>
      <c r="AQ78" s="1429"/>
      <c r="AR78" s="1429"/>
      <c r="AS78" s="1429"/>
      <c r="AT78" s="1429"/>
      <c r="AU78" s="1429"/>
      <c r="AV78" s="1429"/>
    </row>
    <row r="79" spans="1:48" ht="16.5" customHeight="1">
      <c r="A79" s="1370"/>
      <c r="B79" s="861"/>
      <c r="C79" s="906">
        <v>0.85416666666666663</v>
      </c>
      <c r="D79" s="863"/>
      <c r="E79" s="864"/>
      <c r="F79" s="864"/>
      <c r="G79" s="1035"/>
      <c r="H79" s="864"/>
      <c r="I79" s="864"/>
      <c r="J79" s="907">
        <v>0.85416666666666663</v>
      </c>
      <c r="K79" s="921"/>
      <c r="L79" s="921"/>
      <c r="M79" s="1046"/>
      <c r="N79" s="921"/>
      <c r="O79" s="921"/>
      <c r="P79" s="922"/>
      <c r="Q79" s="1370"/>
      <c r="R79" s="861"/>
      <c r="S79" s="906">
        <v>0.85416666666666663</v>
      </c>
      <c r="T79" s="1431"/>
      <c r="U79" s="1431"/>
      <c r="V79" s="1431"/>
      <c r="W79" s="1431"/>
      <c r="X79" s="1431"/>
      <c r="Y79" s="1431"/>
      <c r="Z79" s="1002">
        <v>0.85416666666666663</v>
      </c>
      <c r="AA79" s="921"/>
      <c r="AB79" s="921"/>
      <c r="AC79" s="921"/>
      <c r="AD79" s="921"/>
      <c r="AE79" s="921"/>
      <c r="AF79" s="922"/>
      <c r="AJ79" s="1430"/>
      <c r="AK79" s="1430"/>
      <c r="AL79" s="1430"/>
      <c r="AM79" s="1430"/>
      <c r="AN79" s="1430"/>
      <c r="AO79" s="1430"/>
      <c r="AP79" s="1058"/>
      <c r="AQ79" s="1429"/>
      <c r="AR79" s="1429"/>
      <c r="AS79" s="1429"/>
      <c r="AT79" s="1429"/>
      <c r="AU79" s="1429"/>
      <c r="AV79" s="1429"/>
    </row>
    <row r="80" spans="1:48" ht="16.5" customHeight="1">
      <c r="A80" s="1370"/>
      <c r="B80" s="866"/>
      <c r="C80" s="925">
        <v>0.86458333333333337</v>
      </c>
      <c r="D80" s="870"/>
      <c r="E80" s="871"/>
      <c r="F80" s="871"/>
      <c r="G80" s="1037"/>
      <c r="H80" s="871"/>
      <c r="I80" s="871"/>
      <c r="J80" s="926">
        <v>0.86458333333333337</v>
      </c>
      <c r="K80" s="916"/>
      <c r="L80" s="916"/>
      <c r="M80" s="1044"/>
      <c r="N80" s="916"/>
      <c r="O80" s="916"/>
      <c r="P80" s="917"/>
      <c r="Q80" s="1370"/>
      <c r="R80" s="866"/>
      <c r="S80" s="925">
        <v>0.86458333333333337</v>
      </c>
      <c r="T80" s="1431"/>
      <c r="U80" s="1431"/>
      <c r="V80" s="1431"/>
      <c r="W80" s="1431"/>
      <c r="X80" s="1431"/>
      <c r="Y80" s="1431"/>
      <c r="Z80" s="1011">
        <v>0.86458333333333337</v>
      </c>
      <c r="AA80" s="916"/>
      <c r="AB80" s="916"/>
      <c r="AC80" s="916"/>
      <c r="AD80" s="916"/>
      <c r="AE80" s="916"/>
      <c r="AF80" s="917"/>
      <c r="AJ80" s="1058"/>
      <c r="AK80" s="1058"/>
      <c r="AL80" s="1058"/>
      <c r="AM80" s="1058"/>
      <c r="AN80" s="1058"/>
      <c r="AO80" s="1058"/>
      <c r="AP80" s="1058"/>
      <c r="AQ80" s="1429"/>
      <c r="AR80" s="1429"/>
      <c r="AS80" s="1429"/>
      <c r="AT80" s="1429"/>
      <c r="AU80" s="1429"/>
      <c r="AV80" s="1429"/>
    </row>
    <row r="81" spans="1:48" ht="16.5" customHeight="1">
      <c r="A81" s="1370"/>
      <c r="B81" s="927"/>
      <c r="C81" s="928">
        <v>0.875</v>
      </c>
      <c r="D81" s="875"/>
      <c r="E81" s="876"/>
      <c r="F81" s="876"/>
      <c r="G81" s="1033"/>
      <c r="H81" s="876"/>
      <c r="I81" s="876"/>
      <c r="J81" s="929">
        <v>0.875</v>
      </c>
      <c r="K81" s="919"/>
      <c r="L81" s="919"/>
      <c r="M81" s="1045"/>
      <c r="N81" s="919"/>
      <c r="O81" s="919"/>
      <c r="P81" s="920"/>
      <c r="Q81" s="1370"/>
      <c r="R81" s="927"/>
      <c r="S81" s="928">
        <v>0.875</v>
      </c>
      <c r="T81" s="1431" t="s">
        <v>3108</v>
      </c>
      <c r="U81" s="1431"/>
      <c r="V81" s="1431"/>
      <c r="W81" s="1431"/>
      <c r="X81" s="1431"/>
      <c r="Y81" s="1431"/>
      <c r="Z81" s="1012">
        <v>0.875</v>
      </c>
      <c r="AA81" s="919"/>
      <c r="AB81" s="919"/>
      <c r="AC81" s="919"/>
      <c r="AD81" s="919"/>
      <c r="AE81" s="919"/>
      <c r="AF81" s="920"/>
      <c r="AJ81" s="1430" t="s">
        <v>3222</v>
      </c>
      <c r="AK81" s="1430"/>
      <c r="AL81" s="1430"/>
      <c r="AM81" s="1430"/>
      <c r="AN81" s="1430"/>
      <c r="AO81" s="1430"/>
      <c r="AP81" s="1058"/>
      <c r="AQ81" s="1429"/>
      <c r="AR81" s="1429"/>
      <c r="AS81" s="1429"/>
      <c r="AT81" s="1429"/>
      <c r="AU81" s="1429"/>
      <c r="AV81" s="1429"/>
    </row>
    <row r="82" spans="1:48" ht="16.5" customHeight="1">
      <c r="A82" s="1370"/>
      <c r="B82" s="866"/>
      <c r="C82" s="908">
        <v>0.88541666666666663</v>
      </c>
      <c r="D82" s="863"/>
      <c r="E82" s="864"/>
      <c r="F82" s="864"/>
      <c r="G82" s="1035"/>
      <c r="H82" s="864"/>
      <c r="I82" s="864"/>
      <c r="J82" s="909">
        <v>0.88541666666666663</v>
      </c>
      <c r="K82" s="921"/>
      <c r="L82" s="921"/>
      <c r="M82" s="1046"/>
      <c r="N82" s="921"/>
      <c r="O82" s="921"/>
      <c r="P82" s="922"/>
      <c r="Q82" s="1370"/>
      <c r="R82" s="866"/>
      <c r="S82" s="908">
        <v>0.88541666666666663</v>
      </c>
      <c r="T82" s="1431"/>
      <c r="U82" s="1431"/>
      <c r="V82" s="1431"/>
      <c r="W82" s="1431"/>
      <c r="X82" s="1431"/>
      <c r="Y82" s="1431"/>
      <c r="Z82" s="1003">
        <v>0.88541666666666663</v>
      </c>
      <c r="AA82" s="921"/>
      <c r="AB82" s="921"/>
      <c r="AC82" s="921"/>
      <c r="AD82" s="921"/>
      <c r="AE82" s="921"/>
      <c r="AF82" s="922"/>
      <c r="AJ82" s="1430"/>
      <c r="AK82" s="1430"/>
      <c r="AL82" s="1430"/>
      <c r="AM82" s="1430"/>
      <c r="AN82" s="1430"/>
      <c r="AO82" s="1430"/>
      <c r="AP82" s="1058"/>
      <c r="AQ82" s="1429"/>
      <c r="AR82" s="1429"/>
      <c r="AS82" s="1429"/>
      <c r="AT82" s="1429"/>
      <c r="AU82" s="1429"/>
      <c r="AV82" s="1429"/>
    </row>
    <row r="83" spans="1:48" ht="16.5" customHeight="1">
      <c r="A83" s="1370"/>
      <c r="B83" s="861"/>
      <c r="C83" s="906">
        <v>0.89583333333333337</v>
      </c>
      <c r="D83" s="863"/>
      <c r="E83" s="864"/>
      <c r="F83" s="864"/>
      <c r="G83" s="1035"/>
      <c r="H83" s="864"/>
      <c r="I83" s="864"/>
      <c r="J83" s="907">
        <v>0.89583333333333337</v>
      </c>
      <c r="K83" s="921"/>
      <c r="L83" s="921"/>
      <c r="M83" s="1046"/>
      <c r="N83" s="921"/>
      <c r="O83" s="921"/>
      <c r="P83" s="922"/>
      <c r="Q83" s="1370"/>
      <c r="R83" s="861"/>
      <c r="S83" s="906">
        <v>0.89583333333333337</v>
      </c>
      <c r="T83" s="1431" t="s">
        <v>3044</v>
      </c>
      <c r="U83" s="1431"/>
      <c r="V83" s="1431"/>
      <c r="W83" s="1431"/>
      <c r="X83" s="1431"/>
      <c r="Y83" s="1431"/>
      <c r="Z83" s="1002">
        <v>0.89583333333333337</v>
      </c>
      <c r="AA83" s="921"/>
      <c r="AB83" s="921"/>
      <c r="AC83" s="921"/>
      <c r="AD83" s="921"/>
      <c r="AE83" s="921"/>
      <c r="AF83" s="922"/>
      <c r="AJ83" s="1430"/>
      <c r="AK83" s="1430"/>
      <c r="AL83" s="1430"/>
      <c r="AM83" s="1430"/>
      <c r="AN83" s="1430"/>
      <c r="AO83" s="1430"/>
      <c r="AP83" s="1058"/>
      <c r="AQ83" s="1429"/>
      <c r="AR83" s="1429"/>
      <c r="AS83" s="1429"/>
      <c r="AT83" s="1429"/>
      <c r="AU83" s="1429"/>
      <c r="AV83" s="1429"/>
    </row>
    <row r="84" spans="1:48" ht="16.5" customHeight="1">
      <c r="A84" s="1338"/>
      <c r="B84" s="866"/>
      <c r="C84" s="925">
        <v>0.90625</v>
      </c>
      <c r="D84" s="870"/>
      <c r="E84" s="871"/>
      <c r="F84" s="871"/>
      <c r="G84" s="1037"/>
      <c r="H84" s="871"/>
      <c r="I84" s="871"/>
      <c r="J84" s="926">
        <v>0.90625</v>
      </c>
      <c r="K84" s="916"/>
      <c r="L84" s="916"/>
      <c r="M84" s="1044"/>
      <c r="N84" s="916"/>
      <c r="O84" s="916"/>
      <c r="P84" s="917"/>
      <c r="Q84" s="1338"/>
      <c r="R84" s="866"/>
      <c r="S84" s="925">
        <v>0.90625</v>
      </c>
      <c r="T84" s="1431"/>
      <c r="U84" s="1431"/>
      <c r="V84" s="1431"/>
      <c r="W84" s="1431"/>
      <c r="X84" s="1431"/>
      <c r="Y84" s="1431"/>
      <c r="Z84" s="1011">
        <v>0.90625</v>
      </c>
      <c r="AA84" s="916"/>
      <c r="AB84" s="916"/>
      <c r="AC84" s="916"/>
      <c r="AD84" s="916"/>
      <c r="AE84" s="916"/>
      <c r="AF84" s="917"/>
      <c r="AJ84" s="1430"/>
      <c r="AK84" s="1430"/>
      <c r="AL84" s="1430"/>
      <c r="AM84" s="1430"/>
      <c r="AN84" s="1430"/>
      <c r="AO84" s="1430"/>
    </row>
    <row r="85" spans="1:48" ht="16.5" customHeight="1">
      <c r="A85" s="930"/>
      <c r="B85" s="1369" t="s">
        <v>3036</v>
      </c>
      <c r="C85" s="848">
        <v>0.91666666666666663</v>
      </c>
      <c r="D85" s="1371" t="s">
        <v>3037</v>
      </c>
      <c r="E85" s="1372"/>
      <c r="F85" s="1372"/>
      <c r="G85" s="1372"/>
      <c r="H85" s="1372"/>
      <c r="I85" s="1373"/>
      <c r="J85" s="848">
        <v>0.91666666666666663</v>
      </c>
      <c r="K85" s="1371" t="s">
        <v>3037</v>
      </c>
      <c r="L85" s="1372"/>
      <c r="M85" s="1372"/>
      <c r="N85" s="1372"/>
      <c r="O85" s="1372"/>
      <c r="P85" s="1373"/>
      <c r="Q85" s="930"/>
      <c r="R85" s="1369" t="s">
        <v>3036</v>
      </c>
      <c r="S85" s="848">
        <v>0.91666666666666663</v>
      </c>
      <c r="T85" s="1374" t="s">
        <v>3037</v>
      </c>
      <c r="U85" s="1375"/>
      <c r="V85" s="1375"/>
      <c r="W85" s="1375"/>
      <c r="X85" s="1375"/>
      <c r="Y85" s="1376"/>
      <c r="Z85" s="848">
        <v>0.91666666666666663</v>
      </c>
      <c r="AA85" s="1470" t="s">
        <v>3037</v>
      </c>
      <c r="AB85" s="1471"/>
      <c r="AC85" s="1471"/>
      <c r="AD85" s="1471"/>
      <c r="AE85" s="1471"/>
      <c r="AF85" s="1472"/>
      <c r="AJ85" s="1430" t="s">
        <v>3223</v>
      </c>
      <c r="AK85" s="1430"/>
      <c r="AL85" s="1430"/>
      <c r="AM85" s="1430"/>
      <c r="AN85" s="1430"/>
      <c r="AO85" s="1430"/>
    </row>
    <row r="86" spans="1:48" ht="16.5" customHeight="1">
      <c r="A86" s="930"/>
      <c r="B86" s="1370"/>
      <c r="C86" s="850">
        <v>0.92708333333333337</v>
      </c>
      <c r="D86" s="1374"/>
      <c r="E86" s="1375"/>
      <c r="F86" s="1375"/>
      <c r="G86" s="1375"/>
      <c r="H86" s="1375"/>
      <c r="I86" s="1376"/>
      <c r="J86" s="850">
        <v>0.92708333333333337</v>
      </c>
      <c r="K86" s="1374"/>
      <c r="L86" s="1375"/>
      <c r="M86" s="1375"/>
      <c r="N86" s="1375"/>
      <c r="O86" s="1375"/>
      <c r="P86" s="1376"/>
      <c r="Q86" s="930"/>
      <c r="R86" s="1370"/>
      <c r="S86" s="850">
        <v>0.92708333333333337</v>
      </c>
      <c r="T86" s="1374"/>
      <c r="U86" s="1375"/>
      <c r="V86" s="1375"/>
      <c r="W86" s="1375"/>
      <c r="X86" s="1375"/>
      <c r="Y86" s="1376"/>
      <c r="Z86" s="850">
        <v>0.92708333333333337</v>
      </c>
      <c r="AA86" s="1473"/>
      <c r="AB86" s="1474"/>
      <c r="AC86" s="1474"/>
      <c r="AD86" s="1474"/>
      <c r="AE86" s="1474"/>
      <c r="AF86" s="1475"/>
      <c r="AJ86" s="1430"/>
      <c r="AK86" s="1430"/>
      <c r="AL86" s="1430"/>
      <c r="AM86" s="1430"/>
      <c r="AN86" s="1430"/>
      <c r="AO86" s="1430"/>
    </row>
    <row r="87" spans="1:48" ht="16.5" customHeight="1">
      <c r="A87" s="930"/>
      <c r="B87" s="1370"/>
      <c r="C87" s="852">
        <v>0.9375</v>
      </c>
      <c r="D87" s="1374"/>
      <c r="E87" s="1375"/>
      <c r="F87" s="1375"/>
      <c r="G87" s="1375"/>
      <c r="H87" s="1375"/>
      <c r="I87" s="1376"/>
      <c r="J87" s="852">
        <v>0.9375</v>
      </c>
      <c r="K87" s="1374"/>
      <c r="L87" s="1375"/>
      <c r="M87" s="1375"/>
      <c r="N87" s="1375"/>
      <c r="O87" s="1375"/>
      <c r="P87" s="1376"/>
      <c r="Q87" s="930"/>
      <c r="R87" s="1370"/>
      <c r="S87" s="852">
        <v>0.9375</v>
      </c>
      <c r="T87" s="1374"/>
      <c r="U87" s="1375"/>
      <c r="V87" s="1375"/>
      <c r="W87" s="1375"/>
      <c r="X87" s="1375"/>
      <c r="Y87" s="1376"/>
      <c r="Z87" s="852">
        <v>0.9375</v>
      </c>
      <c r="AA87" s="1473"/>
      <c r="AB87" s="1474"/>
      <c r="AC87" s="1474"/>
      <c r="AD87" s="1474"/>
      <c r="AE87" s="1474"/>
      <c r="AF87" s="1475"/>
    </row>
    <row r="88" spans="1:48" ht="16.5" customHeight="1">
      <c r="A88" s="930"/>
      <c r="B88" s="1338"/>
      <c r="C88" s="854">
        <v>0.94791666666666663</v>
      </c>
      <c r="D88" s="1377"/>
      <c r="E88" s="1378"/>
      <c r="F88" s="1378"/>
      <c r="G88" s="1378"/>
      <c r="H88" s="1378"/>
      <c r="I88" s="1379"/>
      <c r="J88" s="854">
        <v>0.94791666666666663</v>
      </c>
      <c r="K88" s="1377"/>
      <c r="L88" s="1378"/>
      <c r="M88" s="1378"/>
      <c r="N88" s="1378"/>
      <c r="O88" s="1378"/>
      <c r="P88" s="1379"/>
      <c r="Q88" s="930"/>
      <c r="R88" s="1338"/>
      <c r="S88" s="854">
        <v>0.94791666666666663</v>
      </c>
      <c r="T88" s="1377"/>
      <c r="U88" s="1378"/>
      <c r="V88" s="1378"/>
      <c r="W88" s="1378"/>
      <c r="X88" s="1378"/>
      <c r="Y88" s="1379"/>
      <c r="Z88" s="854">
        <v>0.94791666666666663</v>
      </c>
      <c r="AA88" s="1476"/>
      <c r="AB88" s="1477"/>
      <c r="AC88" s="1477"/>
      <c r="AD88" s="1477"/>
      <c r="AE88" s="1477"/>
      <c r="AF88" s="1478"/>
    </row>
    <row r="89" spans="1:48" ht="15">
      <c r="D89" s="833"/>
      <c r="E89" s="833"/>
      <c r="F89" s="833"/>
      <c r="G89" s="833"/>
      <c r="H89" s="833"/>
      <c r="I89" s="833"/>
      <c r="J89" s="833"/>
      <c r="K89" s="833"/>
      <c r="L89" s="833"/>
      <c r="M89" s="833"/>
      <c r="N89" s="833"/>
      <c r="O89" s="833"/>
      <c r="P89" s="833"/>
      <c r="T89" s="833"/>
      <c r="U89" s="833"/>
      <c r="V89" s="833"/>
      <c r="W89" s="833"/>
      <c r="X89" s="833"/>
      <c r="Y89" s="833"/>
      <c r="Z89" s="833"/>
      <c r="AA89" s="833"/>
      <c r="AB89" s="833"/>
      <c r="AC89" s="833"/>
      <c r="AD89" s="833"/>
      <c r="AE89" s="833"/>
      <c r="AF89" s="833"/>
    </row>
    <row r="90" spans="1:48" ht="46.5" customHeight="1">
      <c r="A90" s="834"/>
      <c r="B90" s="834"/>
      <c r="C90" s="1319" t="s">
        <v>3022</v>
      </c>
      <c r="D90" s="1320"/>
      <c r="E90" s="1320"/>
      <c r="F90" s="1320"/>
      <c r="G90" s="1320"/>
      <c r="H90" s="1320"/>
      <c r="I90" s="1320"/>
      <c r="J90" s="1320"/>
      <c r="K90" s="1320"/>
      <c r="L90" s="1320"/>
      <c r="M90" s="1320"/>
      <c r="N90" s="1320"/>
      <c r="O90" s="1320"/>
      <c r="P90" s="1320"/>
      <c r="Q90" s="834"/>
      <c r="R90" s="834"/>
      <c r="S90" s="1319" t="s">
        <v>3022</v>
      </c>
      <c r="T90" s="1320"/>
      <c r="U90" s="1320"/>
      <c r="V90" s="1320"/>
      <c r="W90" s="1320"/>
      <c r="X90" s="1320"/>
      <c r="Y90" s="1320"/>
      <c r="Z90" s="1320"/>
      <c r="AA90" s="1320"/>
      <c r="AB90" s="1320"/>
      <c r="AC90" s="1320"/>
      <c r="AD90" s="1320"/>
      <c r="AE90" s="1320"/>
      <c r="AF90" s="1320"/>
    </row>
    <row r="91" spans="1:48" ht="15">
      <c r="E91" s="833"/>
      <c r="F91" s="833"/>
      <c r="G91" s="833"/>
      <c r="H91" s="833"/>
      <c r="I91" s="833"/>
      <c r="J91" s="833"/>
      <c r="K91" s="833"/>
      <c r="L91" s="833"/>
      <c r="M91" s="833"/>
      <c r="N91" s="833"/>
      <c r="O91" s="833"/>
      <c r="P91" s="833"/>
      <c r="U91" s="833"/>
      <c r="V91" s="833"/>
      <c r="W91" s="833"/>
      <c r="X91" s="833"/>
      <c r="Y91" s="833"/>
      <c r="Z91" s="833"/>
      <c r="AA91" s="833"/>
      <c r="AB91" s="833"/>
      <c r="AC91" s="833"/>
      <c r="AD91" s="833"/>
      <c r="AE91" s="833"/>
      <c r="AF91" s="833"/>
    </row>
    <row r="92" spans="1:48" ht="19.5" customHeight="1">
      <c r="B92" s="835"/>
      <c r="C92" s="1321" t="s">
        <v>3023</v>
      </c>
      <c r="D92" s="1320"/>
      <c r="E92" s="1322">
        <f>'01 使用承認申請書'!D4</f>
        <v>0</v>
      </c>
      <c r="F92" s="1323"/>
      <c r="G92" s="1323"/>
      <c r="H92" s="1323"/>
      <c r="I92" s="1324"/>
      <c r="J92" s="835"/>
      <c r="K92" s="1328" t="s">
        <v>3024</v>
      </c>
      <c r="L92" s="1329">
        <f>'01 使用承認申請書'!B18</f>
        <v>0</v>
      </c>
      <c r="M92" s="835"/>
      <c r="N92" s="835"/>
      <c r="O92" s="835"/>
      <c r="P92" s="836"/>
      <c r="R92" s="835"/>
      <c r="S92" s="1321" t="s">
        <v>3023</v>
      </c>
      <c r="T92" s="1320"/>
      <c r="U92" s="1331" t="str">
        <f>CONCATENATE('[1]01 使用承認申請書'!D92)</f>
        <v/>
      </c>
      <c r="V92" s="1332"/>
      <c r="W92" s="1332"/>
      <c r="X92" s="1332"/>
      <c r="Y92" s="1333"/>
      <c r="Z92" s="835"/>
      <c r="AA92" s="1328" t="s">
        <v>3024</v>
      </c>
      <c r="AB92" s="1337"/>
      <c r="AC92" s="835"/>
      <c r="AD92" s="835"/>
      <c r="AE92" s="835"/>
      <c r="AF92" s="836"/>
    </row>
    <row r="93" spans="1:48" ht="19.5" customHeight="1">
      <c r="A93" s="837"/>
      <c r="B93" s="835"/>
      <c r="C93" s="1320"/>
      <c r="D93" s="1320"/>
      <c r="E93" s="1325"/>
      <c r="F93" s="1326"/>
      <c r="G93" s="1326"/>
      <c r="H93" s="1326"/>
      <c r="I93" s="1327"/>
      <c r="J93" s="835"/>
      <c r="K93" s="1320"/>
      <c r="L93" s="1330"/>
      <c r="M93" s="835"/>
      <c r="N93" s="835"/>
      <c r="O93" s="835"/>
      <c r="P93" s="836"/>
      <c r="Q93" s="837"/>
      <c r="R93" s="835"/>
      <c r="S93" s="1320"/>
      <c r="T93" s="1320"/>
      <c r="U93" s="1334"/>
      <c r="V93" s="1335"/>
      <c r="W93" s="1335"/>
      <c r="X93" s="1335"/>
      <c r="Y93" s="1336"/>
      <c r="Z93" s="835"/>
      <c r="AA93" s="1320"/>
      <c r="AB93" s="1338"/>
      <c r="AC93" s="835"/>
      <c r="AD93" s="835"/>
      <c r="AE93" s="835"/>
      <c r="AF93" s="836"/>
    </row>
    <row r="94" spans="1:48" ht="19.5" customHeight="1">
      <c r="A94" s="837"/>
      <c r="B94" s="835"/>
      <c r="E94" s="840"/>
      <c r="F94" s="840"/>
      <c r="G94" s="840"/>
      <c r="H94" s="840"/>
      <c r="I94" s="840"/>
      <c r="J94" s="835"/>
      <c r="L94" s="840"/>
      <c r="M94" s="835"/>
      <c r="N94" s="835"/>
      <c r="O94" s="835"/>
      <c r="P94" s="836"/>
      <c r="Q94" s="837"/>
      <c r="R94" s="835"/>
      <c r="U94" s="840"/>
      <c r="V94" s="840"/>
      <c r="W94" s="840"/>
      <c r="X94" s="840"/>
      <c r="Y94" s="840"/>
      <c r="Z94" s="835"/>
      <c r="AB94" s="840"/>
      <c r="AC94" s="835"/>
      <c r="AD94" s="835"/>
      <c r="AE94" s="835"/>
      <c r="AF94" s="836"/>
    </row>
    <row r="95" spans="1:48" ht="16.5" customHeight="1">
      <c r="A95" s="1339" t="s">
        <v>3026</v>
      </c>
      <c r="B95" s="1340"/>
      <c r="C95" s="1343"/>
      <c r="D95" s="1343"/>
      <c r="E95" s="1343"/>
      <c r="F95" s="1343"/>
      <c r="G95" s="1343"/>
      <c r="H95" s="1343"/>
      <c r="I95" s="1343"/>
      <c r="J95" s="1343"/>
      <c r="K95" s="1343"/>
      <c r="L95" s="1343"/>
      <c r="M95" s="1343"/>
      <c r="N95" s="1343"/>
      <c r="O95" s="1343"/>
      <c r="P95" s="1343"/>
      <c r="Q95" s="1339" t="s">
        <v>3026</v>
      </c>
      <c r="R95" s="1340"/>
      <c r="S95" s="1343"/>
      <c r="T95" s="1343"/>
      <c r="U95" s="1343"/>
      <c r="V95" s="1343"/>
      <c r="W95" s="1343"/>
      <c r="X95" s="1343"/>
      <c r="Y95" s="1343"/>
      <c r="Z95" s="1343"/>
      <c r="AA95" s="1343"/>
      <c r="AB95" s="1343"/>
      <c r="AC95" s="1343"/>
      <c r="AD95" s="1343"/>
      <c r="AE95" s="1343"/>
      <c r="AF95" s="1343"/>
    </row>
    <row r="96" spans="1:48" ht="16.5" customHeight="1">
      <c r="A96" s="1341"/>
      <c r="B96" s="1341"/>
      <c r="C96" s="1344"/>
      <c r="D96" s="1344"/>
      <c r="E96" s="1344"/>
      <c r="F96" s="1344"/>
      <c r="G96" s="1344"/>
      <c r="H96" s="1344"/>
      <c r="I96" s="1344"/>
      <c r="J96" s="1344"/>
      <c r="K96" s="1344"/>
      <c r="L96" s="1344"/>
      <c r="M96" s="1344"/>
      <c r="N96" s="1344"/>
      <c r="O96" s="1344"/>
      <c r="P96" s="1344"/>
      <c r="Q96" s="1341"/>
      <c r="R96" s="1341"/>
      <c r="S96" s="1344"/>
      <c r="T96" s="1344"/>
      <c r="U96" s="1344"/>
      <c r="V96" s="1344"/>
      <c r="W96" s="1344"/>
      <c r="X96" s="1344"/>
      <c r="Y96" s="1344"/>
      <c r="Z96" s="1344"/>
      <c r="AA96" s="1344"/>
      <c r="AB96" s="1344"/>
      <c r="AC96" s="1344"/>
      <c r="AD96" s="1344"/>
      <c r="AE96" s="1344"/>
      <c r="AF96" s="1344"/>
    </row>
    <row r="97" spans="1:48" ht="12">
      <c r="A97" s="1341"/>
      <c r="B97" s="1341"/>
      <c r="C97" s="1344"/>
      <c r="D97" s="1344"/>
      <c r="E97" s="1344"/>
      <c r="F97" s="1344"/>
      <c r="G97" s="1344"/>
      <c r="H97" s="1344"/>
      <c r="I97" s="1344"/>
      <c r="J97" s="1344"/>
      <c r="K97" s="1344"/>
      <c r="L97" s="1344"/>
      <c r="M97" s="1344"/>
      <c r="N97" s="1344"/>
      <c r="O97" s="1344"/>
      <c r="P97" s="1344"/>
      <c r="Q97" s="1341"/>
      <c r="R97" s="1341"/>
      <c r="S97" s="1344"/>
      <c r="T97" s="1344"/>
      <c r="U97" s="1344"/>
      <c r="V97" s="1344"/>
      <c r="W97" s="1344"/>
      <c r="X97" s="1344"/>
      <c r="Y97" s="1344"/>
      <c r="Z97" s="1344"/>
      <c r="AA97" s="1344"/>
      <c r="AB97" s="1344"/>
      <c r="AC97" s="1344"/>
      <c r="AD97" s="1344"/>
      <c r="AE97" s="1344"/>
      <c r="AF97" s="1344"/>
    </row>
    <row r="98" spans="1:48" ht="12">
      <c r="A98" s="1341"/>
      <c r="B98" s="1341"/>
      <c r="C98" s="1344"/>
      <c r="D98" s="1344"/>
      <c r="E98" s="1344"/>
      <c r="F98" s="1344"/>
      <c r="G98" s="1344"/>
      <c r="H98" s="1344"/>
      <c r="I98" s="1344"/>
      <c r="J98" s="1344"/>
      <c r="K98" s="1344"/>
      <c r="L98" s="1344"/>
      <c r="M98" s="1344"/>
      <c r="N98" s="1344"/>
      <c r="O98" s="1344"/>
      <c r="P98" s="1344"/>
      <c r="Q98" s="1341"/>
      <c r="R98" s="1341"/>
      <c r="S98" s="1344"/>
      <c r="T98" s="1344"/>
      <c r="U98" s="1344"/>
      <c r="V98" s="1344"/>
      <c r="W98" s="1344"/>
      <c r="X98" s="1344"/>
      <c r="Y98" s="1344"/>
      <c r="Z98" s="1344"/>
      <c r="AA98" s="1344"/>
      <c r="AB98" s="1344"/>
      <c r="AC98" s="1344"/>
      <c r="AD98" s="1344"/>
      <c r="AE98" s="1344"/>
      <c r="AF98" s="1344"/>
    </row>
    <row r="99" spans="1:48" ht="12">
      <c r="A99" s="1341"/>
      <c r="B99" s="1341"/>
      <c r="C99" s="1344"/>
      <c r="D99" s="1344"/>
      <c r="E99" s="1344"/>
      <c r="F99" s="1344"/>
      <c r="G99" s="1344"/>
      <c r="H99" s="1344"/>
      <c r="I99" s="1344"/>
      <c r="J99" s="1344"/>
      <c r="K99" s="1344"/>
      <c r="L99" s="1344"/>
      <c r="M99" s="1344"/>
      <c r="N99" s="1344"/>
      <c r="O99" s="1344"/>
      <c r="P99" s="1344"/>
      <c r="Q99" s="1341"/>
      <c r="R99" s="1341"/>
      <c r="S99" s="1344"/>
      <c r="T99" s="1344"/>
      <c r="U99" s="1344"/>
      <c r="V99" s="1344"/>
      <c r="W99" s="1344"/>
      <c r="X99" s="1344"/>
      <c r="Y99" s="1344"/>
      <c r="Z99" s="1344"/>
      <c r="AA99" s="1344"/>
      <c r="AB99" s="1344"/>
      <c r="AC99" s="1344"/>
      <c r="AD99" s="1344"/>
      <c r="AE99" s="1344"/>
      <c r="AF99" s="1344"/>
    </row>
    <row r="100" spans="1:48" ht="12">
      <c r="A100" s="1342"/>
      <c r="B100" s="1342"/>
      <c r="C100" s="1345"/>
      <c r="D100" s="1345"/>
      <c r="E100" s="1345"/>
      <c r="F100" s="1345"/>
      <c r="G100" s="1345"/>
      <c r="H100" s="1345"/>
      <c r="I100" s="1345"/>
      <c r="J100" s="1345"/>
      <c r="K100" s="1345"/>
      <c r="L100" s="1345"/>
      <c r="M100" s="1345"/>
      <c r="N100" s="1345"/>
      <c r="O100" s="1345"/>
      <c r="P100" s="1345"/>
      <c r="Q100" s="1342"/>
      <c r="R100" s="1342"/>
      <c r="S100" s="1345"/>
      <c r="T100" s="1345"/>
      <c r="U100" s="1345"/>
      <c r="V100" s="1345"/>
      <c r="W100" s="1345"/>
      <c r="X100" s="1345"/>
      <c r="Y100" s="1345"/>
      <c r="Z100" s="1345"/>
      <c r="AA100" s="1345"/>
      <c r="AB100" s="1345"/>
      <c r="AC100" s="1345"/>
      <c r="AD100" s="1345"/>
      <c r="AE100" s="1345"/>
      <c r="AF100" s="1345"/>
    </row>
    <row r="101" spans="1:48" ht="19.5" customHeight="1">
      <c r="A101" s="837"/>
      <c r="B101" s="837"/>
      <c r="C101" s="837"/>
      <c r="D101" s="837"/>
      <c r="E101" s="837"/>
      <c r="F101" s="837"/>
      <c r="G101" s="837"/>
      <c r="H101" s="835"/>
      <c r="I101" s="835"/>
      <c r="J101" s="835"/>
      <c r="K101" s="835"/>
      <c r="L101" s="835"/>
      <c r="M101" s="835"/>
      <c r="N101" s="835"/>
      <c r="O101" s="835"/>
      <c r="P101" s="836"/>
      <c r="Q101" s="837"/>
      <c r="R101" s="837"/>
      <c r="S101" s="837"/>
      <c r="T101" s="837"/>
      <c r="U101" s="837"/>
      <c r="V101" s="837"/>
      <c r="W101" s="837"/>
      <c r="X101" s="835"/>
      <c r="Y101" s="835"/>
      <c r="Z101" s="835"/>
      <c r="AA101" s="835"/>
      <c r="AB101" s="835"/>
      <c r="AC101" s="835"/>
      <c r="AD101" s="835"/>
      <c r="AE101" s="835"/>
      <c r="AF101" s="836"/>
    </row>
    <row r="102" spans="1:48" ht="24" customHeight="1">
      <c r="A102" s="837"/>
      <c r="B102" s="837"/>
      <c r="C102" s="1349" t="s">
        <v>3028</v>
      </c>
      <c r="D102" s="1364" t="s">
        <v>3128</v>
      </c>
      <c r="E102" s="1365"/>
      <c r="F102" s="1365"/>
      <c r="G102" s="1365"/>
      <c r="H102" s="1365"/>
      <c r="I102" s="1443"/>
      <c r="J102" s="1368"/>
      <c r="K102" s="1364" t="s">
        <v>3129</v>
      </c>
      <c r="L102" s="1365"/>
      <c r="M102" s="1365"/>
      <c r="N102" s="1365"/>
      <c r="O102" s="1365"/>
      <c r="P102" s="1443"/>
      <c r="Q102" s="837"/>
      <c r="R102" s="837"/>
      <c r="S102" s="1349" t="s">
        <v>3028</v>
      </c>
      <c r="T102" s="1364"/>
      <c r="U102" s="1365" t="s">
        <v>3029</v>
      </c>
      <c r="V102" s="1365"/>
      <c r="W102" s="1366" t="s">
        <v>3030</v>
      </c>
      <c r="X102" s="1365"/>
      <c r="Y102" s="1367" t="s">
        <v>3032</v>
      </c>
      <c r="Z102" s="1368"/>
      <c r="AA102" s="1364"/>
      <c r="AB102" s="1365" t="s">
        <v>3029</v>
      </c>
      <c r="AC102" s="1365"/>
      <c r="AD102" s="1366" t="s">
        <v>3030</v>
      </c>
      <c r="AE102" s="1365"/>
      <c r="AF102" s="1367" t="s">
        <v>3032</v>
      </c>
      <c r="AJ102" s="1449" t="s">
        <v>3219</v>
      </c>
      <c r="AK102" s="1449"/>
      <c r="AL102" s="1449"/>
      <c r="AM102" s="1449"/>
      <c r="AN102" s="1449"/>
      <c r="AO102" s="1449"/>
      <c r="AP102" s="1449"/>
      <c r="AQ102" s="1449"/>
      <c r="AR102" s="1449"/>
      <c r="AS102" s="1449"/>
      <c r="AT102" s="1449"/>
      <c r="AU102" s="1449"/>
      <c r="AV102" s="1449"/>
    </row>
    <row r="103" spans="1:48" ht="15" customHeight="1">
      <c r="A103" s="837"/>
      <c r="B103" s="837"/>
      <c r="C103" s="1334"/>
      <c r="D103" s="1444"/>
      <c r="E103" s="1445"/>
      <c r="F103" s="1445"/>
      <c r="G103" s="1445"/>
      <c r="H103" s="1445"/>
      <c r="I103" s="1446"/>
      <c r="J103" s="1334"/>
      <c r="K103" s="1444"/>
      <c r="L103" s="1445"/>
      <c r="M103" s="1445"/>
      <c r="N103" s="1445"/>
      <c r="O103" s="1445"/>
      <c r="P103" s="1446"/>
      <c r="Q103" s="837"/>
      <c r="R103" s="837"/>
      <c r="S103" s="1334"/>
      <c r="T103" s="1334"/>
      <c r="U103" s="1335"/>
      <c r="V103" s="1335"/>
      <c r="W103" s="1335"/>
      <c r="X103" s="1335"/>
      <c r="Y103" s="1336"/>
      <c r="Z103" s="1334"/>
      <c r="AA103" s="1334"/>
      <c r="AB103" s="1335"/>
      <c r="AC103" s="1335"/>
      <c r="AD103" s="1335"/>
      <c r="AE103" s="1335"/>
      <c r="AF103" s="1336"/>
      <c r="AJ103" s="1449"/>
      <c r="AK103" s="1449"/>
      <c r="AL103" s="1449"/>
      <c r="AM103" s="1449"/>
      <c r="AN103" s="1449"/>
      <c r="AO103" s="1449"/>
      <c r="AP103" s="1449"/>
      <c r="AQ103" s="1449"/>
      <c r="AR103" s="1449"/>
      <c r="AS103" s="1449"/>
      <c r="AT103" s="1449"/>
      <c r="AU103" s="1449"/>
      <c r="AV103" s="1449"/>
    </row>
    <row r="104" spans="1:48" ht="21">
      <c r="A104" s="843"/>
      <c r="B104" s="843"/>
      <c r="C104" s="844"/>
      <c r="D104" s="1380" t="s">
        <v>3034</v>
      </c>
      <c r="E104" s="1332"/>
      <c r="F104" s="1332"/>
      <c r="G104" s="1447" t="s">
        <v>3035</v>
      </c>
      <c r="H104" s="1332"/>
      <c r="I104" s="1332"/>
      <c r="J104" s="845"/>
      <c r="K104" s="1386" t="s">
        <v>3034</v>
      </c>
      <c r="L104" s="1332"/>
      <c r="M104" s="1448"/>
      <c r="N104" s="1386" t="s">
        <v>3035</v>
      </c>
      <c r="O104" s="1332"/>
      <c r="P104" s="1333"/>
      <c r="Q104" s="843"/>
      <c r="R104" s="843"/>
      <c r="S104" s="844"/>
      <c r="T104" s="1380" t="s">
        <v>3034</v>
      </c>
      <c r="U104" s="1332"/>
      <c r="V104" s="1332"/>
      <c r="W104" s="1447" t="s">
        <v>3035</v>
      </c>
      <c r="X104" s="1332"/>
      <c r="Y104" s="1332"/>
      <c r="Z104" s="845"/>
      <c r="AA104" s="1386" t="s">
        <v>3034</v>
      </c>
      <c r="AB104" s="1332"/>
      <c r="AC104" s="1448"/>
      <c r="AD104" s="1386" t="s">
        <v>3035</v>
      </c>
      <c r="AE104" s="1332"/>
      <c r="AF104" s="1333"/>
    </row>
    <row r="105" spans="1:48" ht="16.5" customHeight="1">
      <c r="A105" s="846"/>
      <c r="B105" s="1369" t="s">
        <v>3036</v>
      </c>
      <c r="C105" s="847">
        <v>0.20833333333333334</v>
      </c>
      <c r="D105" s="931"/>
      <c r="E105" s="932"/>
      <c r="F105" s="932"/>
      <c r="G105" s="1047"/>
      <c r="H105" s="932"/>
      <c r="I105" s="933"/>
      <c r="J105" s="848">
        <v>0.20833333333333334</v>
      </c>
      <c r="K105" s="934"/>
      <c r="L105" s="935"/>
      <c r="M105" s="1048"/>
      <c r="N105" s="935"/>
      <c r="O105" s="935"/>
      <c r="P105" s="936"/>
      <c r="Q105" s="846"/>
      <c r="R105" s="1369" t="s">
        <v>3036</v>
      </c>
      <c r="S105" s="847">
        <v>0.20833333333333334</v>
      </c>
      <c r="T105" s="931"/>
      <c r="U105" s="932"/>
      <c r="V105" s="932"/>
      <c r="W105" s="1047"/>
      <c r="X105" s="932"/>
      <c r="Y105" s="933"/>
      <c r="Z105" s="848">
        <v>0.20833333333333334</v>
      </c>
      <c r="AA105" s="934"/>
      <c r="AB105" s="935"/>
      <c r="AC105" s="1048"/>
      <c r="AD105" s="935"/>
      <c r="AE105" s="935"/>
      <c r="AF105" s="936"/>
      <c r="AJ105" s="1430" t="s">
        <v>3196</v>
      </c>
      <c r="AK105" s="1430"/>
      <c r="AL105" s="1430"/>
      <c r="AM105" s="1058"/>
      <c r="AN105" s="1430" t="s">
        <v>3196</v>
      </c>
      <c r="AO105" s="1430"/>
      <c r="AP105" s="1430"/>
      <c r="AQ105" s="1058"/>
      <c r="AR105" s="1430" t="s">
        <v>3196</v>
      </c>
      <c r="AS105" s="1430"/>
      <c r="AT105" s="1430"/>
      <c r="AU105" s="1058"/>
      <c r="AV105" s="1058"/>
    </row>
    <row r="106" spans="1:48" ht="16.5" customHeight="1">
      <c r="A106" s="846"/>
      <c r="B106" s="1370"/>
      <c r="C106" s="849">
        <v>0.21875</v>
      </c>
      <c r="D106" s="937"/>
      <c r="E106" s="938"/>
      <c r="F106" s="938"/>
      <c r="G106" s="1049"/>
      <c r="H106" s="938"/>
      <c r="I106" s="939"/>
      <c r="J106" s="850">
        <v>0.21875</v>
      </c>
      <c r="K106" s="940"/>
      <c r="L106" s="941"/>
      <c r="M106" s="1050"/>
      <c r="N106" s="941"/>
      <c r="O106" s="941"/>
      <c r="P106" s="942"/>
      <c r="Q106" s="846"/>
      <c r="R106" s="1370"/>
      <c r="S106" s="849">
        <v>0.21875</v>
      </c>
      <c r="T106" s="937"/>
      <c r="U106" s="938"/>
      <c r="V106" s="938"/>
      <c r="W106" s="1049"/>
      <c r="X106" s="938"/>
      <c r="Y106" s="939"/>
      <c r="Z106" s="850">
        <v>0.21875</v>
      </c>
      <c r="AA106" s="940"/>
      <c r="AB106" s="941"/>
      <c r="AC106" s="1050"/>
      <c r="AD106" s="941"/>
      <c r="AE106" s="941"/>
      <c r="AF106" s="942"/>
      <c r="AJ106" s="1430"/>
      <c r="AK106" s="1430"/>
      <c r="AL106" s="1430"/>
      <c r="AM106" s="1058"/>
      <c r="AN106" s="1430"/>
      <c r="AO106" s="1430"/>
      <c r="AP106" s="1430"/>
      <c r="AQ106" s="1058"/>
      <c r="AR106" s="1430"/>
      <c r="AS106" s="1430"/>
      <c r="AT106" s="1430"/>
      <c r="AU106" s="1058"/>
      <c r="AV106" s="1058"/>
    </row>
    <row r="107" spans="1:48" ht="16.5" customHeight="1">
      <c r="A107" s="846"/>
      <c r="B107" s="1370"/>
      <c r="C107" s="851">
        <v>0.22916666666666666</v>
      </c>
      <c r="D107" s="937"/>
      <c r="E107" s="938"/>
      <c r="F107" s="938"/>
      <c r="G107" s="1049"/>
      <c r="H107" s="938"/>
      <c r="I107" s="939"/>
      <c r="J107" s="852">
        <v>0.22916666666666666</v>
      </c>
      <c r="K107" s="940"/>
      <c r="L107" s="941"/>
      <c r="M107" s="1050"/>
      <c r="N107" s="941"/>
      <c r="O107" s="941"/>
      <c r="P107" s="942"/>
      <c r="Q107" s="846"/>
      <c r="R107" s="1370"/>
      <c r="S107" s="851">
        <v>0.22916666666666666</v>
      </c>
      <c r="T107" s="937"/>
      <c r="U107" s="938"/>
      <c r="V107" s="938"/>
      <c r="W107" s="1049"/>
      <c r="X107" s="938"/>
      <c r="Y107" s="939"/>
      <c r="Z107" s="852">
        <v>0.22916666666666666</v>
      </c>
      <c r="AA107" s="940"/>
      <c r="AB107" s="941"/>
      <c r="AC107" s="1050"/>
      <c r="AD107" s="941"/>
      <c r="AE107" s="941"/>
      <c r="AF107" s="942"/>
      <c r="AJ107" s="1429" t="s">
        <v>3197</v>
      </c>
      <c r="AK107" s="1430"/>
      <c r="AL107" s="1430"/>
      <c r="AM107" s="1058"/>
      <c r="AN107" s="1429" t="s">
        <v>3198</v>
      </c>
      <c r="AO107" s="1429"/>
      <c r="AP107" s="1429"/>
      <c r="AQ107" s="1058"/>
      <c r="AR107" s="1429" t="s">
        <v>3199</v>
      </c>
      <c r="AS107" s="1429"/>
      <c r="AT107" s="1429"/>
      <c r="AU107" s="1058"/>
      <c r="AV107" s="1058"/>
    </row>
    <row r="108" spans="1:48" ht="16.5" customHeight="1">
      <c r="A108" s="846"/>
      <c r="B108" s="1338"/>
      <c r="C108" s="853">
        <v>0.23958333333333334</v>
      </c>
      <c r="D108" s="943"/>
      <c r="E108" s="944"/>
      <c r="F108" s="944"/>
      <c r="G108" s="1051"/>
      <c r="H108" s="944"/>
      <c r="I108" s="945"/>
      <c r="J108" s="854">
        <v>0.23958333333333334</v>
      </c>
      <c r="K108" s="946"/>
      <c r="L108" s="947"/>
      <c r="M108" s="1052"/>
      <c r="N108" s="947"/>
      <c r="O108" s="947"/>
      <c r="P108" s="948"/>
      <c r="Q108" s="846"/>
      <c r="R108" s="1338"/>
      <c r="S108" s="853">
        <v>0.23958333333333334</v>
      </c>
      <c r="T108" s="943"/>
      <c r="U108" s="944"/>
      <c r="V108" s="944"/>
      <c r="W108" s="1051"/>
      <c r="X108" s="944"/>
      <c r="Y108" s="945"/>
      <c r="Z108" s="854">
        <v>0.23958333333333334</v>
      </c>
      <c r="AA108" s="946"/>
      <c r="AB108" s="947"/>
      <c r="AC108" s="1052"/>
      <c r="AD108" s="947"/>
      <c r="AE108" s="947"/>
      <c r="AF108" s="948"/>
      <c r="AJ108" s="1430"/>
      <c r="AK108" s="1430"/>
      <c r="AL108" s="1430"/>
      <c r="AM108" s="1058"/>
      <c r="AN108" s="1429"/>
      <c r="AO108" s="1429"/>
      <c r="AP108" s="1429"/>
      <c r="AQ108" s="1058"/>
      <c r="AR108" s="1429"/>
      <c r="AS108" s="1429"/>
      <c r="AT108" s="1429"/>
      <c r="AU108" s="1058"/>
      <c r="AV108" s="1058"/>
    </row>
    <row r="109" spans="1:48" ht="16.5" customHeight="1">
      <c r="A109" s="855"/>
      <c r="B109" s="855"/>
      <c r="C109" s="856">
        <v>0.25</v>
      </c>
      <c r="D109" s="857"/>
      <c r="E109" s="858"/>
      <c r="F109" s="858"/>
      <c r="G109" s="1053"/>
      <c r="H109" s="858"/>
      <c r="I109" s="858"/>
      <c r="J109" s="859">
        <v>0.25</v>
      </c>
      <c r="K109" s="857"/>
      <c r="L109" s="858"/>
      <c r="M109" s="1054"/>
      <c r="N109" s="858"/>
      <c r="O109" s="858"/>
      <c r="P109" s="860"/>
      <c r="Q109" s="855"/>
      <c r="R109" s="855"/>
      <c r="S109" s="856">
        <v>0.25</v>
      </c>
      <c r="T109" s="857"/>
      <c r="U109" s="858"/>
      <c r="V109" s="858"/>
      <c r="W109" s="1053"/>
      <c r="X109" s="858"/>
      <c r="Y109" s="858"/>
      <c r="Z109" s="859">
        <v>0.25</v>
      </c>
      <c r="AA109" s="857"/>
      <c r="AB109" s="858"/>
      <c r="AC109" s="1054"/>
      <c r="AD109" s="858"/>
      <c r="AE109" s="858"/>
      <c r="AF109" s="860"/>
      <c r="AJ109" s="1430"/>
      <c r="AK109" s="1430"/>
      <c r="AL109" s="1430"/>
      <c r="AM109" s="1058"/>
      <c r="AN109" s="1429"/>
      <c r="AO109" s="1429"/>
      <c r="AP109" s="1429"/>
      <c r="AQ109" s="1058"/>
      <c r="AR109" s="1429"/>
      <c r="AS109" s="1429"/>
      <c r="AT109" s="1429"/>
      <c r="AU109" s="1058"/>
      <c r="AV109" s="1058"/>
    </row>
    <row r="110" spans="1:48" ht="16.5" customHeight="1">
      <c r="A110" s="861"/>
      <c r="B110" s="861"/>
      <c r="C110" s="862">
        <v>0.26041666666666669</v>
      </c>
      <c r="D110" s="863"/>
      <c r="E110" s="864"/>
      <c r="F110" s="864"/>
      <c r="G110" s="1035"/>
      <c r="H110" s="864"/>
      <c r="I110" s="864"/>
      <c r="J110" s="862">
        <v>0.26041666666666669</v>
      </c>
      <c r="K110" s="863"/>
      <c r="L110" s="864"/>
      <c r="M110" s="1036"/>
      <c r="N110" s="864"/>
      <c r="O110" s="864"/>
      <c r="P110" s="865"/>
      <c r="Q110" s="861"/>
      <c r="R110" s="861"/>
      <c r="S110" s="862">
        <v>0.26041666666666669</v>
      </c>
      <c r="T110" s="863"/>
      <c r="U110" s="864"/>
      <c r="V110" s="864"/>
      <c r="W110" s="1035"/>
      <c r="X110" s="864"/>
      <c r="Y110" s="864"/>
      <c r="Z110" s="862">
        <v>0.26041666666666669</v>
      </c>
      <c r="AA110" s="863"/>
      <c r="AB110" s="864"/>
      <c r="AC110" s="1036"/>
      <c r="AD110" s="864"/>
      <c r="AE110" s="864"/>
      <c r="AF110" s="865"/>
      <c r="AJ110" s="1430"/>
      <c r="AK110" s="1430"/>
      <c r="AL110" s="1430"/>
      <c r="AM110" s="1058"/>
      <c r="AN110" s="1429"/>
      <c r="AO110" s="1429"/>
      <c r="AP110" s="1429"/>
      <c r="AQ110" s="1058"/>
      <c r="AR110" s="1429"/>
      <c r="AS110" s="1429"/>
      <c r="AT110" s="1429"/>
      <c r="AU110" s="1058"/>
      <c r="AV110" s="1058"/>
    </row>
    <row r="111" spans="1:48" ht="16.5" customHeight="1">
      <c r="A111" s="866"/>
      <c r="B111" s="866"/>
      <c r="C111" s="867">
        <v>0.27083333333333331</v>
      </c>
      <c r="D111" s="863"/>
      <c r="E111" s="864"/>
      <c r="F111" s="864"/>
      <c r="G111" s="1035"/>
      <c r="H111" s="864"/>
      <c r="I111" s="864"/>
      <c r="J111" s="867">
        <v>0.27083333333333331</v>
      </c>
      <c r="K111" s="863"/>
      <c r="L111" s="864"/>
      <c r="M111" s="1036"/>
      <c r="N111" s="864"/>
      <c r="O111" s="864"/>
      <c r="P111" s="865"/>
      <c r="Q111" s="866"/>
      <c r="R111" s="866"/>
      <c r="S111" s="867">
        <v>0.27083333333333331</v>
      </c>
      <c r="T111" s="863"/>
      <c r="U111" s="864"/>
      <c r="V111" s="864"/>
      <c r="W111" s="1035"/>
      <c r="X111" s="864"/>
      <c r="Y111" s="864"/>
      <c r="Z111" s="867">
        <v>0.27083333333333331</v>
      </c>
      <c r="AA111" s="863"/>
      <c r="AB111" s="864"/>
      <c r="AC111" s="1036"/>
      <c r="AD111" s="864"/>
      <c r="AE111" s="864"/>
      <c r="AF111" s="865"/>
      <c r="AJ111" s="1430"/>
      <c r="AK111" s="1430"/>
      <c r="AL111" s="1430"/>
      <c r="AM111" s="1058"/>
      <c r="AN111" s="1429"/>
      <c r="AO111" s="1429"/>
      <c r="AP111" s="1429"/>
      <c r="AQ111" s="1058"/>
      <c r="AR111" s="1429"/>
      <c r="AS111" s="1429"/>
      <c r="AT111" s="1429"/>
      <c r="AU111" s="1058"/>
      <c r="AV111" s="1058"/>
    </row>
    <row r="112" spans="1:48" ht="16.5" customHeight="1">
      <c r="A112" s="868"/>
      <c r="B112" s="1388" t="s">
        <v>3039</v>
      </c>
      <c r="C112" s="869">
        <v>0.28125</v>
      </c>
      <c r="D112" s="870"/>
      <c r="E112" s="871"/>
      <c r="F112" s="871"/>
      <c r="G112" s="1037"/>
      <c r="H112" s="871"/>
      <c r="I112" s="871"/>
      <c r="J112" s="872">
        <v>0.28125</v>
      </c>
      <c r="K112" s="870"/>
      <c r="L112" s="871"/>
      <c r="M112" s="1038"/>
      <c r="N112" s="871"/>
      <c r="O112" s="871"/>
      <c r="P112" s="873"/>
      <c r="Q112" s="868"/>
      <c r="R112" s="1388" t="s">
        <v>3039</v>
      </c>
      <c r="S112" s="869">
        <v>0.28125</v>
      </c>
      <c r="T112" s="870"/>
      <c r="U112" s="871"/>
      <c r="V112" s="871"/>
      <c r="W112" s="1037"/>
      <c r="X112" s="871"/>
      <c r="Y112" s="871"/>
      <c r="Z112" s="872">
        <v>0.28125</v>
      </c>
      <c r="AA112" s="870"/>
      <c r="AB112" s="871"/>
      <c r="AC112" s="1038"/>
      <c r="AD112" s="871"/>
      <c r="AE112" s="871"/>
      <c r="AF112" s="873"/>
      <c r="AJ112" s="1430"/>
      <c r="AK112" s="1430"/>
      <c r="AL112" s="1430"/>
      <c r="AM112" s="1058"/>
      <c r="AN112" s="1429"/>
      <c r="AO112" s="1429"/>
      <c r="AP112" s="1429"/>
      <c r="AQ112" s="1058"/>
      <c r="AR112" s="1429"/>
      <c r="AS112" s="1429"/>
      <c r="AT112" s="1429"/>
      <c r="AU112" s="1058"/>
      <c r="AV112" s="1058"/>
    </row>
    <row r="113" spans="1:48" ht="16.5" customHeight="1">
      <c r="A113" s="868"/>
      <c r="B113" s="1370"/>
      <c r="C113" s="874">
        <v>0.29166666666666669</v>
      </c>
      <c r="D113" s="875"/>
      <c r="E113" s="876"/>
      <c r="F113" s="876"/>
      <c r="G113" s="1033"/>
      <c r="H113" s="876"/>
      <c r="I113" s="876"/>
      <c r="J113" s="877">
        <v>0.29166666666666669</v>
      </c>
      <c r="K113" s="875"/>
      <c r="L113" s="876"/>
      <c r="M113" s="1034"/>
      <c r="N113" s="876"/>
      <c r="O113" s="876"/>
      <c r="P113" s="878"/>
      <c r="Q113" s="868"/>
      <c r="R113" s="1370"/>
      <c r="S113" s="874">
        <v>0.29166666666666669</v>
      </c>
      <c r="T113" s="875"/>
      <c r="U113" s="876"/>
      <c r="V113" s="876"/>
      <c r="W113" s="1033"/>
      <c r="X113" s="876"/>
      <c r="Y113" s="876"/>
      <c r="Z113" s="877">
        <v>0.29166666666666669</v>
      </c>
      <c r="AA113" s="875"/>
      <c r="AB113" s="876"/>
      <c r="AC113" s="1034"/>
      <c r="AD113" s="876"/>
      <c r="AE113" s="876"/>
      <c r="AF113" s="878"/>
      <c r="AJ113" s="1430" t="s">
        <v>3103</v>
      </c>
      <c r="AK113" s="1430"/>
      <c r="AL113" s="1430"/>
      <c r="AM113" s="1058"/>
      <c r="AN113" s="1429"/>
      <c r="AO113" s="1429"/>
      <c r="AP113" s="1429"/>
      <c r="AQ113" s="1058"/>
      <c r="AR113" s="1429"/>
      <c r="AS113" s="1429"/>
      <c r="AT113" s="1429"/>
      <c r="AU113" s="1058"/>
      <c r="AV113" s="1058"/>
    </row>
    <row r="114" spans="1:48" ht="16.5" customHeight="1">
      <c r="A114" s="868"/>
      <c r="B114" s="1370"/>
      <c r="C114" s="879">
        <v>0.30208333333333331</v>
      </c>
      <c r="D114" s="863"/>
      <c r="E114" s="864"/>
      <c r="F114" s="864"/>
      <c r="G114" s="1035"/>
      <c r="H114" s="864"/>
      <c r="I114" s="864"/>
      <c r="J114" s="879">
        <v>0.30208333333333331</v>
      </c>
      <c r="K114" s="863"/>
      <c r="L114" s="864"/>
      <c r="M114" s="1036"/>
      <c r="N114" s="864"/>
      <c r="O114" s="864"/>
      <c r="P114" s="865"/>
      <c r="Q114" s="868"/>
      <c r="R114" s="1370"/>
      <c r="S114" s="879">
        <v>0.30208333333333331</v>
      </c>
      <c r="T114" s="863"/>
      <c r="U114" s="864"/>
      <c r="V114" s="864"/>
      <c r="W114" s="1035"/>
      <c r="X114" s="864"/>
      <c r="Y114" s="864"/>
      <c r="Z114" s="879">
        <v>0.30208333333333331</v>
      </c>
      <c r="AA114" s="863"/>
      <c r="AB114" s="864"/>
      <c r="AC114" s="1036"/>
      <c r="AD114" s="864"/>
      <c r="AE114" s="864"/>
      <c r="AF114" s="865"/>
      <c r="AJ114" s="1430"/>
      <c r="AK114" s="1430"/>
      <c r="AL114" s="1430"/>
      <c r="AM114" s="1058"/>
      <c r="AN114" s="1429"/>
      <c r="AO114" s="1429"/>
      <c r="AP114" s="1429"/>
      <c r="AQ114" s="1058"/>
      <c r="AR114" s="1429"/>
      <c r="AS114" s="1429"/>
      <c r="AT114" s="1429"/>
      <c r="AU114" s="1058"/>
      <c r="AV114" s="1058"/>
    </row>
    <row r="115" spans="1:48" ht="16.5" customHeight="1">
      <c r="A115" s="868"/>
      <c r="B115" s="1370"/>
      <c r="C115" s="880">
        <v>0.3125</v>
      </c>
      <c r="D115" s="863"/>
      <c r="E115" s="864"/>
      <c r="F115" s="864"/>
      <c r="G115" s="1035"/>
      <c r="H115" s="864"/>
      <c r="I115" s="864"/>
      <c r="J115" s="880">
        <v>0.3125</v>
      </c>
      <c r="K115" s="863"/>
      <c r="L115" s="864"/>
      <c r="M115" s="1036"/>
      <c r="N115" s="864"/>
      <c r="O115" s="864"/>
      <c r="P115" s="865"/>
      <c r="Q115" s="868"/>
      <c r="R115" s="1370"/>
      <c r="S115" s="880">
        <v>0.3125</v>
      </c>
      <c r="T115" s="863"/>
      <c r="U115" s="864"/>
      <c r="V115" s="864"/>
      <c r="W115" s="1035"/>
      <c r="X115" s="864"/>
      <c r="Y115" s="864"/>
      <c r="Z115" s="880">
        <v>0.3125</v>
      </c>
      <c r="AA115" s="863"/>
      <c r="AB115" s="864"/>
      <c r="AC115" s="1036"/>
      <c r="AD115" s="864"/>
      <c r="AE115" s="864"/>
      <c r="AF115" s="865"/>
      <c r="AJ115" s="1058"/>
      <c r="AK115" s="1058"/>
      <c r="AL115" s="1058"/>
      <c r="AM115" s="1058"/>
      <c r="AN115" s="1430" t="s">
        <v>3103</v>
      </c>
      <c r="AO115" s="1430"/>
      <c r="AP115" s="1430"/>
      <c r="AQ115" s="1058"/>
      <c r="AR115" s="1429"/>
      <c r="AS115" s="1429"/>
      <c r="AT115" s="1429"/>
      <c r="AU115" s="1058"/>
      <c r="AV115" s="1058"/>
    </row>
    <row r="116" spans="1:48" ht="16.5" customHeight="1">
      <c r="A116" s="868"/>
      <c r="B116" s="1370"/>
      <c r="C116" s="869">
        <v>0.32291666666666669</v>
      </c>
      <c r="D116" s="870"/>
      <c r="E116" s="871"/>
      <c r="F116" s="871"/>
      <c r="G116" s="1037"/>
      <c r="H116" s="871"/>
      <c r="I116" s="871"/>
      <c r="J116" s="872">
        <v>0.32291666666666669</v>
      </c>
      <c r="K116" s="870"/>
      <c r="L116" s="871"/>
      <c r="M116" s="1038"/>
      <c r="N116" s="871"/>
      <c r="O116" s="871"/>
      <c r="P116" s="873"/>
      <c r="Q116" s="868"/>
      <c r="R116" s="1370"/>
      <c r="S116" s="869">
        <v>0.32291666666666669</v>
      </c>
      <c r="T116" s="870"/>
      <c r="U116" s="871"/>
      <c r="V116" s="871"/>
      <c r="W116" s="1037"/>
      <c r="X116" s="871"/>
      <c r="Y116" s="871"/>
      <c r="Z116" s="872">
        <v>0.32291666666666669</v>
      </c>
      <c r="AA116" s="870"/>
      <c r="AB116" s="871"/>
      <c r="AC116" s="1038"/>
      <c r="AD116" s="871"/>
      <c r="AE116" s="871"/>
      <c r="AF116" s="873"/>
      <c r="AJ116" s="1430" t="s">
        <v>3196</v>
      </c>
      <c r="AK116" s="1430"/>
      <c r="AL116" s="1430"/>
      <c r="AM116" s="1058"/>
      <c r="AN116" s="1430"/>
      <c r="AO116" s="1430"/>
      <c r="AP116" s="1430"/>
      <c r="AQ116" s="1058"/>
      <c r="AR116" s="1430" t="s">
        <v>3103</v>
      </c>
      <c r="AS116" s="1430"/>
      <c r="AT116" s="1430"/>
      <c r="AU116" s="1058"/>
      <c r="AV116" s="1058"/>
    </row>
    <row r="117" spans="1:48" ht="16.5" customHeight="1">
      <c r="A117" s="868"/>
      <c r="B117" s="1370"/>
      <c r="C117" s="874">
        <v>0.33333333333333331</v>
      </c>
      <c r="D117" s="875"/>
      <c r="E117" s="876"/>
      <c r="F117" s="876"/>
      <c r="G117" s="1033"/>
      <c r="H117" s="876"/>
      <c r="I117" s="876"/>
      <c r="J117" s="877">
        <v>0.33333333333333331</v>
      </c>
      <c r="K117" s="875"/>
      <c r="L117" s="876"/>
      <c r="M117" s="1034"/>
      <c r="N117" s="876"/>
      <c r="O117" s="876"/>
      <c r="P117" s="878"/>
      <c r="Q117" s="868"/>
      <c r="R117" s="1370"/>
      <c r="S117" s="874">
        <v>0.33333333333333331</v>
      </c>
      <c r="T117" s="875"/>
      <c r="U117" s="876"/>
      <c r="V117" s="876"/>
      <c r="W117" s="1033"/>
      <c r="X117" s="876"/>
      <c r="Y117" s="876"/>
      <c r="Z117" s="877">
        <v>0.33333333333333331</v>
      </c>
      <c r="AA117" s="875"/>
      <c r="AB117" s="876"/>
      <c r="AC117" s="1034"/>
      <c r="AD117" s="876"/>
      <c r="AE117" s="876"/>
      <c r="AF117" s="878"/>
      <c r="AJ117" s="1430"/>
      <c r="AK117" s="1430"/>
      <c r="AL117" s="1430"/>
      <c r="AM117" s="1058"/>
      <c r="AN117" s="1058"/>
      <c r="AO117" s="1058"/>
      <c r="AP117" s="1058"/>
      <c r="AQ117" s="1058"/>
      <c r="AR117" s="1430"/>
      <c r="AS117" s="1430"/>
      <c r="AT117" s="1430"/>
      <c r="AU117" s="1058"/>
      <c r="AV117" s="1058"/>
    </row>
    <row r="118" spans="1:48" ht="16.5" customHeight="1">
      <c r="A118" s="868"/>
      <c r="B118" s="1370"/>
      <c r="C118" s="879">
        <v>0.34375</v>
      </c>
      <c r="D118" s="863"/>
      <c r="E118" s="864"/>
      <c r="F118" s="864"/>
      <c r="G118" s="1035"/>
      <c r="H118" s="864"/>
      <c r="I118" s="864"/>
      <c r="J118" s="879">
        <v>0.34375</v>
      </c>
      <c r="K118" s="863"/>
      <c r="L118" s="864"/>
      <c r="M118" s="1036"/>
      <c r="N118" s="864"/>
      <c r="O118" s="864"/>
      <c r="P118" s="865"/>
      <c r="Q118" s="868"/>
      <c r="R118" s="1370"/>
      <c r="S118" s="879">
        <v>0.34375</v>
      </c>
      <c r="T118" s="863"/>
      <c r="U118" s="864"/>
      <c r="V118" s="864"/>
      <c r="W118" s="1035"/>
      <c r="X118" s="864"/>
      <c r="Y118" s="864"/>
      <c r="Z118" s="879">
        <v>0.34375</v>
      </c>
      <c r="AA118" s="863"/>
      <c r="AB118" s="864"/>
      <c r="AC118" s="1036"/>
      <c r="AD118" s="864"/>
      <c r="AE118" s="864"/>
      <c r="AF118" s="865"/>
      <c r="AJ118" s="1479" t="s">
        <v>3200</v>
      </c>
      <c r="AK118" s="1480"/>
      <c r="AL118" s="1481"/>
      <c r="AM118" s="1058"/>
      <c r="AN118" s="1058"/>
      <c r="AO118" s="1058"/>
      <c r="AP118" s="1058"/>
      <c r="AQ118" s="1058"/>
      <c r="AR118" s="1058"/>
      <c r="AS118" s="1058"/>
      <c r="AT118" s="1058"/>
      <c r="AU118" s="1058"/>
      <c r="AV118" s="1058"/>
    </row>
    <row r="119" spans="1:48" ht="16.5" customHeight="1">
      <c r="A119" s="868"/>
      <c r="B119" s="1338"/>
      <c r="C119" s="880">
        <v>0.35416666666666669</v>
      </c>
      <c r="D119" s="863"/>
      <c r="E119" s="864"/>
      <c r="F119" s="864"/>
      <c r="G119" s="1035"/>
      <c r="H119" s="864"/>
      <c r="I119" s="864"/>
      <c r="J119" s="880">
        <v>0.35416666666666669</v>
      </c>
      <c r="K119" s="863"/>
      <c r="L119" s="864"/>
      <c r="M119" s="1036"/>
      <c r="N119" s="864"/>
      <c r="O119" s="864"/>
      <c r="P119" s="865"/>
      <c r="Q119" s="868"/>
      <c r="R119" s="1338"/>
      <c r="S119" s="880">
        <v>0.35416666666666669</v>
      </c>
      <c r="T119" s="863"/>
      <c r="U119" s="864"/>
      <c r="V119" s="864"/>
      <c r="W119" s="1035"/>
      <c r="X119" s="864"/>
      <c r="Y119" s="864"/>
      <c r="Z119" s="880">
        <v>0.35416666666666669</v>
      </c>
      <c r="AA119" s="863"/>
      <c r="AB119" s="864"/>
      <c r="AC119" s="1036"/>
      <c r="AD119" s="864"/>
      <c r="AE119" s="864"/>
      <c r="AF119" s="865"/>
      <c r="AJ119" s="1482"/>
      <c r="AK119" s="1483"/>
      <c r="AL119" s="1484"/>
      <c r="AM119" s="1058"/>
      <c r="AN119" s="1479" t="s">
        <v>3201</v>
      </c>
      <c r="AO119" s="1480"/>
      <c r="AP119" s="1481"/>
      <c r="AQ119" s="1058"/>
      <c r="AR119" s="1429" t="s">
        <v>3202</v>
      </c>
      <c r="AS119" s="1430"/>
      <c r="AT119" s="1430"/>
      <c r="AU119" s="1058"/>
      <c r="AV119" s="1058"/>
    </row>
    <row r="120" spans="1:48" ht="16.5" customHeight="1" thickBot="1">
      <c r="A120" s="861"/>
      <c r="B120" s="861"/>
      <c r="C120" s="883">
        <v>0.36458333333333331</v>
      </c>
      <c r="D120" s="881"/>
      <c r="E120" s="882"/>
      <c r="F120" s="882"/>
      <c r="G120" s="1039"/>
      <c r="H120" s="882"/>
      <c r="I120" s="882"/>
      <c r="J120" s="884">
        <v>0.36458333333333331</v>
      </c>
      <c r="K120" s="870"/>
      <c r="L120" s="871"/>
      <c r="M120" s="1038"/>
      <c r="N120" s="871"/>
      <c r="O120" s="871"/>
      <c r="P120" s="873"/>
      <c r="Q120" s="861"/>
      <c r="R120" s="861"/>
      <c r="S120" s="885">
        <v>0.36458333333333331</v>
      </c>
      <c r="T120" s="870"/>
      <c r="U120" s="871"/>
      <c r="V120" s="871"/>
      <c r="W120" s="1037"/>
      <c r="X120" s="871"/>
      <c r="Y120" s="871"/>
      <c r="Z120" s="884">
        <v>0.36458333333333331</v>
      </c>
      <c r="AA120" s="870"/>
      <c r="AB120" s="871"/>
      <c r="AC120" s="1038"/>
      <c r="AD120" s="871"/>
      <c r="AE120" s="871"/>
      <c r="AF120" s="873"/>
      <c r="AJ120" s="1482"/>
      <c r="AK120" s="1483"/>
      <c r="AL120" s="1484"/>
      <c r="AM120" s="1058"/>
      <c r="AN120" s="1482"/>
      <c r="AO120" s="1483"/>
      <c r="AP120" s="1484"/>
      <c r="AQ120" s="1058"/>
      <c r="AR120" s="1430"/>
      <c r="AS120" s="1430"/>
      <c r="AT120" s="1430"/>
      <c r="AU120" s="1058"/>
      <c r="AV120" s="1058"/>
    </row>
    <row r="121" spans="1:48" ht="16.5" customHeight="1" thickTop="1">
      <c r="A121" s="855"/>
      <c r="B121" s="855"/>
      <c r="C121" s="886">
        <v>0.375</v>
      </c>
      <c r="D121" s="887"/>
      <c r="E121" s="888"/>
      <c r="F121" s="888"/>
      <c r="G121" s="1040"/>
      <c r="H121" s="888"/>
      <c r="I121" s="889"/>
      <c r="J121" s="859">
        <v>0.375</v>
      </c>
      <c r="K121" s="875"/>
      <c r="L121" s="876"/>
      <c r="M121" s="1034"/>
      <c r="N121" s="876"/>
      <c r="O121" s="876"/>
      <c r="P121" s="878"/>
      <c r="Q121" s="855"/>
      <c r="R121" s="855"/>
      <c r="S121" s="856">
        <v>0.375</v>
      </c>
      <c r="T121" s="875"/>
      <c r="U121" s="876"/>
      <c r="V121" s="876"/>
      <c r="W121" s="1033"/>
      <c r="X121" s="876"/>
      <c r="Y121" s="876"/>
      <c r="Z121" s="859">
        <v>0.375</v>
      </c>
      <c r="AA121" s="875"/>
      <c r="AB121" s="876"/>
      <c r="AC121" s="1034"/>
      <c r="AD121" s="876"/>
      <c r="AE121" s="876"/>
      <c r="AF121" s="878"/>
      <c r="AJ121" s="1482"/>
      <c r="AK121" s="1483"/>
      <c r="AL121" s="1484"/>
      <c r="AM121" s="1058"/>
      <c r="AN121" s="1482"/>
      <c r="AO121" s="1483"/>
      <c r="AP121" s="1484"/>
      <c r="AQ121" s="1058"/>
      <c r="AR121" s="1430"/>
      <c r="AS121" s="1430"/>
      <c r="AT121" s="1430"/>
      <c r="AU121" s="1058"/>
      <c r="AV121" s="1058"/>
    </row>
    <row r="122" spans="1:48" ht="16.5" customHeight="1">
      <c r="A122" s="861"/>
      <c r="B122" s="861"/>
      <c r="C122" s="862">
        <v>0.38541666666666669</v>
      </c>
      <c r="D122" s="863"/>
      <c r="E122" s="864"/>
      <c r="F122" s="864"/>
      <c r="G122" s="1035"/>
      <c r="H122" s="864"/>
      <c r="I122" s="864"/>
      <c r="J122" s="862">
        <v>0.38541666666666669</v>
      </c>
      <c r="K122" s="863"/>
      <c r="L122" s="864"/>
      <c r="M122" s="1036"/>
      <c r="N122" s="864"/>
      <c r="O122" s="864"/>
      <c r="P122" s="865"/>
      <c r="Q122" s="861"/>
      <c r="R122" s="861"/>
      <c r="S122" s="862">
        <v>0.38541666666666669</v>
      </c>
      <c r="T122" s="863"/>
      <c r="U122" s="864"/>
      <c r="V122" s="864"/>
      <c r="W122" s="1035"/>
      <c r="X122" s="864"/>
      <c r="Y122" s="864"/>
      <c r="Z122" s="862">
        <v>0.38541666666666669</v>
      </c>
      <c r="AA122" s="863"/>
      <c r="AB122" s="864"/>
      <c r="AC122" s="1036"/>
      <c r="AD122" s="864"/>
      <c r="AE122" s="864"/>
      <c r="AF122" s="865"/>
      <c r="AJ122" s="1482"/>
      <c r="AK122" s="1483"/>
      <c r="AL122" s="1484"/>
      <c r="AM122" s="1058"/>
      <c r="AN122" s="1482"/>
      <c r="AO122" s="1483"/>
      <c r="AP122" s="1484"/>
      <c r="AQ122" s="1058"/>
      <c r="AR122" s="1430"/>
      <c r="AS122" s="1430"/>
      <c r="AT122" s="1430"/>
      <c r="AU122" s="1058"/>
      <c r="AV122" s="1058"/>
    </row>
    <row r="123" spans="1:48" ht="16.5" customHeight="1">
      <c r="A123" s="866"/>
      <c r="B123" s="866"/>
      <c r="C123" s="867">
        <v>0.39583333333333331</v>
      </c>
      <c r="D123" s="863"/>
      <c r="E123" s="864"/>
      <c r="F123" s="864"/>
      <c r="G123" s="1035"/>
      <c r="H123" s="864"/>
      <c r="I123" s="864"/>
      <c r="J123" s="867">
        <v>0.39583333333333331</v>
      </c>
      <c r="K123" s="863"/>
      <c r="L123" s="864"/>
      <c r="M123" s="1036"/>
      <c r="N123" s="864"/>
      <c r="O123" s="864"/>
      <c r="P123" s="865"/>
      <c r="Q123" s="866"/>
      <c r="R123" s="866"/>
      <c r="S123" s="867">
        <v>0.39583333333333331</v>
      </c>
      <c r="T123" s="863"/>
      <c r="U123" s="864"/>
      <c r="V123" s="864"/>
      <c r="W123" s="1035"/>
      <c r="X123" s="864"/>
      <c r="Y123" s="864"/>
      <c r="Z123" s="867">
        <v>0.39583333333333331</v>
      </c>
      <c r="AA123" s="863"/>
      <c r="AB123" s="864"/>
      <c r="AC123" s="1036"/>
      <c r="AD123" s="864"/>
      <c r="AE123" s="864"/>
      <c r="AF123" s="865"/>
      <c r="AJ123" s="1482"/>
      <c r="AK123" s="1483"/>
      <c r="AL123" s="1484"/>
      <c r="AM123" s="1058"/>
      <c r="AN123" s="1482"/>
      <c r="AO123" s="1483"/>
      <c r="AP123" s="1484"/>
      <c r="AQ123" s="1058"/>
      <c r="AR123" s="1430"/>
      <c r="AS123" s="1430"/>
      <c r="AT123" s="1430"/>
      <c r="AU123" s="1058"/>
      <c r="AV123" s="1058"/>
    </row>
    <row r="124" spans="1:48" ht="16.5" customHeight="1" thickBot="1">
      <c r="A124" s="861"/>
      <c r="B124" s="861"/>
      <c r="C124" s="883">
        <v>0.40625</v>
      </c>
      <c r="D124" s="881"/>
      <c r="E124" s="882"/>
      <c r="F124" s="882"/>
      <c r="G124" s="1039"/>
      <c r="H124" s="882"/>
      <c r="I124" s="882"/>
      <c r="J124" s="884">
        <v>0.40625</v>
      </c>
      <c r="K124" s="870"/>
      <c r="L124" s="871"/>
      <c r="M124" s="1038"/>
      <c r="N124" s="871"/>
      <c r="O124" s="871"/>
      <c r="P124" s="873"/>
      <c r="Q124" s="861"/>
      <c r="R124" s="861"/>
      <c r="S124" s="885">
        <v>0.40625</v>
      </c>
      <c r="T124" s="870"/>
      <c r="U124" s="871"/>
      <c r="V124" s="871"/>
      <c r="W124" s="1037"/>
      <c r="X124" s="871"/>
      <c r="Y124" s="871"/>
      <c r="Z124" s="884">
        <v>0.40625</v>
      </c>
      <c r="AA124" s="870"/>
      <c r="AB124" s="871"/>
      <c r="AC124" s="1038"/>
      <c r="AD124" s="871"/>
      <c r="AE124" s="871"/>
      <c r="AF124" s="873"/>
      <c r="AJ124" s="1482"/>
      <c r="AK124" s="1483"/>
      <c r="AL124" s="1484"/>
      <c r="AM124" s="1058"/>
      <c r="AN124" s="1485"/>
      <c r="AO124" s="1486"/>
      <c r="AP124" s="1487"/>
      <c r="AQ124" s="1058"/>
      <c r="AR124" s="1430"/>
      <c r="AS124" s="1430"/>
      <c r="AT124" s="1430"/>
      <c r="AU124" s="1058"/>
      <c r="AV124" s="1058"/>
    </row>
    <row r="125" spans="1:48" ht="16.5" customHeight="1" thickTop="1">
      <c r="A125" s="855"/>
      <c r="B125" s="855"/>
      <c r="C125" s="890">
        <v>0.41666666666666669</v>
      </c>
      <c r="D125" s="891"/>
      <c r="E125" s="892"/>
      <c r="F125" s="892"/>
      <c r="G125" s="1041"/>
      <c r="H125" s="892"/>
      <c r="I125" s="893"/>
      <c r="J125" s="859">
        <v>0.41666666666666669</v>
      </c>
      <c r="K125" s="875"/>
      <c r="L125" s="876"/>
      <c r="M125" s="1034"/>
      <c r="N125" s="876"/>
      <c r="O125" s="876"/>
      <c r="P125" s="878"/>
      <c r="Q125" s="855"/>
      <c r="R125" s="855"/>
      <c r="S125" s="856">
        <v>0.41666666666666669</v>
      </c>
      <c r="T125" s="875"/>
      <c r="U125" s="876"/>
      <c r="V125" s="876"/>
      <c r="W125" s="1033"/>
      <c r="X125" s="876"/>
      <c r="Y125" s="876"/>
      <c r="Z125" s="859">
        <v>0.41666666666666669</v>
      </c>
      <c r="AA125" s="875"/>
      <c r="AB125" s="876"/>
      <c r="AC125" s="1034"/>
      <c r="AD125" s="876"/>
      <c r="AE125" s="876"/>
      <c r="AF125" s="878"/>
      <c r="AJ125" s="1482"/>
      <c r="AK125" s="1483"/>
      <c r="AL125" s="1484"/>
      <c r="AM125" s="1058"/>
      <c r="AN125" s="1059"/>
      <c r="AO125" s="1059"/>
      <c r="AP125" s="1059"/>
      <c r="AQ125" s="1058"/>
      <c r="AR125" s="1430"/>
      <c r="AS125" s="1430"/>
      <c r="AT125" s="1430"/>
      <c r="AU125" s="1058"/>
      <c r="AV125" s="1058"/>
    </row>
    <row r="126" spans="1:48" ht="16.5" customHeight="1">
      <c r="A126" s="861"/>
      <c r="B126" s="861"/>
      <c r="C126" s="862">
        <v>0.42708333333333331</v>
      </c>
      <c r="D126" s="863"/>
      <c r="E126" s="864"/>
      <c r="F126" s="864"/>
      <c r="G126" s="1035"/>
      <c r="H126" s="864"/>
      <c r="I126" s="864"/>
      <c r="J126" s="862">
        <v>0.42708333333333331</v>
      </c>
      <c r="K126" s="863"/>
      <c r="L126" s="864"/>
      <c r="M126" s="1036"/>
      <c r="N126" s="864"/>
      <c r="O126" s="864"/>
      <c r="P126" s="865"/>
      <c r="Q126" s="861"/>
      <c r="R126" s="861"/>
      <c r="S126" s="862">
        <v>0.42708333333333331</v>
      </c>
      <c r="T126" s="863"/>
      <c r="U126" s="864"/>
      <c r="V126" s="864"/>
      <c r="W126" s="1035"/>
      <c r="X126" s="864"/>
      <c r="Y126" s="864"/>
      <c r="Z126" s="862">
        <v>0.42708333333333331</v>
      </c>
      <c r="AA126" s="863"/>
      <c r="AB126" s="864"/>
      <c r="AC126" s="1036"/>
      <c r="AD126" s="864"/>
      <c r="AE126" s="864"/>
      <c r="AF126" s="865"/>
      <c r="AJ126" s="1482"/>
      <c r="AK126" s="1483"/>
      <c r="AL126" s="1484"/>
      <c r="AM126" s="1058"/>
      <c r="AN126" s="1058"/>
      <c r="AO126" s="1058" t="s">
        <v>3203</v>
      </c>
      <c r="AP126" s="1058"/>
      <c r="AQ126" s="1058"/>
      <c r="AR126" s="1058"/>
      <c r="AS126" s="1058"/>
      <c r="AT126" s="1058"/>
      <c r="AU126" s="1058"/>
      <c r="AV126" s="1058"/>
    </row>
    <row r="127" spans="1:48" ht="16.5" customHeight="1">
      <c r="A127" s="866"/>
      <c r="B127" s="866"/>
      <c r="C127" s="867">
        <v>0.4375</v>
      </c>
      <c r="D127" s="863"/>
      <c r="E127" s="864"/>
      <c r="F127" s="864"/>
      <c r="G127" s="1035"/>
      <c r="H127" s="864"/>
      <c r="I127" s="864"/>
      <c r="J127" s="867">
        <v>0.4375</v>
      </c>
      <c r="K127" s="863"/>
      <c r="L127" s="864"/>
      <c r="M127" s="1036"/>
      <c r="N127" s="864"/>
      <c r="O127" s="864"/>
      <c r="P127" s="865"/>
      <c r="Q127" s="866"/>
      <c r="R127" s="866"/>
      <c r="S127" s="867">
        <v>0.4375</v>
      </c>
      <c r="T127" s="863"/>
      <c r="U127" s="864"/>
      <c r="V127" s="864"/>
      <c r="W127" s="1035"/>
      <c r="X127" s="864"/>
      <c r="Y127" s="864"/>
      <c r="Z127" s="867">
        <v>0.4375</v>
      </c>
      <c r="AA127" s="863"/>
      <c r="AB127" s="864"/>
      <c r="AC127" s="1036"/>
      <c r="AD127" s="864"/>
      <c r="AE127" s="864"/>
      <c r="AF127" s="865"/>
      <c r="AJ127" s="1482"/>
      <c r="AK127" s="1483"/>
      <c r="AL127" s="1484"/>
      <c r="AM127" s="1058"/>
      <c r="AN127" s="1430" t="s">
        <v>3204</v>
      </c>
      <c r="AO127" s="1430"/>
      <c r="AP127" s="1430"/>
      <c r="AQ127" s="1058"/>
      <c r="AR127" s="1488"/>
      <c r="AS127" s="1488"/>
      <c r="AT127" s="1488"/>
      <c r="AU127" s="1058"/>
      <c r="AV127" s="1058"/>
    </row>
    <row r="128" spans="1:48" ht="16.5" customHeight="1">
      <c r="A128" s="861"/>
      <c r="B128" s="861"/>
      <c r="C128" s="885">
        <v>0.44791666666666669</v>
      </c>
      <c r="D128" s="870"/>
      <c r="E128" s="871"/>
      <c r="F128" s="871"/>
      <c r="G128" s="1037"/>
      <c r="H128" s="871"/>
      <c r="I128" s="871"/>
      <c r="J128" s="884">
        <v>0.44791666666666669</v>
      </c>
      <c r="K128" s="870"/>
      <c r="L128" s="871"/>
      <c r="M128" s="1038"/>
      <c r="N128" s="871"/>
      <c r="O128" s="871"/>
      <c r="P128" s="873"/>
      <c r="Q128" s="861"/>
      <c r="R128" s="861"/>
      <c r="S128" s="885">
        <v>0.44791666666666669</v>
      </c>
      <c r="T128" s="870"/>
      <c r="U128" s="871"/>
      <c r="V128" s="871"/>
      <c r="W128" s="1037"/>
      <c r="X128" s="871"/>
      <c r="Y128" s="871"/>
      <c r="Z128" s="884">
        <v>0.44791666666666669</v>
      </c>
      <c r="AA128" s="870"/>
      <c r="AB128" s="871"/>
      <c r="AC128" s="1038"/>
      <c r="AD128" s="871"/>
      <c r="AE128" s="871"/>
      <c r="AF128" s="873"/>
      <c r="AJ128" s="1485"/>
      <c r="AK128" s="1486"/>
      <c r="AL128" s="1487"/>
      <c r="AM128" s="1058"/>
      <c r="AN128" s="1430"/>
      <c r="AO128" s="1430"/>
      <c r="AP128" s="1430"/>
      <c r="AQ128" s="1058"/>
      <c r="AR128" s="1488"/>
      <c r="AS128" s="1488"/>
      <c r="AT128" s="1488"/>
      <c r="AU128" s="1058"/>
      <c r="AV128" s="1058"/>
    </row>
    <row r="129" spans="1:48" ht="16.5" customHeight="1">
      <c r="A129" s="855"/>
      <c r="B129" s="855"/>
      <c r="C129" s="856">
        <v>0.45833333333333331</v>
      </c>
      <c r="D129" s="875"/>
      <c r="E129" s="876"/>
      <c r="F129" s="876"/>
      <c r="G129" s="1033"/>
      <c r="H129" s="876"/>
      <c r="I129" s="876"/>
      <c r="J129" s="859">
        <v>0.45833333333333331</v>
      </c>
      <c r="K129" s="875"/>
      <c r="L129" s="876"/>
      <c r="M129" s="1034"/>
      <c r="N129" s="876"/>
      <c r="O129" s="876"/>
      <c r="P129" s="878"/>
      <c r="Q129" s="855"/>
      <c r="R129" s="855"/>
      <c r="S129" s="856">
        <v>0.45833333333333331</v>
      </c>
      <c r="T129" s="875"/>
      <c r="U129" s="876"/>
      <c r="V129" s="876"/>
      <c r="W129" s="1033"/>
      <c r="X129" s="876"/>
      <c r="Y129" s="876"/>
      <c r="Z129" s="859">
        <v>0.45833333333333331</v>
      </c>
      <c r="AA129" s="875"/>
      <c r="AB129" s="876"/>
      <c r="AC129" s="1034"/>
      <c r="AD129" s="876"/>
      <c r="AE129" s="876"/>
      <c r="AF129" s="878"/>
      <c r="AJ129" s="1430" t="s">
        <v>3103</v>
      </c>
      <c r="AK129" s="1430"/>
      <c r="AL129" s="1430"/>
      <c r="AM129" s="1058"/>
      <c r="AN129" s="1430"/>
      <c r="AO129" s="1430"/>
      <c r="AP129" s="1430"/>
      <c r="AQ129" s="1058"/>
      <c r="AR129" s="1488"/>
      <c r="AS129" s="1488"/>
      <c r="AT129" s="1488"/>
      <c r="AU129" s="1058"/>
      <c r="AV129" s="1058"/>
    </row>
    <row r="130" spans="1:48" ht="16.5" customHeight="1">
      <c r="A130" s="861"/>
      <c r="B130" s="861"/>
      <c r="C130" s="862">
        <v>0.46875</v>
      </c>
      <c r="D130" s="863"/>
      <c r="E130" s="864"/>
      <c r="F130" s="864"/>
      <c r="G130" s="1035"/>
      <c r="H130" s="864"/>
      <c r="I130" s="864"/>
      <c r="J130" s="862">
        <v>0.46875</v>
      </c>
      <c r="K130" s="863"/>
      <c r="L130" s="864"/>
      <c r="M130" s="1036"/>
      <c r="N130" s="864"/>
      <c r="O130" s="864"/>
      <c r="P130" s="865"/>
      <c r="Q130" s="861"/>
      <c r="R130" s="861"/>
      <c r="S130" s="862">
        <v>0.46875</v>
      </c>
      <c r="T130" s="863"/>
      <c r="U130" s="864"/>
      <c r="V130" s="864"/>
      <c r="W130" s="1035"/>
      <c r="X130" s="864"/>
      <c r="Y130" s="864"/>
      <c r="Z130" s="862">
        <v>0.46875</v>
      </c>
      <c r="AA130" s="863"/>
      <c r="AB130" s="864"/>
      <c r="AC130" s="1036"/>
      <c r="AD130" s="864"/>
      <c r="AE130" s="864"/>
      <c r="AF130" s="865"/>
      <c r="AJ130" s="1430"/>
      <c r="AK130" s="1430"/>
      <c r="AL130" s="1430"/>
      <c r="AM130" s="1058"/>
      <c r="AN130" s="1430"/>
      <c r="AO130" s="1430"/>
      <c r="AP130" s="1430"/>
      <c r="AQ130" s="1058"/>
      <c r="AR130" s="1488"/>
      <c r="AS130" s="1488"/>
      <c r="AT130" s="1488"/>
      <c r="AU130" s="1058"/>
      <c r="AV130" s="1058"/>
    </row>
    <row r="131" spans="1:48" ht="16.5" customHeight="1">
      <c r="A131" s="868"/>
      <c r="B131" s="1388" t="s">
        <v>3039</v>
      </c>
      <c r="C131" s="880">
        <v>0.47916666666666669</v>
      </c>
      <c r="D131" s="863"/>
      <c r="E131" s="864"/>
      <c r="F131" s="864"/>
      <c r="G131" s="1035"/>
      <c r="H131" s="864"/>
      <c r="I131" s="864"/>
      <c r="J131" s="880">
        <v>0.47916666666666669</v>
      </c>
      <c r="K131" s="863"/>
      <c r="L131" s="864"/>
      <c r="M131" s="1036"/>
      <c r="N131" s="864"/>
      <c r="O131" s="864"/>
      <c r="P131" s="865"/>
      <c r="Q131" s="868"/>
      <c r="R131" s="1388" t="s">
        <v>3039</v>
      </c>
      <c r="S131" s="880">
        <v>0.47916666666666669</v>
      </c>
      <c r="T131" s="863"/>
      <c r="U131" s="864"/>
      <c r="V131" s="864"/>
      <c r="W131" s="1035"/>
      <c r="X131" s="864"/>
      <c r="Y131" s="864"/>
      <c r="Z131" s="880">
        <v>0.47916666666666669</v>
      </c>
      <c r="AA131" s="863"/>
      <c r="AB131" s="864"/>
      <c r="AC131" s="1036"/>
      <c r="AD131" s="864"/>
      <c r="AE131" s="864"/>
      <c r="AF131" s="865"/>
      <c r="AJ131" s="1058"/>
      <c r="AK131" s="1058"/>
      <c r="AL131" s="1058"/>
      <c r="AM131" s="1058"/>
      <c r="AN131" s="1058"/>
      <c r="AO131" s="1058"/>
      <c r="AP131" s="1058"/>
      <c r="AQ131" s="1058"/>
      <c r="AR131" s="1058"/>
      <c r="AS131" s="1058"/>
      <c r="AT131" s="1058"/>
      <c r="AU131" s="1058"/>
      <c r="AV131" s="1058"/>
    </row>
    <row r="132" spans="1:48" ht="16.5" customHeight="1">
      <c r="A132" s="868"/>
      <c r="B132" s="1370"/>
      <c r="C132" s="869">
        <v>0.48958333333333331</v>
      </c>
      <c r="D132" s="870"/>
      <c r="E132" s="871"/>
      <c r="F132" s="871"/>
      <c r="G132" s="1037"/>
      <c r="H132" s="871"/>
      <c r="I132" s="871"/>
      <c r="J132" s="872">
        <v>0.48958333333333331</v>
      </c>
      <c r="K132" s="870"/>
      <c r="L132" s="871"/>
      <c r="M132" s="1038"/>
      <c r="N132" s="871"/>
      <c r="O132" s="871"/>
      <c r="P132" s="873"/>
      <c r="Q132" s="868"/>
      <c r="R132" s="1370"/>
      <c r="S132" s="869">
        <v>0.48958333333333331</v>
      </c>
      <c r="T132" s="870"/>
      <c r="U132" s="871"/>
      <c r="V132" s="871"/>
      <c r="W132" s="1037"/>
      <c r="X132" s="871"/>
      <c r="Y132" s="871"/>
      <c r="Z132" s="872">
        <v>0.48958333333333331</v>
      </c>
      <c r="AA132" s="870"/>
      <c r="AB132" s="871"/>
      <c r="AC132" s="1038"/>
      <c r="AD132" s="871"/>
      <c r="AE132" s="871"/>
      <c r="AF132" s="873"/>
      <c r="AJ132" s="1058"/>
      <c r="AK132" s="1058"/>
      <c r="AL132" s="1058"/>
      <c r="AM132" s="1058"/>
      <c r="AN132" s="1058"/>
      <c r="AO132" s="1058"/>
      <c r="AP132" s="1058"/>
      <c r="AQ132" s="1058"/>
      <c r="AR132" s="1058"/>
      <c r="AS132" s="1058"/>
      <c r="AT132" s="1058"/>
      <c r="AU132" s="1058"/>
      <c r="AV132" s="1058"/>
    </row>
    <row r="133" spans="1:48" ht="16.5" customHeight="1">
      <c r="A133" s="868"/>
      <c r="B133" s="1370"/>
      <c r="C133" s="874">
        <v>0.5</v>
      </c>
      <c r="D133" s="875"/>
      <c r="E133" s="876"/>
      <c r="F133" s="876"/>
      <c r="G133" s="1033"/>
      <c r="H133" s="876"/>
      <c r="I133" s="876"/>
      <c r="J133" s="877">
        <v>0.5</v>
      </c>
      <c r="K133" s="875"/>
      <c r="L133" s="876"/>
      <c r="M133" s="1034"/>
      <c r="N133" s="876"/>
      <c r="O133" s="876"/>
      <c r="P133" s="878"/>
      <c r="Q133" s="868"/>
      <c r="R133" s="1370"/>
      <c r="S133" s="874">
        <v>0.5</v>
      </c>
      <c r="T133" s="875"/>
      <c r="U133" s="876"/>
      <c r="V133" s="876"/>
      <c r="W133" s="1033"/>
      <c r="X133" s="876"/>
      <c r="Y133" s="876"/>
      <c r="Z133" s="877">
        <v>0.5</v>
      </c>
      <c r="AA133" s="875"/>
      <c r="AB133" s="876"/>
      <c r="AC133" s="1034"/>
      <c r="AD133" s="876"/>
      <c r="AE133" s="876"/>
      <c r="AF133" s="878"/>
      <c r="AJ133" s="1430" t="s">
        <v>3043</v>
      </c>
      <c r="AK133" s="1430"/>
      <c r="AL133" s="1430"/>
      <c r="AM133" s="1430"/>
      <c r="AN133" s="1430"/>
      <c r="AO133" s="1430"/>
      <c r="AP133" s="1058"/>
      <c r="AQ133" s="1430" t="s">
        <v>3040</v>
      </c>
      <c r="AR133" s="1430"/>
      <c r="AS133" s="1430"/>
      <c r="AT133" s="1430"/>
      <c r="AU133" s="1430"/>
      <c r="AV133" s="1430"/>
    </row>
    <row r="134" spans="1:48" ht="16.5" customHeight="1">
      <c r="A134" s="868"/>
      <c r="B134" s="1370"/>
      <c r="C134" s="879">
        <v>0.51041666666666663</v>
      </c>
      <c r="D134" s="863"/>
      <c r="E134" s="864"/>
      <c r="F134" s="864"/>
      <c r="G134" s="1035"/>
      <c r="H134" s="864"/>
      <c r="I134" s="864"/>
      <c r="J134" s="879">
        <v>0.51041666666666663</v>
      </c>
      <c r="K134" s="863"/>
      <c r="L134" s="864"/>
      <c r="M134" s="1036"/>
      <c r="N134" s="864"/>
      <c r="O134" s="864"/>
      <c r="P134" s="865"/>
      <c r="Q134" s="868"/>
      <c r="R134" s="1370"/>
      <c r="S134" s="879">
        <v>0.51041666666666663</v>
      </c>
      <c r="T134" s="863"/>
      <c r="U134" s="864"/>
      <c r="V134" s="864"/>
      <c r="W134" s="1035"/>
      <c r="X134" s="864"/>
      <c r="Y134" s="864"/>
      <c r="Z134" s="879">
        <v>0.51041666666666663</v>
      </c>
      <c r="AA134" s="863"/>
      <c r="AB134" s="864"/>
      <c r="AC134" s="1036"/>
      <c r="AD134" s="864"/>
      <c r="AE134" s="864"/>
      <c r="AF134" s="865"/>
      <c r="AJ134" s="1430"/>
      <c r="AK134" s="1430"/>
      <c r="AL134" s="1430"/>
      <c r="AM134" s="1430"/>
      <c r="AN134" s="1430"/>
      <c r="AO134" s="1430"/>
      <c r="AP134" s="1058"/>
      <c r="AQ134" s="1430"/>
      <c r="AR134" s="1430"/>
      <c r="AS134" s="1430"/>
      <c r="AT134" s="1430"/>
      <c r="AU134" s="1430"/>
      <c r="AV134" s="1430"/>
    </row>
    <row r="135" spans="1:48" ht="16.5" customHeight="1">
      <c r="A135" s="868"/>
      <c r="B135" s="1370"/>
      <c r="C135" s="880">
        <v>0.52083333333333337</v>
      </c>
      <c r="D135" s="863"/>
      <c r="E135" s="864"/>
      <c r="F135" s="864"/>
      <c r="G135" s="1035"/>
      <c r="H135" s="864"/>
      <c r="I135" s="864"/>
      <c r="J135" s="880">
        <v>0.52083333333333337</v>
      </c>
      <c r="K135" s="863"/>
      <c r="L135" s="864"/>
      <c r="M135" s="1036"/>
      <c r="N135" s="864"/>
      <c r="O135" s="864"/>
      <c r="P135" s="865"/>
      <c r="Q135" s="868"/>
      <c r="R135" s="1370"/>
      <c r="S135" s="880">
        <v>0.52083333333333337</v>
      </c>
      <c r="T135" s="863"/>
      <c r="U135" s="864"/>
      <c r="V135" s="864"/>
      <c r="W135" s="1035"/>
      <c r="X135" s="864"/>
      <c r="Y135" s="864"/>
      <c r="Z135" s="880">
        <v>0.52083333333333337</v>
      </c>
      <c r="AA135" s="863"/>
      <c r="AB135" s="864"/>
      <c r="AC135" s="1036"/>
      <c r="AD135" s="864"/>
      <c r="AE135" s="864"/>
      <c r="AF135" s="865"/>
      <c r="AJ135" s="1430"/>
      <c r="AK135" s="1430"/>
      <c r="AL135" s="1430"/>
      <c r="AM135" s="1430"/>
      <c r="AN135" s="1430"/>
      <c r="AO135" s="1430"/>
      <c r="AP135" s="1058"/>
      <c r="AQ135" s="1430"/>
      <c r="AR135" s="1430"/>
      <c r="AS135" s="1430"/>
      <c r="AT135" s="1430"/>
      <c r="AU135" s="1430"/>
      <c r="AV135" s="1430"/>
    </row>
    <row r="136" spans="1:48" ht="16.5" customHeight="1">
      <c r="A136" s="868"/>
      <c r="B136" s="1370"/>
      <c r="C136" s="869">
        <v>0.53125</v>
      </c>
      <c r="D136" s="870"/>
      <c r="E136" s="871"/>
      <c r="F136" s="871"/>
      <c r="G136" s="1037"/>
      <c r="H136" s="871"/>
      <c r="I136" s="871"/>
      <c r="J136" s="872">
        <v>0.53125</v>
      </c>
      <c r="K136" s="870"/>
      <c r="L136" s="871"/>
      <c r="M136" s="1038"/>
      <c r="N136" s="871"/>
      <c r="O136" s="871"/>
      <c r="P136" s="873"/>
      <c r="Q136" s="868"/>
      <c r="R136" s="1370"/>
      <c r="S136" s="869">
        <v>0.53125</v>
      </c>
      <c r="T136" s="870"/>
      <c r="U136" s="871"/>
      <c r="V136" s="871"/>
      <c r="W136" s="1037"/>
      <c r="X136" s="871"/>
      <c r="Y136" s="871"/>
      <c r="Z136" s="872">
        <v>0.53125</v>
      </c>
      <c r="AA136" s="870"/>
      <c r="AB136" s="871"/>
      <c r="AC136" s="1038"/>
      <c r="AD136" s="871"/>
      <c r="AE136" s="871"/>
      <c r="AF136" s="873"/>
      <c r="AJ136" s="1058"/>
      <c r="AK136" s="1058"/>
      <c r="AL136" s="1058"/>
      <c r="AM136" s="1058"/>
      <c r="AN136" s="1058"/>
      <c r="AO136" s="1058"/>
      <c r="AP136" s="1058"/>
      <c r="AQ136" s="1430"/>
      <c r="AR136" s="1430"/>
      <c r="AS136" s="1430"/>
      <c r="AT136" s="1430"/>
      <c r="AU136" s="1430"/>
      <c r="AV136" s="1430"/>
    </row>
    <row r="137" spans="1:48" ht="16.5" customHeight="1">
      <c r="A137" s="868"/>
      <c r="B137" s="1370"/>
      <c r="C137" s="874">
        <v>0.54166666666666663</v>
      </c>
      <c r="D137" s="875"/>
      <c r="E137" s="876"/>
      <c r="F137" s="876"/>
      <c r="G137" s="1033"/>
      <c r="H137" s="876"/>
      <c r="I137" s="876"/>
      <c r="J137" s="877">
        <v>0.54166666666666663</v>
      </c>
      <c r="K137" s="894"/>
      <c r="L137" s="876"/>
      <c r="M137" s="1034"/>
      <c r="N137" s="876"/>
      <c r="O137" s="876"/>
      <c r="P137" s="878"/>
      <c r="Q137" s="868"/>
      <c r="R137" s="1370"/>
      <c r="S137" s="874">
        <v>0.54166666666666663</v>
      </c>
      <c r="T137" s="875"/>
      <c r="U137" s="876"/>
      <c r="V137" s="876"/>
      <c r="W137" s="1033"/>
      <c r="X137" s="876"/>
      <c r="Y137" s="876"/>
      <c r="Z137" s="877">
        <v>0.54166666666666663</v>
      </c>
      <c r="AA137" s="894"/>
      <c r="AB137" s="876"/>
      <c r="AC137" s="1034"/>
      <c r="AD137" s="876"/>
      <c r="AE137" s="876"/>
      <c r="AF137" s="878"/>
    </row>
    <row r="138" spans="1:48" ht="16.5" customHeight="1">
      <c r="A138" s="868"/>
      <c r="B138" s="1338"/>
      <c r="C138" s="879">
        <v>0.55208333333333337</v>
      </c>
      <c r="D138" s="863"/>
      <c r="E138" s="864"/>
      <c r="F138" s="864"/>
      <c r="G138" s="1035"/>
      <c r="H138" s="864"/>
      <c r="I138" s="864"/>
      <c r="J138" s="879">
        <v>0.55208333333333337</v>
      </c>
      <c r="K138" s="863"/>
      <c r="L138" s="864"/>
      <c r="M138" s="1036"/>
      <c r="N138" s="864"/>
      <c r="O138" s="864"/>
      <c r="P138" s="865"/>
      <c r="Q138" s="868"/>
      <c r="R138" s="1338"/>
      <c r="S138" s="879">
        <v>0.55208333333333337</v>
      </c>
      <c r="T138" s="863"/>
      <c r="U138" s="864"/>
      <c r="V138" s="864"/>
      <c r="W138" s="1035"/>
      <c r="X138" s="864"/>
      <c r="Y138" s="864"/>
      <c r="Z138" s="879">
        <v>0.55208333333333337</v>
      </c>
      <c r="AA138" s="863"/>
      <c r="AB138" s="864"/>
      <c r="AC138" s="1036"/>
      <c r="AD138" s="864"/>
      <c r="AE138" s="864"/>
      <c r="AF138" s="865"/>
    </row>
    <row r="139" spans="1:48" ht="16.5" customHeight="1">
      <c r="A139" s="866"/>
      <c r="B139" s="866"/>
      <c r="C139" s="867">
        <v>0.5625</v>
      </c>
      <c r="D139" s="863"/>
      <c r="E139" s="864"/>
      <c r="F139" s="864"/>
      <c r="G139" s="1035"/>
      <c r="H139" s="864"/>
      <c r="I139" s="864"/>
      <c r="J139" s="867">
        <v>0.5625</v>
      </c>
      <c r="K139" s="863"/>
      <c r="L139" s="864"/>
      <c r="M139" s="1036"/>
      <c r="N139" s="864"/>
      <c r="O139" s="864"/>
      <c r="P139" s="865"/>
      <c r="Q139" s="866"/>
      <c r="R139" s="866"/>
      <c r="S139" s="867">
        <v>0.5625</v>
      </c>
      <c r="T139" s="863"/>
      <c r="U139" s="864"/>
      <c r="V139" s="864"/>
      <c r="W139" s="1035"/>
      <c r="X139" s="864"/>
      <c r="Y139" s="864"/>
      <c r="Z139" s="897">
        <v>0.5625</v>
      </c>
      <c r="AA139" s="864"/>
      <c r="AB139" s="864"/>
      <c r="AC139" s="1036"/>
      <c r="AD139" s="864"/>
      <c r="AE139" s="864"/>
      <c r="AF139" s="865"/>
    </row>
    <row r="140" spans="1:48" ht="16.5" customHeight="1">
      <c r="A140" s="861"/>
      <c r="B140" s="861"/>
      <c r="C140" s="885">
        <v>0.57291666666666663</v>
      </c>
      <c r="D140" s="870"/>
      <c r="E140" s="871"/>
      <c r="F140" s="871"/>
      <c r="G140" s="1037"/>
      <c r="H140" s="871"/>
      <c r="I140" s="871"/>
      <c r="J140" s="884">
        <v>0.57291666666666663</v>
      </c>
      <c r="K140" s="870"/>
      <c r="L140" s="871"/>
      <c r="M140" s="1038"/>
      <c r="N140" s="871"/>
      <c r="O140" s="871"/>
      <c r="P140" s="873"/>
      <c r="Q140" s="861"/>
      <c r="R140" s="861"/>
      <c r="S140" s="885">
        <v>0.57291666666666663</v>
      </c>
      <c r="T140" s="870"/>
      <c r="U140" s="871"/>
      <c r="V140" s="871"/>
      <c r="W140" s="1037"/>
      <c r="X140" s="871"/>
      <c r="Y140" s="871"/>
      <c r="Z140" s="898">
        <v>0.57291666666666663</v>
      </c>
      <c r="AA140" s="871"/>
      <c r="AB140" s="871"/>
      <c r="AC140" s="1038"/>
      <c r="AD140" s="871"/>
      <c r="AE140" s="871"/>
      <c r="AF140" s="873"/>
    </row>
    <row r="141" spans="1:48" ht="16.5" customHeight="1">
      <c r="A141" s="855"/>
      <c r="B141" s="855"/>
      <c r="C141" s="856">
        <v>0.58333333333333337</v>
      </c>
      <c r="D141" s="875"/>
      <c r="E141" s="876"/>
      <c r="F141" s="876"/>
      <c r="G141" s="1033"/>
      <c r="H141" s="876"/>
      <c r="I141" s="876"/>
      <c r="J141" s="899">
        <v>0.58333333333333337</v>
      </c>
      <c r="K141" s="876"/>
      <c r="L141" s="876"/>
      <c r="M141" s="1042"/>
      <c r="N141" s="876"/>
      <c r="O141" s="876"/>
      <c r="P141" s="878"/>
      <c r="Q141" s="855"/>
      <c r="R141" s="855"/>
      <c r="S141" s="856">
        <v>0.58333333333333337</v>
      </c>
      <c r="T141" s="875"/>
      <c r="U141" s="876"/>
      <c r="V141" s="876"/>
      <c r="W141" s="1033"/>
      <c r="X141" s="876"/>
      <c r="Y141" s="876"/>
      <c r="Z141" s="899">
        <v>0.58333333333333337</v>
      </c>
      <c r="AA141" s="876"/>
      <c r="AB141" s="876"/>
      <c r="AC141" s="1042"/>
      <c r="AD141" s="876"/>
      <c r="AE141" s="876"/>
      <c r="AF141" s="878"/>
    </row>
    <row r="142" spans="1:48" ht="16.5" customHeight="1">
      <c r="A142" s="861"/>
      <c r="B142" s="861"/>
      <c r="C142" s="862">
        <v>0.59375</v>
      </c>
      <c r="D142" s="863"/>
      <c r="E142" s="864"/>
      <c r="F142" s="864"/>
      <c r="G142" s="1035"/>
      <c r="H142" s="864"/>
      <c r="I142" s="864"/>
      <c r="J142" s="901">
        <v>0.59375</v>
      </c>
      <c r="K142" s="902"/>
      <c r="L142" s="864"/>
      <c r="M142" s="1036"/>
      <c r="N142" s="864"/>
      <c r="O142" s="864"/>
      <c r="P142" s="865"/>
      <c r="Q142" s="861"/>
      <c r="R142" s="861"/>
      <c r="S142" s="862">
        <v>0.59375</v>
      </c>
      <c r="T142" s="863"/>
      <c r="U142" s="864"/>
      <c r="V142" s="864"/>
      <c r="W142" s="1035"/>
      <c r="X142" s="864"/>
      <c r="Y142" s="864"/>
      <c r="Z142" s="901">
        <v>0.59375</v>
      </c>
      <c r="AA142" s="902"/>
      <c r="AB142" s="864"/>
      <c r="AC142" s="1036"/>
      <c r="AD142" s="864"/>
      <c r="AE142" s="864"/>
      <c r="AF142" s="865"/>
    </row>
    <row r="143" spans="1:48" ht="16.5" customHeight="1">
      <c r="A143" s="866"/>
      <c r="B143" s="866"/>
      <c r="C143" s="867">
        <v>0.60416666666666663</v>
      </c>
      <c r="D143" s="863"/>
      <c r="E143" s="864"/>
      <c r="F143" s="864"/>
      <c r="G143" s="1035"/>
      <c r="H143" s="864"/>
      <c r="I143" s="864"/>
      <c r="J143" s="897">
        <v>0.60416666666666663</v>
      </c>
      <c r="K143" s="864"/>
      <c r="L143" s="864"/>
      <c r="M143" s="1036"/>
      <c r="N143" s="864"/>
      <c r="O143" s="864"/>
      <c r="P143" s="865"/>
      <c r="Q143" s="866"/>
      <c r="R143" s="866"/>
      <c r="S143" s="867">
        <v>0.60416666666666663</v>
      </c>
      <c r="T143" s="863"/>
      <c r="U143" s="864"/>
      <c r="V143" s="864"/>
      <c r="W143" s="1035"/>
      <c r="X143" s="864"/>
      <c r="Y143" s="864"/>
      <c r="Z143" s="897">
        <v>0.60416666666666663</v>
      </c>
      <c r="AA143" s="864"/>
      <c r="AB143" s="864"/>
      <c r="AC143" s="1036"/>
      <c r="AD143" s="864"/>
      <c r="AE143" s="864"/>
      <c r="AF143" s="865"/>
      <c r="AJ143" s="1449" t="s">
        <v>3219</v>
      </c>
      <c r="AK143" s="1449"/>
      <c r="AL143" s="1449"/>
      <c r="AM143" s="1449"/>
      <c r="AN143" s="1449"/>
      <c r="AO143" s="1449"/>
      <c r="AP143" s="1449"/>
      <c r="AQ143" s="1449"/>
      <c r="AR143" s="1449"/>
      <c r="AS143" s="1449"/>
      <c r="AT143" s="1449"/>
      <c r="AU143" s="1449"/>
      <c r="AV143" s="1449"/>
    </row>
    <row r="144" spans="1:48" ht="16.5" customHeight="1">
      <c r="A144" s="861"/>
      <c r="B144" s="861"/>
      <c r="C144" s="885">
        <v>0.61458333333333337</v>
      </c>
      <c r="D144" s="870"/>
      <c r="E144" s="871"/>
      <c r="F144" s="871"/>
      <c r="G144" s="1037"/>
      <c r="H144" s="871"/>
      <c r="I144" s="871"/>
      <c r="J144" s="898">
        <v>0.61458333333333337</v>
      </c>
      <c r="K144" s="871"/>
      <c r="L144" s="871"/>
      <c r="M144" s="1038"/>
      <c r="N144" s="871"/>
      <c r="O144" s="871"/>
      <c r="P144" s="873"/>
      <c r="Q144" s="861"/>
      <c r="R144" s="861"/>
      <c r="S144" s="885">
        <v>0.61458333333333337</v>
      </c>
      <c r="T144" s="870"/>
      <c r="U144" s="871"/>
      <c r="V144" s="871"/>
      <c r="W144" s="1037"/>
      <c r="X144" s="871"/>
      <c r="Y144" s="871"/>
      <c r="Z144" s="898">
        <v>0.61458333333333337</v>
      </c>
      <c r="AA144" s="871"/>
      <c r="AB144" s="871"/>
      <c r="AC144" s="1038"/>
      <c r="AD144" s="871"/>
      <c r="AE144" s="871"/>
      <c r="AF144" s="873"/>
      <c r="AJ144" s="1449"/>
      <c r="AK144" s="1449"/>
      <c r="AL144" s="1449"/>
      <c r="AM144" s="1449"/>
      <c r="AN144" s="1449"/>
      <c r="AO144" s="1449"/>
      <c r="AP144" s="1449"/>
      <c r="AQ144" s="1449"/>
      <c r="AR144" s="1449"/>
      <c r="AS144" s="1449"/>
      <c r="AT144" s="1449"/>
      <c r="AU144" s="1449"/>
      <c r="AV144" s="1449"/>
    </row>
    <row r="145" spans="1:48" ht="16.5" customHeight="1">
      <c r="A145" s="855"/>
      <c r="B145" s="855"/>
      <c r="C145" s="856">
        <v>0.625</v>
      </c>
      <c r="D145" s="875"/>
      <c r="E145" s="876"/>
      <c r="F145" s="876"/>
      <c r="G145" s="1033"/>
      <c r="H145" s="876"/>
      <c r="I145" s="876"/>
      <c r="J145" s="899">
        <v>0.625</v>
      </c>
      <c r="K145" s="900"/>
      <c r="L145" s="876"/>
      <c r="M145" s="1042"/>
      <c r="N145" s="876"/>
      <c r="O145" s="876"/>
      <c r="P145" s="878"/>
      <c r="Q145" s="855"/>
      <c r="R145" s="855"/>
      <c r="S145" s="856">
        <v>0.625</v>
      </c>
      <c r="T145" s="875"/>
      <c r="U145" s="876"/>
      <c r="V145" s="876"/>
      <c r="W145" s="1033"/>
      <c r="X145" s="876"/>
      <c r="Y145" s="876"/>
      <c r="Z145" s="899">
        <v>0.625</v>
      </c>
      <c r="AA145" s="900"/>
      <c r="AB145" s="876"/>
      <c r="AC145" s="1042"/>
      <c r="AD145" s="876"/>
      <c r="AE145" s="876"/>
      <c r="AF145" s="878"/>
    </row>
    <row r="146" spans="1:48" ht="16.5" customHeight="1">
      <c r="A146" s="861"/>
      <c r="B146" s="861"/>
      <c r="C146" s="862">
        <v>0.63541666666666663</v>
      </c>
      <c r="D146" s="863"/>
      <c r="E146" s="864"/>
      <c r="F146" s="864"/>
      <c r="G146" s="1035"/>
      <c r="H146" s="864"/>
      <c r="I146" s="864"/>
      <c r="J146" s="901">
        <v>0.63541666666666663</v>
      </c>
      <c r="K146" s="902"/>
      <c r="L146" s="864"/>
      <c r="M146" s="1036"/>
      <c r="N146" s="864"/>
      <c r="O146" s="864"/>
      <c r="P146" s="865"/>
      <c r="Q146" s="861"/>
      <c r="R146" s="861"/>
      <c r="S146" s="862">
        <v>0.63541666666666663</v>
      </c>
      <c r="T146" s="863"/>
      <c r="U146" s="864"/>
      <c r="V146" s="864"/>
      <c r="W146" s="1035"/>
      <c r="X146" s="864"/>
      <c r="Y146" s="864"/>
      <c r="Z146" s="901">
        <v>0.63541666666666663</v>
      </c>
      <c r="AA146" s="902"/>
      <c r="AB146" s="864"/>
      <c r="AC146" s="1036"/>
      <c r="AD146" s="864"/>
      <c r="AE146" s="864"/>
      <c r="AF146" s="865"/>
      <c r="AJ146" s="1429" t="s">
        <v>3205</v>
      </c>
      <c r="AK146" s="1429"/>
      <c r="AL146" s="1429"/>
      <c r="AM146" s="1429"/>
      <c r="AN146" s="1429"/>
      <c r="AO146" s="1429"/>
      <c r="AP146" s="1058"/>
      <c r="AQ146" s="1429" t="s">
        <v>3208</v>
      </c>
      <c r="AR146" s="1430"/>
      <c r="AS146" s="1430"/>
      <c r="AT146" s="1430"/>
      <c r="AU146" s="1430"/>
      <c r="AV146" s="1430"/>
    </row>
    <row r="147" spans="1:48" ht="16.5" customHeight="1">
      <c r="A147" s="866"/>
      <c r="B147" s="866"/>
      <c r="C147" s="867">
        <v>0.64583333333333337</v>
      </c>
      <c r="D147" s="863"/>
      <c r="E147" s="864"/>
      <c r="F147" s="864"/>
      <c r="G147" s="1035"/>
      <c r="H147" s="864"/>
      <c r="I147" s="864"/>
      <c r="J147" s="897">
        <v>0.64583333333333337</v>
      </c>
      <c r="K147" s="864"/>
      <c r="L147" s="864"/>
      <c r="M147" s="1036"/>
      <c r="N147" s="864"/>
      <c r="O147" s="864"/>
      <c r="P147" s="865"/>
      <c r="Q147" s="866"/>
      <c r="R147" s="866"/>
      <c r="S147" s="867">
        <v>0.64583333333333337</v>
      </c>
      <c r="T147" s="863"/>
      <c r="U147" s="864"/>
      <c r="V147" s="864"/>
      <c r="W147" s="1035"/>
      <c r="X147" s="864"/>
      <c r="Y147" s="864"/>
      <c r="Z147" s="897">
        <v>0.64583333333333337</v>
      </c>
      <c r="AA147" s="864"/>
      <c r="AB147" s="864"/>
      <c r="AC147" s="1036"/>
      <c r="AD147" s="864"/>
      <c r="AE147" s="864"/>
      <c r="AF147" s="865"/>
      <c r="AJ147" s="1429"/>
      <c r="AK147" s="1429"/>
      <c r="AL147" s="1429"/>
      <c r="AM147" s="1429"/>
      <c r="AN147" s="1429"/>
      <c r="AO147" s="1429"/>
      <c r="AP147" s="1058"/>
      <c r="AQ147" s="1430"/>
      <c r="AR147" s="1430"/>
      <c r="AS147" s="1430"/>
      <c r="AT147" s="1430"/>
      <c r="AU147" s="1430"/>
      <c r="AV147" s="1430"/>
    </row>
    <row r="148" spans="1:48" ht="16.5" customHeight="1">
      <c r="A148" s="861"/>
      <c r="B148" s="861"/>
      <c r="C148" s="885">
        <v>0.65625</v>
      </c>
      <c r="D148" s="870"/>
      <c r="E148" s="871"/>
      <c r="F148" s="871"/>
      <c r="G148" s="1037"/>
      <c r="H148" s="871"/>
      <c r="I148" s="871"/>
      <c r="J148" s="898">
        <v>0.65625</v>
      </c>
      <c r="K148" s="871"/>
      <c r="L148" s="871"/>
      <c r="M148" s="1043"/>
      <c r="N148" s="871"/>
      <c r="O148" s="871"/>
      <c r="P148" s="873"/>
      <c r="Q148" s="861"/>
      <c r="R148" s="861"/>
      <c r="S148" s="885">
        <v>0.65625</v>
      </c>
      <c r="T148" s="870"/>
      <c r="U148" s="871"/>
      <c r="V148" s="871"/>
      <c r="W148" s="1037"/>
      <c r="X148" s="871"/>
      <c r="Y148" s="871"/>
      <c r="Z148" s="898">
        <v>0.65625</v>
      </c>
      <c r="AA148" s="871"/>
      <c r="AB148" s="871"/>
      <c r="AC148" s="1043"/>
      <c r="AD148" s="871"/>
      <c r="AE148" s="871"/>
      <c r="AF148" s="873"/>
      <c r="AJ148" s="1429"/>
      <c r="AK148" s="1429"/>
      <c r="AL148" s="1429"/>
      <c r="AM148" s="1429"/>
      <c r="AN148" s="1429"/>
      <c r="AO148" s="1429"/>
      <c r="AP148" s="1058"/>
      <c r="AQ148" s="1429" t="s">
        <v>3206</v>
      </c>
      <c r="AR148" s="1429"/>
      <c r="AS148" s="1429"/>
      <c r="AT148" s="1429"/>
      <c r="AU148" s="1429"/>
      <c r="AV148" s="1429"/>
    </row>
    <row r="149" spans="1:48" ht="16.5" customHeight="1">
      <c r="A149" s="1432" t="s">
        <v>3042</v>
      </c>
      <c r="B149" s="855"/>
      <c r="C149" s="904">
        <v>0.66666666666666663</v>
      </c>
      <c r="D149" s="875"/>
      <c r="E149" s="876"/>
      <c r="F149" s="876"/>
      <c r="G149" s="1033"/>
      <c r="H149" s="876"/>
      <c r="I149" s="876"/>
      <c r="J149" s="905">
        <v>0.66666666666666663</v>
      </c>
      <c r="K149" s="876"/>
      <c r="L149" s="876"/>
      <c r="M149" s="1042"/>
      <c r="N149" s="876"/>
      <c r="O149" s="876"/>
      <c r="P149" s="878"/>
      <c r="Q149" s="1432" t="s">
        <v>3042</v>
      </c>
      <c r="R149" s="855"/>
      <c r="S149" s="904">
        <v>0.66666666666666663</v>
      </c>
      <c r="T149" s="875"/>
      <c r="U149" s="876"/>
      <c r="V149" s="876"/>
      <c r="W149" s="1033"/>
      <c r="X149" s="876"/>
      <c r="Y149" s="876"/>
      <c r="Z149" s="905">
        <v>0.66666666666666663</v>
      </c>
      <c r="AA149" s="876"/>
      <c r="AB149" s="876"/>
      <c r="AC149" s="1042"/>
      <c r="AD149" s="876"/>
      <c r="AE149" s="876"/>
      <c r="AF149" s="878"/>
      <c r="AJ149" s="1429"/>
      <c r="AK149" s="1429"/>
      <c r="AL149" s="1429"/>
      <c r="AM149" s="1429"/>
      <c r="AN149" s="1429"/>
      <c r="AO149" s="1429"/>
      <c r="AP149" s="1058"/>
      <c r="AQ149" s="1429"/>
      <c r="AR149" s="1429"/>
      <c r="AS149" s="1429"/>
      <c r="AT149" s="1429"/>
      <c r="AU149" s="1429"/>
      <c r="AV149" s="1429"/>
    </row>
    <row r="150" spans="1:48" ht="16.5" customHeight="1">
      <c r="A150" s="1370"/>
      <c r="B150" s="861"/>
      <c r="C150" s="906">
        <v>0.67708333333333337</v>
      </c>
      <c r="D150" s="863"/>
      <c r="E150" s="864"/>
      <c r="F150" s="864"/>
      <c r="G150" s="1035"/>
      <c r="H150" s="864"/>
      <c r="I150" s="864"/>
      <c r="J150" s="907">
        <v>0.67708333333333337</v>
      </c>
      <c r="K150" s="864"/>
      <c r="L150" s="864"/>
      <c r="M150" s="1036"/>
      <c r="N150" s="864"/>
      <c r="O150" s="864"/>
      <c r="P150" s="865"/>
      <c r="Q150" s="1370"/>
      <c r="R150" s="861"/>
      <c r="S150" s="906">
        <v>0.67708333333333337</v>
      </c>
      <c r="T150" s="863"/>
      <c r="U150" s="864"/>
      <c r="V150" s="864"/>
      <c r="W150" s="1035"/>
      <c r="X150" s="864"/>
      <c r="Y150" s="864"/>
      <c r="Z150" s="907">
        <v>0.67708333333333337</v>
      </c>
      <c r="AA150" s="864"/>
      <c r="AB150" s="864"/>
      <c r="AC150" s="1036"/>
      <c r="AD150" s="864"/>
      <c r="AE150" s="864"/>
      <c r="AF150" s="865"/>
      <c r="AJ150" s="1429"/>
      <c r="AK150" s="1429"/>
      <c r="AL150" s="1429"/>
      <c r="AM150" s="1429"/>
      <c r="AN150" s="1429"/>
      <c r="AO150" s="1429"/>
      <c r="AP150" s="1058"/>
      <c r="AQ150" s="1429"/>
      <c r="AR150" s="1429"/>
      <c r="AS150" s="1429"/>
      <c r="AT150" s="1429"/>
      <c r="AU150" s="1429"/>
      <c r="AV150" s="1429"/>
    </row>
    <row r="151" spans="1:48" ht="16.5" customHeight="1">
      <c r="A151" s="1370"/>
      <c r="B151" s="866"/>
      <c r="C151" s="908">
        <v>0.6875</v>
      </c>
      <c r="D151" s="863"/>
      <c r="E151" s="864"/>
      <c r="F151" s="864"/>
      <c r="G151" s="1035"/>
      <c r="H151" s="864"/>
      <c r="I151" s="864"/>
      <c r="J151" s="909">
        <v>0.6875</v>
      </c>
      <c r="K151" s="864"/>
      <c r="L151" s="864"/>
      <c r="M151" s="1036"/>
      <c r="N151" s="864"/>
      <c r="O151" s="902"/>
      <c r="P151" s="865"/>
      <c r="Q151" s="1370"/>
      <c r="R151" s="866"/>
      <c r="S151" s="908">
        <v>0.6875</v>
      </c>
      <c r="T151" s="863"/>
      <c r="U151" s="864"/>
      <c r="V151" s="864"/>
      <c r="W151" s="1035"/>
      <c r="X151" s="864"/>
      <c r="Y151" s="864"/>
      <c r="Z151" s="909">
        <v>0.6875</v>
      </c>
      <c r="AA151" s="864"/>
      <c r="AB151" s="864"/>
      <c r="AC151" s="1036"/>
      <c r="AD151" s="864"/>
      <c r="AE151" s="902"/>
      <c r="AF151" s="865"/>
      <c r="AJ151" s="1429"/>
      <c r="AK151" s="1429"/>
      <c r="AL151" s="1429"/>
      <c r="AM151" s="1429"/>
      <c r="AN151" s="1429"/>
      <c r="AO151" s="1429"/>
      <c r="AP151" s="1058"/>
      <c r="AQ151" s="1429"/>
      <c r="AR151" s="1429"/>
      <c r="AS151" s="1429"/>
      <c r="AT151" s="1429"/>
      <c r="AU151" s="1429"/>
      <c r="AV151" s="1429"/>
    </row>
    <row r="152" spans="1:48" ht="16.5" customHeight="1">
      <c r="A152" s="1370"/>
      <c r="B152" s="861"/>
      <c r="C152" s="910">
        <v>0.69791666666666663</v>
      </c>
      <c r="D152" s="870"/>
      <c r="E152" s="871"/>
      <c r="F152" s="871"/>
      <c r="G152" s="1037"/>
      <c r="H152" s="871"/>
      <c r="I152" s="871"/>
      <c r="J152" s="911">
        <v>0.69791666666666663</v>
      </c>
      <c r="K152" s="871"/>
      <c r="L152" s="871"/>
      <c r="M152" s="1038"/>
      <c r="N152" s="871"/>
      <c r="O152" s="903"/>
      <c r="P152" s="873"/>
      <c r="Q152" s="1370"/>
      <c r="R152" s="861"/>
      <c r="S152" s="910">
        <v>0.69791666666666663</v>
      </c>
      <c r="T152" s="870"/>
      <c r="U152" s="871"/>
      <c r="V152" s="871"/>
      <c r="W152" s="1037"/>
      <c r="X152" s="871"/>
      <c r="Y152" s="871"/>
      <c r="Z152" s="911">
        <v>0.69791666666666663</v>
      </c>
      <c r="AA152" s="871"/>
      <c r="AB152" s="871"/>
      <c r="AC152" s="1038"/>
      <c r="AD152" s="871"/>
      <c r="AE152" s="903"/>
      <c r="AF152" s="873"/>
      <c r="AJ152" s="1429"/>
      <c r="AK152" s="1429"/>
      <c r="AL152" s="1429"/>
      <c r="AM152" s="1429"/>
      <c r="AN152" s="1429"/>
      <c r="AO152" s="1429"/>
      <c r="AP152" s="1058"/>
      <c r="AQ152" s="1429"/>
      <c r="AR152" s="1429"/>
      <c r="AS152" s="1429"/>
      <c r="AT152" s="1429"/>
      <c r="AU152" s="1429"/>
      <c r="AV152" s="1429"/>
    </row>
    <row r="153" spans="1:48" ht="16.5" customHeight="1">
      <c r="A153" s="1370"/>
      <c r="B153" s="1388" t="s">
        <v>3039</v>
      </c>
      <c r="C153" s="874">
        <v>0.70833333333333337</v>
      </c>
      <c r="D153" s="875"/>
      <c r="E153" s="876"/>
      <c r="F153" s="876"/>
      <c r="G153" s="1033"/>
      <c r="H153" s="876"/>
      <c r="I153" s="876"/>
      <c r="J153" s="912">
        <v>0.70833333333333337</v>
      </c>
      <c r="K153" s="876"/>
      <c r="L153" s="876"/>
      <c r="M153" s="1034"/>
      <c r="N153" s="876"/>
      <c r="O153" s="876"/>
      <c r="P153" s="878"/>
      <c r="Q153" s="1370"/>
      <c r="R153" s="1388" t="s">
        <v>3039</v>
      </c>
      <c r="S153" s="874">
        <v>0.70833333333333337</v>
      </c>
      <c r="T153" s="875"/>
      <c r="U153" s="876"/>
      <c r="V153" s="876"/>
      <c r="W153" s="1033"/>
      <c r="X153" s="876"/>
      <c r="Y153" s="876"/>
      <c r="Z153" s="912">
        <v>0.70833333333333337</v>
      </c>
      <c r="AA153" s="876"/>
      <c r="AB153" s="876"/>
      <c r="AC153" s="1034"/>
      <c r="AD153" s="876"/>
      <c r="AE153" s="876"/>
      <c r="AF153" s="878"/>
      <c r="AJ153" s="1429"/>
      <c r="AK153" s="1429"/>
      <c r="AL153" s="1429"/>
      <c r="AM153" s="1429"/>
      <c r="AN153" s="1429"/>
      <c r="AO153" s="1429"/>
      <c r="AP153" s="1058"/>
      <c r="AQ153" s="1430" t="s">
        <v>3207</v>
      </c>
      <c r="AR153" s="1430"/>
      <c r="AS153" s="1430"/>
      <c r="AT153" s="1430"/>
      <c r="AU153" s="1430"/>
      <c r="AV153" s="1430"/>
    </row>
    <row r="154" spans="1:48" ht="16.5" customHeight="1">
      <c r="A154" s="1370"/>
      <c r="B154" s="1370"/>
      <c r="C154" s="879">
        <v>0.71875</v>
      </c>
      <c r="D154" s="863"/>
      <c r="E154" s="864"/>
      <c r="F154" s="864"/>
      <c r="G154" s="1035"/>
      <c r="H154" s="864"/>
      <c r="I154" s="864"/>
      <c r="J154" s="913">
        <v>0.71875</v>
      </c>
      <c r="K154" s="864"/>
      <c r="L154" s="864"/>
      <c r="M154" s="1036"/>
      <c r="N154" s="864"/>
      <c r="O154" s="864"/>
      <c r="P154" s="865"/>
      <c r="Q154" s="1370"/>
      <c r="R154" s="1370"/>
      <c r="S154" s="879">
        <v>0.71875</v>
      </c>
      <c r="T154" s="863"/>
      <c r="U154" s="864"/>
      <c r="V154" s="864"/>
      <c r="W154" s="1035"/>
      <c r="X154" s="864"/>
      <c r="Y154" s="864"/>
      <c r="Z154" s="913">
        <v>0.71875</v>
      </c>
      <c r="AA154" s="864"/>
      <c r="AB154" s="864"/>
      <c r="AC154" s="1036"/>
      <c r="AD154" s="864"/>
      <c r="AE154" s="864"/>
      <c r="AF154" s="865"/>
      <c r="AJ154" s="1429"/>
      <c r="AK154" s="1429"/>
      <c r="AL154" s="1429"/>
      <c r="AM154" s="1429"/>
      <c r="AN154" s="1429"/>
      <c r="AO154" s="1429"/>
      <c r="AP154" s="1058"/>
      <c r="AQ154" s="1430"/>
      <c r="AR154" s="1430"/>
      <c r="AS154" s="1430"/>
      <c r="AT154" s="1430"/>
      <c r="AU154" s="1430"/>
      <c r="AV154" s="1430"/>
    </row>
    <row r="155" spans="1:48" ht="16.5" customHeight="1">
      <c r="A155" s="1370"/>
      <c r="B155" s="1370"/>
      <c r="C155" s="880">
        <v>0.72916666666666663</v>
      </c>
      <c r="D155" s="863"/>
      <c r="E155" s="864"/>
      <c r="F155" s="864"/>
      <c r="G155" s="1035"/>
      <c r="H155" s="864"/>
      <c r="I155" s="864"/>
      <c r="J155" s="914">
        <v>0.72916666666666663</v>
      </c>
      <c r="K155" s="864"/>
      <c r="L155" s="864"/>
      <c r="M155" s="1036"/>
      <c r="N155" s="864"/>
      <c r="O155" s="864"/>
      <c r="P155" s="865"/>
      <c r="Q155" s="1370"/>
      <c r="R155" s="1370"/>
      <c r="S155" s="880">
        <v>0.72916666666666663</v>
      </c>
      <c r="T155" s="863"/>
      <c r="U155" s="864"/>
      <c r="V155" s="864"/>
      <c r="W155" s="1035"/>
      <c r="X155" s="864"/>
      <c r="Y155" s="864"/>
      <c r="Z155" s="914">
        <v>0.72916666666666663</v>
      </c>
      <c r="AA155" s="864"/>
      <c r="AB155" s="864"/>
      <c r="AC155" s="1036"/>
      <c r="AD155" s="864"/>
      <c r="AE155" s="864"/>
      <c r="AF155" s="865"/>
      <c r="AJ155" s="1429"/>
      <c r="AK155" s="1429"/>
      <c r="AL155" s="1429"/>
      <c r="AM155" s="1429"/>
      <c r="AN155" s="1429"/>
      <c r="AO155" s="1429"/>
      <c r="AP155" s="1058"/>
      <c r="AQ155" s="1058"/>
      <c r="AR155" s="1058"/>
      <c r="AS155" s="1058"/>
      <c r="AT155" s="1058"/>
      <c r="AU155" s="1058"/>
      <c r="AV155" s="1058"/>
    </row>
    <row r="156" spans="1:48" ht="16.5" customHeight="1">
      <c r="A156" s="1370"/>
      <c r="B156" s="1370"/>
      <c r="C156" s="869">
        <v>0.73958333333333337</v>
      </c>
      <c r="D156" s="870"/>
      <c r="E156" s="871"/>
      <c r="F156" s="871"/>
      <c r="G156" s="1037"/>
      <c r="H156" s="871"/>
      <c r="I156" s="871"/>
      <c r="J156" s="915">
        <v>0.73958333333333337</v>
      </c>
      <c r="K156" s="916"/>
      <c r="L156" s="916"/>
      <c r="M156" s="1044"/>
      <c r="N156" s="916"/>
      <c r="O156" s="916"/>
      <c r="P156" s="917"/>
      <c r="Q156" s="1370"/>
      <c r="R156" s="1370"/>
      <c r="S156" s="869">
        <v>0.73958333333333337</v>
      </c>
      <c r="T156" s="870"/>
      <c r="U156" s="871"/>
      <c r="V156" s="871"/>
      <c r="W156" s="1037"/>
      <c r="X156" s="871"/>
      <c r="Y156" s="871"/>
      <c r="Z156" s="915">
        <v>0.73958333333333337</v>
      </c>
      <c r="AA156" s="916"/>
      <c r="AB156" s="916"/>
      <c r="AC156" s="1044"/>
      <c r="AD156" s="916"/>
      <c r="AE156" s="916"/>
      <c r="AF156" s="917"/>
      <c r="AJ156" s="1429"/>
      <c r="AK156" s="1429"/>
      <c r="AL156" s="1429"/>
      <c r="AM156" s="1429"/>
      <c r="AN156" s="1429"/>
      <c r="AO156" s="1429"/>
      <c r="AP156" s="1058"/>
      <c r="AQ156" s="1429" t="s">
        <v>3208</v>
      </c>
      <c r="AR156" s="1430"/>
      <c r="AS156" s="1430"/>
      <c r="AT156" s="1430"/>
      <c r="AU156" s="1430"/>
      <c r="AV156" s="1430"/>
    </row>
    <row r="157" spans="1:48" ht="16.5" customHeight="1">
      <c r="A157" s="1370"/>
      <c r="B157" s="1370"/>
      <c r="C157" s="874">
        <v>0.75</v>
      </c>
      <c r="D157" s="875"/>
      <c r="E157" s="876"/>
      <c r="F157" s="876"/>
      <c r="G157" s="1033"/>
      <c r="H157" s="876"/>
      <c r="I157" s="878"/>
      <c r="J157" s="918">
        <v>0.75</v>
      </c>
      <c r="K157" s="919"/>
      <c r="L157" s="919"/>
      <c r="M157" s="1045"/>
      <c r="N157" s="919"/>
      <c r="O157" s="919"/>
      <c r="P157" s="920"/>
      <c r="Q157" s="1370"/>
      <c r="R157" s="1370"/>
      <c r="S157" s="874">
        <v>0.75</v>
      </c>
      <c r="T157" s="875"/>
      <c r="U157" s="876"/>
      <c r="V157" s="876"/>
      <c r="W157" s="1033"/>
      <c r="X157" s="876"/>
      <c r="Y157" s="878"/>
      <c r="Z157" s="918">
        <v>0.75</v>
      </c>
      <c r="AA157" s="919"/>
      <c r="AB157" s="919"/>
      <c r="AC157" s="1045"/>
      <c r="AD157" s="919"/>
      <c r="AE157" s="919"/>
      <c r="AF157" s="920"/>
      <c r="AJ157" s="1429"/>
      <c r="AK157" s="1429"/>
      <c r="AL157" s="1429"/>
      <c r="AM157" s="1429"/>
      <c r="AN157" s="1429"/>
      <c r="AO157" s="1429"/>
      <c r="AP157" s="1058"/>
      <c r="AQ157" s="1430"/>
      <c r="AR157" s="1430"/>
      <c r="AS157" s="1430"/>
      <c r="AT157" s="1430"/>
      <c r="AU157" s="1430"/>
      <c r="AV157" s="1430"/>
    </row>
    <row r="158" spans="1:48" ht="16.5" customHeight="1">
      <c r="A158" s="1370"/>
      <c r="B158" s="1370"/>
      <c r="C158" s="879">
        <v>0.76041666666666663</v>
      </c>
      <c r="D158" s="863"/>
      <c r="E158" s="864"/>
      <c r="F158" s="864"/>
      <c r="G158" s="1035"/>
      <c r="H158" s="864"/>
      <c r="I158" s="865"/>
      <c r="J158" s="913">
        <v>0.76041666666666663</v>
      </c>
      <c r="K158" s="921"/>
      <c r="L158" s="921"/>
      <c r="M158" s="1046"/>
      <c r="N158" s="921"/>
      <c r="O158" s="921"/>
      <c r="P158" s="922"/>
      <c r="Q158" s="1370"/>
      <c r="R158" s="1370"/>
      <c r="S158" s="879">
        <v>0.76041666666666663</v>
      </c>
      <c r="T158" s="863"/>
      <c r="U158" s="864"/>
      <c r="V158" s="864"/>
      <c r="W158" s="1035"/>
      <c r="X158" s="864"/>
      <c r="Y158" s="865"/>
      <c r="Z158" s="913">
        <v>0.76041666666666663</v>
      </c>
      <c r="AA158" s="921"/>
      <c r="AB158" s="921"/>
      <c r="AC158" s="1046"/>
      <c r="AD158" s="921"/>
      <c r="AE158" s="921"/>
      <c r="AF158" s="922"/>
      <c r="AJ158" s="1429"/>
      <c r="AK158" s="1429"/>
      <c r="AL158" s="1429"/>
      <c r="AM158" s="1429"/>
      <c r="AN158" s="1429"/>
      <c r="AO158" s="1429"/>
      <c r="AP158" s="1058"/>
      <c r="AQ158" s="1429" t="s">
        <v>3206</v>
      </c>
      <c r="AR158" s="1429"/>
      <c r="AS158" s="1429"/>
      <c r="AT158" s="1429"/>
      <c r="AU158" s="1429"/>
      <c r="AV158" s="1429"/>
    </row>
    <row r="159" spans="1:48" ht="16.5" customHeight="1">
      <c r="A159" s="1370"/>
      <c r="B159" s="1370"/>
      <c r="C159" s="880">
        <v>0.77083333333333337</v>
      </c>
      <c r="D159" s="863"/>
      <c r="E159" s="864"/>
      <c r="F159" s="864"/>
      <c r="G159" s="1035"/>
      <c r="H159" s="864"/>
      <c r="I159" s="865"/>
      <c r="J159" s="914">
        <v>0.77083333333333337</v>
      </c>
      <c r="K159" s="921"/>
      <c r="L159" s="921"/>
      <c r="M159" s="1046"/>
      <c r="N159" s="921"/>
      <c r="O159" s="921"/>
      <c r="P159" s="922"/>
      <c r="Q159" s="1370"/>
      <c r="R159" s="1370"/>
      <c r="S159" s="880">
        <v>0.77083333333333337</v>
      </c>
      <c r="T159" s="863"/>
      <c r="U159" s="864"/>
      <c r="V159" s="864"/>
      <c r="W159" s="1035"/>
      <c r="X159" s="864"/>
      <c r="Y159" s="865"/>
      <c r="Z159" s="914">
        <v>0.77083333333333337</v>
      </c>
      <c r="AA159" s="921"/>
      <c r="AB159" s="921"/>
      <c r="AC159" s="1046"/>
      <c r="AD159" s="921"/>
      <c r="AE159" s="921"/>
      <c r="AF159" s="922"/>
      <c r="AJ159" s="1429"/>
      <c r="AK159" s="1429"/>
      <c r="AL159" s="1429"/>
      <c r="AM159" s="1429"/>
      <c r="AN159" s="1429"/>
      <c r="AO159" s="1429"/>
      <c r="AP159" s="1058"/>
      <c r="AQ159" s="1429"/>
      <c r="AR159" s="1429"/>
      <c r="AS159" s="1429"/>
      <c r="AT159" s="1429"/>
      <c r="AU159" s="1429"/>
      <c r="AV159" s="1429"/>
    </row>
    <row r="160" spans="1:48" ht="16.5" customHeight="1">
      <c r="A160" s="1370"/>
      <c r="B160" s="1338"/>
      <c r="C160" s="869">
        <v>0.78125</v>
      </c>
      <c r="D160" s="870"/>
      <c r="E160" s="871"/>
      <c r="F160" s="871"/>
      <c r="G160" s="1037"/>
      <c r="H160" s="871"/>
      <c r="I160" s="873"/>
      <c r="J160" s="923">
        <v>0.78125</v>
      </c>
      <c r="K160" s="916"/>
      <c r="L160" s="916"/>
      <c r="M160" s="1044"/>
      <c r="N160" s="916"/>
      <c r="O160" s="916"/>
      <c r="P160" s="917"/>
      <c r="Q160" s="1370"/>
      <c r="R160" s="1338"/>
      <c r="S160" s="869">
        <v>0.78125</v>
      </c>
      <c r="T160" s="870"/>
      <c r="U160" s="871"/>
      <c r="V160" s="871"/>
      <c r="W160" s="1037"/>
      <c r="X160" s="871"/>
      <c r="Y160" s="873"/>
      <c r="Z160" s="869">
        <v>0.78125</v>
      </c>
      <c r="AA160" s="924"/>
      <c r="AB160" s="916"/>
      <c r="AC160" s="1044"/>
      <c r="AD160" s="916"/>
      <c r="AE160" s="916"/>
      <c r="AF160" s="917"/>
      <c r="AJ160" s="1429"/>
      <c r="AK160" s="1429"/>
      <c r="AL160" s="1429"/>
      <c r="AM160" s="1429"/>
      <c r="AN160" s="1429"/>
      <c r="AO160" s="1429"/>
      <c r="AP160" s="1058"/>
      <c r="AQ160" s="1429"/>
      <c r="AR160" s="1429"/>
      <c r="AS160" s="1429"/>
      <c r="AT160" s="1429"/>
      <c r="AU160" s="1429"/>
      <c r="AV160" s="1429"/>
    </row>
    <row r="161" spans="1:48" ht="16.5" customHeight="1">
      <c r="A161" s="1370"/>
      <c r="B161" s="855"/>
      <c r="C161" s="904">
        <v>0.79166666666666663</v>
      </c>
      <c r="D161" s="875"/>
      <c r="E161" s="876"/>
      <c r="F161" s="876"/>
      <c r="G161" s="1033"/>
      <c r="H161" s="876"/>
      <c r="I161" s="876"/>
      <c r="J161" s="905">
        <v>0.79166666666666663</v>
      </c>
      <c r="K161" s="919"/>
      <c r="L161" s="919"/>
      <c r="M161" s="1045"/>
      <c r="N161" s="919"/>
      <c r="O161" s="919"/>
      <c r="P161" s="920"/>
      <c r="Q161" s="1370"/>
      <c r="R161" s="855"/>
      <c r="S161" s="904">
        <v>0.79166666666666663</v>
      </c>
      <c r="T161" s="875"/>
      <c r="U161" s="876"/>
      <c r="V161" s="876"/>
      <c r="W161" s="1033"/>
      <c r="X161" s="876"/>
      <c r="Y161" s="876"/>
      <c r="Z161" s="905">
        <v>0.79166666666666663</v>
      </c>
      <c r="AA161" s="919"/>
      <c r="AB161" s="919"/>
      <c r="AC161" s="1045"/>
      <c r="AD161" s="919"/>
      <c r="AE161" s="919"/>
      <c r="AF161" s="920"/>
      <c r="AJ161" s="1429"/>
      <c r="AK161" s="1429"/>
      <c r="AL161" s="1429"/>
      <c r="AM161" s="1429"/>
      <c r="AN161" s="1429"/>
      <c r="AO161" s="1429"/>
      <c r="AP161" s="1058"/>
      <c r="AQ161" s="1429"/>
      <c r="AR161" s="1429"/>
      <c r="AS161" s="1429"/>
      <c r="AT161" s="1429"/>
      <c r="AU161" s="1429"/>
      <c r="AV161" s="1429"/>
    </row>
    <row r="162" spans="1:48" ht="16.5" customHeight="1">
      <c r="A162" s="1370"/>
      <c r="B162" s="861"/>
      <c r="C162" s="906">
        <v>0.80208333333333337</v>
      </c>
      <c r="D162" s="863"/>
      <c r="E162" s="864"/>
      <c r="F162" s="864"/>
      <c r="G162" s="1035"/>
      <c r="H162" s="864"/>
      <c r="I162" s="864"/>
      <c r="J162" s="907">
        <v>0.80208333333333337</v>
      </c>
      <c r="K162" s="921"/>
      <c r="L162" s="921"/>
      <c r="M162" s="1046"/>
      <c r="N162" s="921"/>
      <c r="O162" s="921"/>
      <c r="P162" s="922"/>
      <c r="Q162" s="1370"/>
      <c r="R162" s="861"/>
      <c r="S162" s="906">
        <v>0.80208333333333337</v>
      </c>
      <c r="T162" s="863"/>
      <c r="U162" s="864"/>
      <c r="V162" s="864"/>
      <c r="W162" s="1035"/>
      <c r="X162" s="864"/>
      <c r="Y162" s="864"/>
      <c r="Z162" s="907">
        <v>0.80208333333333337</v>
      </c>
      <c r="AA162" s="921"/>
      <c r="AB162" s="921"/>
      <c r="AC162" s="1046"/>
      <c r="AD162" s="921"/>
      <c r="AE162" s="921"/>
      <c r="AF162" s="922"/>
      <c r="AJ162" s="1429"/>
      <c r="AK162" s="1429"/>
      <c r="AL162" s="1429"/>
      <c r="AM162" s="1429"/>
      <c r="AN162" s="1429"/>
      <c r="AO162" s="1429"/>
      <c r="AP162" s="1058"/>
      <c r="AQ162" s="1429"/>
      <c r="AR162" s="1429"/>
      <c r="AS162" s="1429"/>
      <c r="AT162" s="1429"/>
      <c r="AU162" s="1429"/>
      <c r="AV162" s="1429"/>
    </row>
    <row r="163" spans="1:48" ht="16.5" customHeight="1">
      <c r="A163" s="1370"/>
      <c r="B163" s="866"/>
      <c r="C163" s="908">
        <v>0.8125</v>
      </c>
      <c r="D163" s="863"/>
      <c r="E163" s="864"/>
      <c r="F163" s="864"/>
      <c r="G163" s="1035"/>
      <c r="H163" s="864"/>
      <c r="I163" s="864"/>
      <c r="J163" s="909">
        <v>0.8125</v>
      </c>
      <c r="K163" s="921"/>
      <c r="L163" s="921"/>
      <c r="M163" s="1046"/>
      <c r="N163" s="921"/>
      <c r="O163" s="921"/>
      <c r="P163" s="922"/>
      <c r="Q163" s="1370"/>
      <c r="R163" s="866"/>
      <c r="S163" s="908">
        <v>0.8125</v>
      </c>
      <c r="T163" s="863"/>
      <c r="U163" s="864"/>
      <c r="V163" s="864"/>
      <c r="W163" s="1035"/>
      <c r="X163" s="864"/>
      <c r="Y163" s="864"/>
      <c r="Z163" s="909">
        <v>0.8125</v>
      </c>
      <c r="AA163" s="921"/>
      <c r="AB163" s="921"/>
      <c r="AC163" s="1046"/>
      <c r="AD163" s="921"/>
      <c r="AE163" s="921"/>
      <c r="AF163" s="922"/>
      <c r="AJ163" s="1058"/>
      <c r="AK163" s="1058"/>
      <c r="AL163" s="1058"/>
      <c r="AM163" s="1058"/>
      <c r="AN163" s="1058"/>
      <c r="AO163" s="1058"/>
      <c r="AP163" s="1058"/>
      <c r="AQ163" s="1429"/>
      <c r="AR163" s="1429"/>
      <c r="AS163" s="1429"/>
      <c r="AT163" s="1429"/>
      <c r="AU163" s="1429"/>
      <c r="AV163" s="1429"/>
    </row>
    <row r="164" spans="1:48" ht="16.5" customHeight="1">
      <c r="A164" s="1370"/>
      <c r="B164" s="866"/>
      <c r="C164" s="925">
        <v>0.82291666666666663</v>
      </c>
      <c r="D164" s="870"/>
      <c r="E164" s="871"/>
      <c r="F164" s="871"/>
      <c r="G164" s="1037"/>
      <c r="H164" s="871"/>
      <c r="I164" s="871"/>
      <c r="J164" s="926">
        <v>0.82291666666666663</v>
      </c>
      <c r="K164" s="916"/>
      <c r="L164" s="916"/>
      <c r="M164" s="1044"/>
      <c r="N164" s="916"/>
      <c r="O164" s="916"/>
      <c r="P164" s="917"/>
      <c r="Q164" s="1370"/>
      <c r="R164" s="866"/>
      <c r="S164" s="925">
        <v>0.82291666666666663</v>
      </c>
      <c r="T164" s="870"/>
      <c r="U164" s="871"/>
      <c r="V164" s="871"/>
      <c r="W164" s="1037"/>
      <c r="X164" s="871"/>
      <c r="Y164" s="871"/>
      <c r="Z164" s="926">
        <v>0.82291666666666663</v>
      </c>
      <c r="AA164" s="916"/>
      <c r="AB164" s="916"/>
      <c r="AC164" s="1044"/>
      <c r="AD164" s="916"/>
      <c r="AE164" s="916"/>
      <c r="AF164" s="917"/>
      <c r="AJ164" s="1058"/>
      <c r="AK164" s="1058"/>
      <c r="AL164" s="1058"/>
      <c r="AM164" s="1058"/>
      <c r="AN164" s="1058"/>
      <c r="AO164" s="1058"/>
      <c r="AP164" s="1058"/>
      <c r="AQ164" s="1429"/>
      <c r="AR164" s="1429"/>
      <c r="AS164" s="1429"/>
      <c r="AT164" s="1429"/>
      <c r="AU164" s="1429"/>
      <c r="AV164" s="1429"/>
    </row>
    <row r="165" spans="1:48" ht="16.5" customHeight="1">
      <c r="A165" s="1370"/>
      <c r="B165" s="927"/>
      <c r="C165" s="928">
        <v>0.83333333333333337</v>
      </c>
      <c r="D165" s="875"/>
      <c r="E165" s="876"/>
      <c r="F165" s="876"/>
      <c r="G165" s="1033"/>
      <c r="H165" s="876"/>
      <c r="I165" s="876"/>
      <c r="J165" s="929">
        <v>0.83333333333333337</v>
      </c>
      <c r="K165" s="919"/>
      <c r="L165" s="919"/>
      <c r="M165" s="1045"/>
      <c r="N165" s="919"/>
      <c r="O165" s="919"/>
      <c r="P165" s="920"/>
      <c r="Q165" s="1370"/>
      <c r="R165" s="927"/>
      <c r="S165" s="928">
        <v>0.83333333333333337</v>
      </c>
      <c r="T165" s="875"/>
      <c r="U165" s="876"/>
      <c r="V165" s="876"/>
      <c r="W165" s="1033"/>
      <c r="X165" s="876"/>
      <c r="Y165" s="876"/>
      <c r="Z165" s="929">
        <v>0.83333333333333337</v>
      </c>
      <c r="AA165" s="919"/>
      <c r="AB165" s="919"/>
      <c r="AC165" s="1045"/>
      <c r="AD165" s="919"/>
      <c r="AE165" s="919"/>
      <c r="AF165" s="920"/>
      <c r="AJ165" s="1058"/>
      <c r="AK165" s="1058"/>
      <c r="AL165" s="1058"/>
      <c r="AM165" s="1058"/>
      <c r="AN165" s="1058"/>
      <c r="AO165" s="1058"/>
      <c r="AP165" s="1058"/>
      <c r="AQ165" s="1430" t="s">
        <v>3207</v>
      </c>
      <c r="AR165" s="1430"/>
      <c r="AS165" s="1430"/>
      <c r="AT165" s="1430"/>
      <c r="AU165" s="1430"/>
      <c r="AV165" s="1430"/>
    </row>
    <row r="166" spans="1:48" ht="16.5" customHeight="1">
      <c r="A166" s="1370"/>
      <c r="B166" s="866"/>
      <c r="C166" s="908">
        <v>0.84375</v>
      </c>
      <c r="D166" s="863"/>
      <c r="E166" s="864"/>
      <c r="F166" s="864"/>
      <c r="G166" s="1035"/>
      <c r="H166" s="864"/>
      <c r="I166" s="864"/>
      <c r="J166" s="909">
        <v>0.84375</v>
      </c>
      <c r="K166" s="921"/>
      <c r="L166" s="921"/>
      <c r="M166" s="1046"/>
      <c r="N166" s="921"/>
      <c r="O166" s="921"/>
      <c r="P166" s="922"/>
      <c r="Q166" s="1370"/>
      <c r="R166" s="866"/>
      <c r="S166" s="908">
        <v>0.84375</v>
      </c>
      <c r="T166" s="863"/>
      <c r="U166" s="864"/>
      <c r="V166" s="864"/>
      <c r="W166" s="1035"/>
      <c r="X166" s="864"/>
      <c r="Y166" s="864"/>
      <c r="Z166" s="909">
        <v>0.84375</v>
      </c>
      <c r="AA166" s="921"/>
      <c r="AB166" s="921"/>
      <c r="AC166" s="1046"/>
      <c r="AD166" s="921"/>
      <c r="AE166" s="921"/>
      <c r="AF166" s="922"/>
      <c r="AJ166" s="1058"/>
      <c r="AK166" s="1058"/>
      <c r="AL166" s="1058"/>
      <c r="AM166" s="1058"/>
      <c r="AN166" s="1058"/>
      <c r="AO166" s="1058"/>
      <c r="AP166" s="1058"/>
      <c r="AQ166" s="1430"/>
      <c r="AR166" s="1430"/>
      <c r="AS166" s="1430"/>
      <c r="AT166" s="1430"/>
      <c r="AU166" s="1430"/>
      <c r="AV166" s="1430"/>
    </row>
    <row r="167" spans="1:48" ht="16.5" customHeight="1">
      <c r="A167" s="1370"/>
      <c r="B167" s="861"/>
      <c r="C167" s="906">
        <v>0.85416666666666663</v>
      </c>
      <c r="D167" s="863"/>
      <c r="E167" s="864"/>
      <c r="F167" s="864"/>
      <c r="G167" s="1035"/>
      <c r="H167" s="864"/>
      <c r="I167" s="864"/>
      <c r="J167" s="907">
        <v>0.85416666666666663</v>
      </c>
      <c r="K167" s="921"/>
      <c r="L167" s="921"/>
      <c r="M167" s="1046"/>
      <c r="N167" s="921"/>
      <c r="O167" s="921"/>
      <c r="P167" s="922"/>
      <c r="Q167" s="1370"/>
      <c r="R167" s="861"/>
      <c r="S167" s="906">
        <v>0.85416666666666663</v>
      </c>
      <c r="T167" s="863"/>
      <c r="U167" s="864"/>
      <c r="V167" s="864"/>
      <c r="W167" s="1035"/>
      <c r="X167" s="864"/>
      <c r="Y167" s="864"/>
      <c r="Z167" s="907">
        <v>0.85416666666666663</v>
      </c>
      <c r="AA167" s="921"/>
      <c r="AB167" s="921"/>
      <c r="AC167" s="1046"/>
      <c r="AD167" s="921"/>
      <c r="AE167" s="921"/>
      <c r="AF167" s="922"/>
    </row>
    <row r="168" spans="1:48" ht="16.5" customHeight="1">
      <c r="A168" s="1370"/>
      <c r="B168" s="866"/>
      <c r="C168" s="925">
        <v>0.86458333333333337</v>
      </c>
      <c r="D168" s="870"/>
      <c r="E168" s="871"/>
      <c r="F168" s="871"/>
      <c r="G168" s="1037"/>
      <c r="H168" s="871"/>
      <c r="I168" s="871"/>
      <c r="J168" s="926">
        <v>0.86458333333333337</v>
      </c>
      <c r="K168" s="916"/>
      <c r="L168" s="916"/>
      <c r="M168" s="1044"/>
      <c r="N168" s="916"/>
      <c r="O168" s="916"/>
      <c r="P168" s="917"/>
      <c r="Q168" s="1370"/>
      <c r="R168" s="866"/>
      <c r="S168" s="925">
        <v>0.86458333333333337</v>
      </c>
      <c r="T168" s="870"/>
      <c r="U168" s="871"/>
      <c r="V168" s="871"/>
      <c r="W168" s="1037"/>
      <c r="X168" s="871"/>
      <c r="Y168" s="871"/>
      <c r="Z168" s="926">
        <v>0.86458333333333337</v>
      </c>
      <c r="AA168" s="916"/>
      <c r="AB168" s="916"/>
      <c r="AC168" s="1044"/>
      <c r="AD168" s="916"/>
      <c r="AE168" s="916"/>
      <c r="AF168" s="917"/>
    </row>
    <row r="169" spans="1:48" ht="16.5" customHeight="1">
      <c r="A169" s="1370"/>
      <c r="B169" s="927"/>
      <c r="C169" s="928">
        <v>0.875</v>
      </c>
      <c r="D169" s="875"/>
      <c r="E169" s="876"/>
      <c r="F169" s="876"/>
      <c r="G169" s="1033"/>
      <c r="H169" s="876"/>
      <c r="I169" s="876"/>
      <c r="J169" s="929">
        <v>0.875</v>
      </c>
      <c r="K169" s="919"/>
      <c r="L169" s="919"/>
      <c r="M169" s="1045"/>
      <c r="N169" s="919"/>
      <c r="O169" s="919"/>
      <c r="P169" s="920"/>
      <c r="Q169" s="1370"/>
      <c r="R169" s="927"/>
      <c r="S169" s="928">
        <v>0.875</v>
      </c>
      <c r="T169" s="875"/>
      <c r="U169" s="876"/>
      <c r="V169" s="876"/>
      <c r="W169" s="1033"/>
      <c r="X169" s="876"/>
      <c r="Y169" s="876"/>
      <c r="Z169" s="929">
        <v>0.875</v>
      </c>
      <c r="AA169" s="919"/>
      <c r="AB169" s="919"/>
      <c r="AC169" s="1045"/>
      <c r="AD169" s="919"/>
      <c r="AE169" s="919"/>
      <c r="AF169" s="920"/>
    </row>
    <row r="170" spans="1:48" ht="16.5" customHeight="1">
      <c r="A170" s="1370"/>
      <c r="B170" s="866"/>
      <c r="C170" s="908">
        <v>0.88541666666666663</v>
      </c>
      <c r="D170" s="863"/>
      <c r="E170" s="864"/>
      <c r="F170" s="864"/>
      <c r="G170" s="1035"/>
      <c r="H170" s="864"/>
      <c r="I170" s="864"/>
      <c r="J170" s="909">
        <v>0.88541666666666663</v>
      </c>
      <c r="K170" s="921"/>
      <c r="L170" s="921"/>
      <c r="M170" s="1046"/>
      <c r="N170" s="921"/>
      <c r="O170" s="921"/>
      <c r="P170" s="922"/>
      <c r="Q170" s="1370"/>
      <c r="R170" s="866"/>
      <c r="S170" s="908">
        <v>0.88541666666666663</v>
      </c>
      <c r="T170" s="863"/>
      <c r="U170" s="864"/>
      <c r="V170" s="864"/>
      <c r="W170" s="1035"/>
      <c r="X170" s="864"/>
      <c r="Y170" s="864"/>
      <c r="Z170" s="909">
        <v>0.88541666666666663</v>
      </c>
      <c r="AA170" s="921"/>
      <c r="AB170" s="921"/>
      <c r="AC170" s="1046"/>
      <c r="AD170" s="921"/>
      <c r="AE170" s="921"/>
      <c r="AF170" s="922"/>
    </row>
    <row r="171" spans="1:48" ht="16.5" customHeight="1">
      <c r="A171" s="1370"/>
      <c r="B171" s="861"/>
      <c r="C171" s="906">
        <v>0.89583333333333337</v>
      </c>
      <c r="D171" s="863"/>
      <c r="E171" s="864"/>
      <c r="F171" s="864"/>
      <c r="G171" s="1035"/>
      <c r="H171" s="864"/>
      <c r="I171" s="864"/>
      <c r="J171" s="907">
        <v>0.89583333333333337</v>
      </c>
      <c r="K171" s="921"/>
      <c r="L171" s="921"/>
      <c r="M171" s="1046"/>
      <c r="N171" s="921"/>
      <c r="O171" s="921"/>
      <c r="P171" s="922"/>
      <c r="Q171" s="1370"/>
      <c r="R171" s="861"/>
      <c r="S171" s="906">
        <v>0.89583333333333337</v>
      </c>
      <c r="T171" s="863"/>
      <c r="U171" s="864"/>
      <c r="V171" s="864"/>
      <c r="W171" s="1035"/>
      <c r="X171" s="864"/>
      <c r="Y171" s="864"/>
      <c r="Z171" s="907">
        <v>0.89583333333333337</v>
      </c>
      <c r="AA171" s="921"/>
      <c r="AB171" s="921"/>
      <c r="AC171" s="1046"/>
      <c r="AD171" s="921"/>
      <c r="AE171" s="921"/>
      <c r="AF171" s="922"/>
    </row>
    <row r="172" spans="1:48" ht="16.5" customHeight="1">
      <c r="A172" s="1338"/>
      <c r="B172" s="866"/>
      <c r="C172" s="925">
        <v>0.90625</v>
      </c>
      <c r="D172" s="870"/>
      <c r="E172" s="871"/>
      <c r="F172" s="871"/>
      <c r="G172" s="1037"/>
      <c r="H172" s="871"/>
      <c r="I172" s="871"/>
      <c r="J172" s="926">
        <v>0.90625</v>
      </c>
      <c r="K172" s="916"/>
      <c r="L172" s="916"/>
      <c r="M172" s="1044"/>
      <c r="N172" s="916"/>
      <c r="O172" s="916"/>
      <c r="P172" s="917"/>
      <c r="Q172" s="1338"/>
      <c r="R172" s="866"/>
      <c r="S172" s="925">
        <v>0.90625</v>
      </c>
      <c r="T172" s="870"/>
      <c r="U172" s="871"/>
      <c r="V172" s="871"/>
      <c r="W172" s="1037"/>
      <c r="X172" s="871"/>
      <c r="Y172" s="871"/>
      <c r="Z172" s="926">
        <v>0.90625</v>
      </c>
      <c r="AA172" s="916"/>
      <c r="AB172" s="916"/>
      <c r="AC172" s="1044"/>
      <c r="AD172" s="916"/>
      <c r="AE172" s="916"/>
      <c r="AF172" s="917"/>
    </row>
    <row r="173" spans="1:48" ht="16.5" customHeight="1">
      <c r="A173" s="930"/>
      <c r="B173" s="1369" t="s">
        <v>3036</v>
      </c>
      <c r="C173" s="848">
        <v>0.91666666666666663</v>
      </c>
      <c r="D173" s="1371" t="s">
        <v>3037</v>
      </c>
      <c r="E173" s="1372"/>
      <c r="F173" s="1372"/>
      <c r="G173" s="1372"/>
      <c r="H173" s="1372"/>
      <c r="I173" s="1373"/>
      <c r="J173" s="848">
        <v>0.91666666666666663</v>
      </c>
      <c r="K173" s="1371" t="s">
        <v>3037</v>
      </c>
      <c r="L173" s="1372"/>
      <c r="M173" s="1372"/>
      <c r="N173" s="1372"/>
      <c r="O173" s="1372"/>
      <c r="P173" s="1373"/>
      <c r="Q173" s="930"/>
      <c r="R173" s="1369" t="s">
        <v>3036</v>
      </c>
      <c r="S173" s="848">
        <v>0.91666666666666663</v>
      </c>
      <c r="T173" s="1371" t="s">
        <v>3037</v>
      </c>
      <c r="U173" s="1372"/>
      <c r="V173" s="1372"/>
      <c r="W173" s="1372"/>
      <c r="X173" s="1372"/>
      <c r="Y173" s="1373"/>
      <c r="Z173" s="848">
        <v>0.91666666666666663</v>
      </c>
      <c r="AA173" s="1371" t="s">
        <v>3037</v>
      </c>
      <c r="AB173" s="1372"/>
      <c r="AC173" s="1372"/>
      <c r="AD173" s="1372"/>
      <c r="AE173" s="1372"/>
      <c r="AF173" s="1373"/>
    </row>
    <row r="174" spans="1:48" ht="16.5" customHeight="1">
      <c r="A174" s="930"/>
      <c r="B174" s="1370"/>
      <c r="C174" s="850">
        <v>0.92708333333333337</v>
      </c>
      <c r="D174" s="1374"/>
      <c r="E174" s="1375"/>
      <c r="F174" s="1375"/>
      <c r="G174" s="1375"/>
      <c r="H174" s="1375"/>
      <c r="I174" s="1376"/>
      <c r="J174" s="850">
        <v>0.92708333333333337</v>
      </c>
      <c r="K174" s="1374"/>
      <c r="L174" s="1375"/>
      <c r="M174" s="1375"/>
      <c r="N174" s="1375"/>
      <c r="O174" s="1375"/>
      <c r="P174" s="1376"/>
      <c r="Q174" s="930"/>
      <c r="R174" s="1370"/>
      <c r="S174" s="850">
        <v>0.92708333333333337</v>
      </c>
      <c r="T174" s="1374"/>
      <c r="U174" s="1375"/>
      <c r="V174" s="1375"/>
      <c r="W174" s="1375"/>
      <c r="X174" s="1375"/>
      <c r="Y174" s="1376"/>
      <c r="Z174" s="850">
        <v>0.92708333333333337</v>
      </c>
      <c r="AA174" s="1374"/>
      <c r="AB174" s="1375"/>
      <c r="AC174" s="1375"/>
      <c r="AD174" s="1375"/>
      <c r="AE174" s="1375"/>
      <c r="AF174" s="1376"/>
    </row>
    <row r="175" spans="1:48" ht="16.5" customHeight="1">
      <c r="A175" s="930"/>
      <c r="B175" s="1370"/>
      <c r="C175" s="852">
        <v>0.9375</v>
      </c>
      <c r="D175" s="1374"/>
      <c r="E175" s="1375"/>
      <c r="F175" s="1375"/>
      <c r="G175" s="1375"/>
      <c r="H175" s="1375"/>
      <c r="I175" s="1376"/>
      <c r="J175" s="852">
        <v>0.9375</v>
      </c>
      <c r="K175" s="1374"/>
      <c r="L175" s="1375"/>
      <c r="M175" s="1375"/>
      <c r="N175" s="1375"/>
      <c r="O175" s="1375"/>
      <c r="P175" s="1376"/>
      <c r="Q175" s="930"/>
      <c r="R175" s="1370"/>
      <c r="S175" s="852">
        <v>0.9375</v>
      </c>
      <c r="T175" s="1374"/>
      <c r="U175" s="1375"/>
      <c r="V175" s="1375"/>
      <c r="W175" s="1375"/>
      <c r="X175" s="1375"/>
      <c r="Y175" s="1376"/>
      <c r="Z175" s="852">
        <v>0.9375</v>
      </c>
      <c r="AA175" s="1374"/>
      <c r="AB175" s="1375"/>
      <c r="AC175" s="1375"/>
      <c r="AD175" s="1375"/>
      <c r="AE175" s="1375"/>
      <c r="AF175" s="1376"/>
    </row>
    <row r="176" spans="1:48" ht="16.5" customHeight="1">
      <c r="A176" s="930"/>
      <c r="B176" s="1338"/>
      <c r="C176" s="854">
        <v>0.94791666666666663</v>
      </c>
      <c r="D176" s="1377"/>
      <c r="E176" s="1378"/>
      <c r="F176" s="1378"/>
      <c r="G176" s="1378"/>
      <c r="H176" s="1378"/>
      <c r="I176" s="1379"/>
      <c r="J176" s="854">
        <v>0.94791666666666663</v>
      </c>
      <c r="K176" s="1377"/>
      <c r="L176" s="1378"/>
      <c r="M176" s="1378"/>
      <c r="N176" s="1378"/>
      <c r="O176" s="1378"/>
      <c r="P176" s="1379"/>
      <c r="Q176" s="930"/>
      <c r="R176" s="1338"/>
      <c r="S176" s="854">
        <v>0.94791666666666663</v>
      </c>
      <c r="T176" s="1377"/>
      <c r="U176" s="1378"/>
      <c r="V176" s="1378"/>
      <c r="W176" s="1378"/>
      <c r="X176" s="1378"/>
      <c r="Y176" s="1379"/>
      <c r="Z176" s="854">
        <v>0.94791666666666663</v>
      </c>
      <c r="AA176" s="1377"/>
      <c r="AB176" s="1378"/>
      <c r="AC176" s="1378"/>
      <c r="AD176" s="1378"/>
      <c r="AE176" s="1378"/>
      <c r="AF176" s="1379"/>
    </row>
    <row r="177" spans="1:3" ht="15">
      <c r="A177" s="949"/>
      <c r="B177" s="949"/>
      <c r="C177" s="949"/>
    </row>
  </sheetData>
  <mergeCells count="210">
    <mergeCell ref="AJ102:AV103"/>
    <mergeCell ref="AJ74:AO77"/>
    <mergeCell ref="AJ78:AO79"/>
    <mergeCell ref="T54:Y54"/>
    <mergeCell ref="T55:Y56"/>
    <mergeCell ref="AJ81:AO84"/>
    <mergeCell ref="AJ85:AO86"/>
    <mergeCell ref="AQ53:AV59"/>
    <mergeCell ref="AQ50:AV52"/>
    <mergeCell ref="AQ42:AV49"/>
    <mergeCell ref="AQ61:AV70"/>
    <mergeCell ref="AQ71:AV74"/>
    <mergeCell ref="AQ75:AV83"/>
    <mergeCell ref="AQ165:AV166"/>
    <mergeCell ref="AQ3:AV3"/>
    <mergeCell ref="AJ3:AL4"/>
    <mergeCell ref="AM3:AO4"/>
    <mergeCell ref="AQ5:AS6"/>
    <mergeCell ref="AT5:AV6"/>
    <mergeCell ref="AJ6:AL7"/>
    <mergeCell ref="AM6:AO7"/>
    <mergeCell ref="AQ8:AV9"/>
    <mergeCell ref="AJ10:AO11"/>
    <mergeCell ref="AJ13:AO14"/>
    <mergeCell ref="AQ11:AV12"/>
    <mergeCell ref="AQ14:AV15"/>
    <mergeCell ref="AJ143:AV144"/>
    <mergeCell ref="AJ133:AO135"/>
    <mergeCell ref="AQ133:AV136"/>
    <mergeCell ref="AJ146:AO162"/>
    <mergeCell ref="AQ146:AV147"/>
    <mergeCell ref="AQ153:AV154"/>
    <mergeCell ref="AQ148:AV152"/>
    <mergeCell ref="AQ156:AV157"/>
    <mergeCell ref="AQ158:AV164"/>
    <mergeCell ref="AR116:AT117"/>
    <mergeCell ref="AJ116:AL117"/>
    <mergeCell ref="AN119:AP124"/>
    <mergeCell ref="AR119:AT125"/>
    <mergeCell ref="AN127:AP130"/>
    <mergeCell ref="AR127:AT130"/>
    <mergeCell ref="AJ105:AL106"/>
    <mergeCell ref="AJ107:AL112"/>
    <mergeCell ref="AJ113:AL114"/>
    <mergeCell ref="AN105:AP106"/>
    <mergeCell ref="AR105:AT106"/>
    <mergeCell ref="AR107:AT115"/>
    <mergeCell ref="AN107:AP114"/>
    <mergeCell ref="AN115:AP116"/>
    <mergeCell ref="A149:A172"/>
    <mergeCell ref="Q149:Q172"/>
    <mergeCell ref="B153:B160"/>
    <mergeCell ref="R153:R160"/>
    <mergeCell ref="T104:V104"/>
    <mergeCell ref="W104:Y104"/>
    <mergeCell ref="AA104:AC104"/>
    <mergeCell ref="AD104:AF104"/>
    <mergeCell ref="Z102:Z103"/>
    <mergeCell ref="AA102:AA103"/>
    <mergeCell ref="AB102:AB103"/>
    <mergeCell ref="AC102:AC103"/>
    <mergeCell ref="AD102:AD103"/>
    <mergeCell ref="AE102:AE103"/>
    <mergeCell ref="T102:T103"/>
    <mergeCell ref="U102:U103"/>
    <mergeCell ref="T173:Y176"/>
    <mergeCell ref="AJ22:AV23"/>
    <mergeCell ref="AJ25:AO30"/>
    <mergeCell ref="AJ31:AO32"/>
    <mergeCell ref="T57:V63"/>
    <mergeCell ref="W57:Y64"/>
    <mergeCell ref="T33:Y36"/>
    <mergeCell ref="AA36:AF36"/>
    <mergeCell ref="AJ33:AO36"/>
    <mergeCell ref="AJ38:AO43"/>
    <mergeCell ref="AJ44:AO45"/>
    <mergeCell ref="AJ46:AO51"/>
    <mergeCell ref="AJ53:AO62"/>
    <mergeCell ref="AJ63:AO65"/>
    <mergeCell ref="AJ66:AO72"/>
    <mergeCell ref="AQ25:AV31"/>
    <mergeCell ref="AQ32:AV34"/>
    <mergeCell ref="AQ35:AV40"/>
    <mergeCell ref="AB92:AB93"/>
    <mergeCell ref="Y102:Y103"/>
    <mergeCell ref="AA173:AF176"/>
    <mergeCell ref="AA85:AF88"/>
    <mergeCell ref="AJ118:AL128"/>
    <mergeCell ref="AJ129:AL130"/>
    <mergeCell ref="B173:B176"/>
    <mergeCell ref="R173:R176"/>
    <mergeCell ref="B105:B108"/>
    <mergeCell ref="R105:R108"/>
    <mergeCell ref="B112:B119"/>
    <mergeCell ref="R112:R119"/>
    <mergeCell ref="B131:B138"/>
    <mergeCell ref="R131:R138"/>
    <mergeCell ref="D104:F104"/>
    <mergeCell ref="G104:I104"/>
    <mergeCell ref="K104:M104"/>
    <mergeCell ref="N104:P104"/>
    <mergeCell ref="D173:I176"/>
    <mergeCell ref="K173:P176"/>
    <mergeCell ref="A95:B100"/>
    <mergeCell ref="C95:P100"/>
    <mergeCell ref="Q95:R100"/>
    <mergeCell ref="S95:AF100"/>
    <mergeCell ref="C102:C103"/>
    <mergeCell ref="D102:I103"/>
    <mergeCell ref="J102:J103"/>
    <mergeCell ref="K102:P103"/>
    <mergeCell ref="S102:S103"/>
    <mergeCell ref="AF102:AF103"/>
    <mergeCell ref="V102:V103"/>
    <mergeCell ref="W102:W103"/>
    <mergeCell ref="X102:X103"/>
    <mergeCell ref="B85:B88"/>
    <mergeCell ref="D85:I88"/>
    <mergeCell ref="K85:P88"/>
    <mergeCell ref="R85:R88"/>
    <mergeCell ref="T85:Y88"/>
    <mergeCell ref="T81:Y82"/>
    <mergeCell ref="A61:A84"/>
    <mergeCell ref="Q61:Q84"/>
    <mergeCell ref="B65:B72"/>
    <mergeCell ref="R65:R72"/>
    <mergeCell ref="T65:Y67"/>
    <mergeCell ref="D65:E72"/>
    <mergeCell ref="T68:Y70"/>
    <mergeCell ref="T74:V76"/>
    <mergeCell ref="T78:Y80"/>
    <mergeCell ref="W74:Y76"/>
    <mergeCell ref="T71:Y72"/>
    <mergeCell ref="T73:Y73"/>
    <mergeCell ref="T77:Y77"/>
    <mergeCell ref="T64:V64"/>
    <mergeCell ref="T83:Y84"/>
    <mergeCell ref="B43:B50"/>
    <mergeCell ref="R43:R50"/>
    <mergeCell ref="T39:Y39"/>
    <mergeCell ref="AA21:AF22"/>
    <mergeCell ref="B24:B31"/>
    <mergeCell ref="R24:R31"/>
    <mergeCell ref="AA25:AF28"/>
    <mergeCell ref="AA29:AF30"/>
    <mergeCell ref="AA31:AF32"/>
    <mergeCell ref="AA23:AF24"/>
    <mergeCell ref="T37:V38"/>
    <mergeCell ref="W37:Y38"/>
    <mergeCell ref="AA34:AB35"/>
    <mergeCell ref="AA33:AB33"/>
    <mergeCell ref="T40:Y40"/>
    <mergeCell ref="T41:Y46"/>
    <mergeCell ref="T47:Y48"/>
    <mergeCell ref="T49:Y53"/>
    <mergeCell ref="B17:B20"/>
    <mergeCell ref="D17:I20"/>
    <mergeCell ref="K17:P20"/>
    <mergeCell ref="R17:R20"/>
    <mergeCell ref="T17:Y20"/>
    <mergeCell ref="AA17:AF20"/>
    <mergeCell ref="D16:F16"/>
    <mergeCell ref="G16:I16"/>
    <mergeCell ref="K16:M16"/>
    <mergeCell ref="N16:P16"/>
    <mergeCell ref="T16:V16"/>
    <mergeCell ref="W16:Y16"/>
    <mergeCell ref="AA16:AC16"/>
    <mergeCell ref="AD16:AF16"/>
    <mergeCell ref="A7:B12"/>
    <mergeCell ref="C7:P12"/>
    <mergeCell ref="Q7:R12"/>
    <mergeCell ref="S7:AF12"/>
    <mergeCell ref="C14:C15"/>
    <mergeCell ref="D14:I15"/>
    <mergeCell ref="J14:J15"/>
    <mergeCell ref="K14:P15"/>
    <mergeCell ref="S14:S15"/>
    <mergeCell ref="T14:T15"/>
    <mergeCell ref="AA14:AA15"/>
    <mergeCell ref="AB14:AB15"/>
    <mergeCell ref="AC14:AC15"/>
    <mergeCell ref="AD14:AD15"/>
    <mergeCell ref="AE14:AE15"/>
    <mergeCell ref="AF14:AF15"/>
    <mergeCell ref="U14:U15"/>
    <mergeCell ref="V14:V15"/>
    <mergeCell ref="W14:W15"/>
    <mergeCell ref="X14:X15"/>
    <mergeCell ref="Y14:Y15"/>
    <mergeCell ref="Z14:Z15"/>
    <mergeCell ref="C2:P2"/>
    <mergeCell ref="S2:AF2"/>
    <mergeCell ref="C4:D5"/>
    <mergeCell ref="E4:I5"/>
    <mergeCell ref="K4:K5"/>
    <mergeCell ref="L4:L5"/>
    <mergeCell ref="S4:T5"/>
    <mergeCell ref="U4:Y5"/>
    <mergeCell ref="AA4:AA5"/>
    <mergeCell ref="AB4:AB5"/>
    <mergeCell ref="C90:P90"/>
    <mergeCell ref="S90:AF90"/>
    <mergeCell ref="C92:D93"/>
    <mergeCell ref="E92:I93"/>
    <mergeCell ref="K92:K93"/>
    <mergeCell ref="L92:L93"/>
    <mergeCell ref="S92:T93"/>
    <mergeCell ref="U92:Y93"/>
    <mergeCell ref="AA92:AA93"/>
  </mergeCells>
  <phoneticPr fontId="142"/>
  <printOptions horizontalCentered="1" verticalCentered="1"/>
  <pageMargins left="0.7" right="0.7" top="0.75" bottom="0.75" header="0" footer="0"/>
  <pageSetup paperSize="9" scale="50" pageOrder="overThenDown" orientation="portrait" r:id="rId1"/>
  <rowBreaks count="1" manualBreakCount="1">
    <brk id="89" max="16383" man="1"/>
  </rowBreaks>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CF228"/>
  <sheetViews>
    <sheetView showZeros="0" tabSelected="1" view="pageBreakPreview" zoomScale="85" zoomScaleNormal="60" zoomScaleSheetLayoutView="85" workbookViewId="0">
      <selection activeCell="L23" sqref="L23:P24"/>
    </sheetView>
  </sheetViews>
  <sheetFormatPr defaultRowHeight="13.5"/>
  <cols>
    <col min="1" max="22" width="4" customWidth="1"/>
    <col min="23" max="23" width="4.5" bestFit="1" customWidth="1"/>
    <col min="24" max="24" width="4" customWidth="1"/>
    <col min="25" max="25" width="4.25" bestFit="1" customWidth="1"/>
    <col min="26" max="26" width="4" customWidth="1"/>
    <col min="27" max="27" width="3.625" customWidth="1"/>
    <col min="28" max="28" width="5.625" customWidth="1"/>
    <col min="29" max="29" width="3.625" customWidth="1"/>
    <col min="30" max="30" width="6.625" customWidth="1"/>
    <col min="31" max="31" width="3.625" customWidth="1"/>
    <col min="32" max="33" width="5.625" customWidth="1"/>
    <col min="34" max="35" width="4.625" customWidth="1"/>
    <col min="36" max="36" width="5.625" customWidth="1"/>
    <col min="37" max="39" width="4.625" customWidth="1"/>
    <col min="40" max="50" width="3.625" customWidth="1"/>
    <col min="51" max="51" width="5" bestFit="1" customWidth="1"/>
    <col min="52" max="52" width="5.375" customWidth="1"/>
    <col min="53" max="55" width="9.125" hidden="1" customWidth="1"/>
    <col min="56" max="56" width="26.875" hidden="1" customWidth="1"/>
    <col min="57" max="57" width="27.875" hidden="1" customWidth="1"/>
    <col min="58" max="58" width="9.125" hidden="1" customWidth="1"/>
    <col min="59" max="59" width="32.5" hidden="1" customWidth="1"/>
    <col min="60" max="68" width="9.125" hidden="1" customWidth="1"/>
    <col min="69" max="81" width="9.125" customWidth="1"/>
    <col min="82" max="91" width="9.625" customWidth="1"/>
  </cols>
  <sheetData>
    <row r="1" spans="1:80" ht="24" customHeight="1">
      <c r="A1" s="1682" t="s">
        <v>74</v>
      </c>
      <c r="B1" s="1682"/>
      <c r="C1" s="1682"/>
      <c r="D1" s="1682"/>
      <c r="E1" s="1682"/>
      <c r="F1" s="1682"/>
      <c r="G1" s="1682"/>
      <c r="H1" s="1682"/>
      <c r="I1" s="1682"/>
      <c r="J1" s="1682"/>
      <c r="K1" s="1682"/>
      <c r="L1" s="1682"/>
      <c r="M1" s="1682"/>
      <c r="N1" s="1682"/>
      <c r="O1" s="1682"/>
      <c r="P1" s="1682"/>
      <c r="Q1" s="1682"/>
      <c r="R1" s="1682"/>
      <c r="S1" s="1682"/>
      <c r="T1" s="1682"/>
      <c r="U1" s="1682"/>
      <c r="V1" s="1682"/>
      <c r="W1" s="1682"/>
      <c r="X1" s="1682"/>
      <c r="Y1" s="1682"/>
      <c r="Z1" s="1682"/>
      <c r="AA1" s="1682" t="s">
        <v>74</v>
      </c>
      <c r="AB1" s="1682"/>
      <c r="AC1" s="1682"/>
      <c r="AD1" s="1682"/>
      <c r="AE1" s="1682"/>
      <c r="AF1" s="1682"/>
      <c r="AG1" s="1682"/>
      <c r="AH1" s="1682"/>
      <c r="AI1" s="1682"/>
      <c r="AJ1" s="1682"/>
      <c r="AK1" s="1682"/>
      <c r="AL1" s="1682"/>
      <c r="AM1" s="1682"/>
      <c r="AN1" s="1682"/>
      <c r="AO1" s="1682"/>
      <c r="AP1" s="1682"/>
      <c r="AQ1" s="1682"/>
      <c r="AR1" s="1682"/>
      <c r="AS1" s="1682"/>
      <c r="AT1" s="1682"/>
      <c r="AU1" s="1682"/>
      <c r="AV1" s="1682"/>
      <c r="AW1" s="1682"/>
      <c r="AX1" s="1682"/>
      <c r="AY1" s="1682"/>
      <c r="AZ1" s="1682"/>
      <c r="BA1" s="498">
        <v>1</v>
      </c>
      <c r="BB1" s="498"/>
      <c r="BC1" s="499"/>
      <c r="BD1" s="499"/>
      <c r="BE1" s="499"/>
      <c r="BF1" s="499"/>
      <c r="BG1" s="498"/>
      <c r="BH1" s="498"/>
      <c r="BI1" s="498"/>
      <c r="BJ1" s="498"/>
      <c r="BK1" s="498"/>
      <c r="BL1" s="498"/>
      <c r="BM1" s="498"/>
      <c r="BN1" s="498"/>
      <c r="BO1" s="498"/>
      <c r="BP1" s="498"/>
      <c r="BQ1" s="498"/>
      <c r="BR1" s="498"/>
      <c r="BS1" s="498"/>
      <c r="BT1" s="498"/>
      <c r="BU1" s="32"/>
      <c r="BV1" s="32"/>
      <c r="BW1" s="32"/>
      <c r="BX1" s="32"/>
      <c r="BY1" s="32"/>
      <c r="BZ1" s="32"/>
      <c r="CA1" s="32"/>
    </row>
    <row r="2" spans="1:80" ht="13.5" customHeight="1" thickBot="1">
      <c r="A2" s="416" t="b">
        <v>0</v>
      </c>
      <c r="B2" s="416" t="b">
        <v>0</v>
      </c>
      <c r="C2" s="114"/>
      <c r="D2" s="114"/>
      <c r="F2" s="116"/>
      <c r="G2" s="116"/>
      <c r="H2" s="114"/>
      <c r="I2" s="114"/>
      <c r="J2" s="114"/>
      <c r="K2" s="113"/>
      <c r="L2" s="113"/>
      <c r="M2" s="113"/>
      <c r="N2" s="113"/>
      <c r="O2" s="113"/>
      <c r="P2" s="113"/>
      <c r="Q2" s="113"/>
      <c r="R2" s="113"/>
      <c r="S2" s="113"/>
      <c r="T2" s="113"/>
      <c r="U2" s="113"/>
      <c r="V2" s="113"/>
      <c r="W2" s="151" t="s">
        <v>216</v>
      </c>
      <c r="X2" s="403">
        <v>1</v>
      </c>
      <c r="Y2" s="151" t="s">
        <v>217</v>
      </c>
      <c r="Z2" s="403">
        <v>1</v>
      </c>
      <c r="AA2" s="59" t="b">
        <v>0</v>
      </c>
      <c r="AB2" s="59" t="b">
        <v>0</v>
      </c>
      <c r="AC2" s="114"/>
      <c r="AD2" s="114"/>
      <c r="AF2" s="116"/>
      <c r="AG2" s="116"/>
      <c r="AH2" s="114"/>
      <c r="AI2" s="114"/>
      <c r="AJ2" s="114"/>
      <c r="AK2" s="113"/>
      <c r="AL2" s="113"/>
      <c r="AM2" s="113"/>
      <c r="AN2" s="113"/>
      <c r="AO2" s="113"/>
      <c r="AP2" s="113"/>
      <c r="AQ2" s="113"/>
      <c r="AR2" s="113"/>
      <c r="AS2" s="113"/>
      <c r="AT2" s="113"/>
      <c r="AU2" s="113"/>
      <c r="AV2" s="113"/>
      <c r="AW2" s="151" t="s">
        <v>72</v>
      </c>
      <c r="AX2" s="403">
        <v>1</v>
      </c>
      <c r="AY2" s="151" t="s">
        <v>100</v>
      </c>
      <c r="AZ2" s="403">
        <v>1</v>
      </c>
      <c r="BA2" s="498">
        <v>2</v>
      </c>
      <c r="BB2" s="498"/>
      <c r="BC2" s="499"/>
      <c r="BD2" s="498"/>
      <c r="BE2" s="498"/>
      <c r="BF2" s="499"/>
      <c r="BG2" s="498"/>
      <c r="BH2" s="498"/>
      <c r="BI2" s="498"/>
      <c r="BJ2" s="498"/>
      <c r="BK2" s="498"/>
      <c r="BL2" s="498"/>
      <c r="BM2" s="498"/>
      <c r="BN2" s="498"/>
      <c r="BO2" s="498"/>
      <c r="BP2" s="498"/>
      <c r="BQ2" s="498"/>
      <c r="BR2" s="498"/>
      <c r="BS2" s="498"/>
      <c r="BT2" s="498"/>
      <c r="BU2" s="19"/>
      <c r="BV2" s="19"/>
      <c r="BW2" s="19"/>
      <c r="BX2" s="19"/>
      <c r="BY2" s="19"/>
      <c r="BZ2" s="19"/>
      <c r="CA2" s="19"/>
      <c r="CB2" s="27"/>
    </row>
    <row r="3" spans="1:80" ht="13.5" customHeight="1" thickBot="1">
      <c r="A3" s="1683" t="s">
        <v>75</v>
      </c>
      <c r="B3" s="1683"/>
      <c r="C3" s="1683"/>
      <c r="D3" s="1683"/>
      <c r="E3" s="1683"/>
      <c r="F3" s="1683"/>
      <c r="G3" s="1683"/>
      <c r="H3" s="1683"/>
      <c r="I3" s="1683"/>
      <c r="J3" s="1683"/>
      <c r="K3" s="1683"/>
      <c r="L3" s="1683"/>
      <c r="M3" s="1683"/>
      <c r="N3" s="1683"/>
      <c r="O3" s="1683"/>
      <c r="P3" s="1683"/>
      <c r="Q3" s="1683"/>
      <c r="R3" s="1683"/>
      <c r="S3" s="1683"/>
      <c r="T3" s="1683"/>
      <c r="U3" s="1683"/>
      <c r="V3" s="1683"/>
      <c r="W3" s="117"/>
      <c r="AA3" s="1683" t="s">
        <v>75</v>
      </c>
      <c r="AB3" s="1683"/>
      <c r="AC3" s="1683"/>
      <c r="AD3" s="1683"/>
      <c r="AE3" s="1683"/>
      <c r="AF3" s="1683"/>
      <c r="AG3" s="1683"/>
      <c r="AH3" s="1683"/>
      <c r="AI3" s="1683"/>
      <c r="AJ3" s="1683"/>
      <c r="AK3" s="1683"/>
      <c r="AL3" s="1683"/>
      <c r="AM3" s="1683"/>
      <c r="AN3" s="1683"/>
      <c r="AO3" s="1683"/>
      <c r="AP3" s="1683"/>
      <c r="AQ3" s="1683"/>
      <c r="AR3" s="1683"/>
      <c r="AS3" s="1683"/>
      <c r="AT3" s="1683"/>
      <c r="AU3" s="1683"/>
      <c r="AV3" s="1683"/>
      <c r="AW3" s="117"/>
      <c r="BA3" s="498">
        <v>3</v>
      </c>
      <c r="BB3" s="498"/>
      <c r="BC3" s="499"/>
      <c r="BD3" s="498"/>
      <c r="BE3" s="498"/>
      <c r="BF3" s="499"/>
      <c r="BG3" s="498"/>
      <c r="BH3" s="498"/>
      <c r="BI3" s="498"/>
      <c r="BJ3" s="498"/>
      <c r="BK3" s="498"/>
      <c r="BL3" s="498"/>
      <c r="BM3" s="498"/>
      <c r="BN3" s="498"/>
      <c r="BO3" s="498"/>
      <c r="BP3" s="498"/>
      <c r="BQ3" s="498"/>
      <c r="BR3" s="498"/>
      <c r="BS3" s="498"/>
      <c r="BT3" s="498"/>
      <c r="BU3" s="19"/>
      <c r="BV3" s="19"/>
      <c r="BW3" s="19"/>
      <c r="BX3" s="19"/>
      <c r="BY3" s="19"/>
      <c r="BZ3" s="19"/>
      <c r="CA3" s="19"/>
      <c r="CB3" s="27"/>
    </row>
    <row r="4" spans="1:80" ht="19.5" customHeight="1" thickBot="1">
      <c r="A4" s="118"/>
      <c r="B4" s="415" t="s">
        <v>2705</v>
      </c>
      <c r="C4" s="154" t="s">
        <v>2703</v>
      </c>
      <c r="D4" s="155"/>
      <c r="E4" s="150" t="s">
        <v>13</v>
      </c>
      <c r="F4" s="155"/>
      <c r="G4" s="150" t="s">
        <v>12</v>
      </c>
      <c r="H4" s="141" t="s">
        <v>218</v>
      </c>
      <c r="I4" s="119"/>
      <c r="J4" s="415" t="s">
        <v>2704</v>
      </c>
      <c r="K4" s="154" t="s">
        <v>2703</v>
      </c>
      <c r="L4" s="156"/>
      <c r="M4" s="151" t="s">
        <v>13</v>
      </c>
      <c r="N4" s="157"/>
      <c r="O4" s="151" t="s">
        <v>12</v>
      </c>
      <c r="P4" s="156"/>
      <c r="Q4" s="151" t="s">
        <v>26</v>
      </c>
      <c r="R4" s="158"/>
      <c r="S4" s="151" t="s">
        <v>76</v>
      </c>
      <c r="T4" s="118" t="s">
        <v>219</v>
      </c>
      <c r="U4" s="23"/>
      <c r="V4" s="1684" t="s">
        <v>77</v>
      </c>
      <c r="W4" s="1698"/>
      <c r="X4" s="1686" t="s">
        <v>100</v>
      </c>
      <c r="Y4" s="1694"/>
      <c r="Z4" s="1696"/>
      <c r="AA4" s="118"/>
      <c r="AB4" s="407" t="s">
        <v>2705</v>
      </c>
      <c r="AC4" s="154" t="s">
        <v>2703</v>
      </c>
      <c r="AD4" s="155">
        <v>9</v>
      </c>
      <c r="AE4" s="150" t="s">
        <v>13</v>
      </c>
      <c r="AF4" s="155">
        <v>1</v>
      </c>
      <c r="AG4" s="150" t="s">
        <v>12</v>
      </c>
      <c r="AH4" s="141" t="s">
        <v>29</v>
      </c>
      <c r="AI4" s="119"/>
      <c r="AJ4" s="406" t="s">
        <v>2704</v>
      </c>
      <c r="AK4" s="154" t="s">
        <v>2703</v>
      </c>
      <c r="AL4" s="156">
        <v>9</v>
      </c>
      <c r="AM4" s="151" t="s">
        <v>13</v>
      </c>
      <c r="AN4" s="157">
        <v>15</v>
      </c>
      <c r="AO4" s="151" t="s">
        <v>12</v>
      </c>
      <c r="AP4" s="156">
        <v>15</v>
      </c>
      <c r="AQ4" s="151" t="s">
        <v>26</v>
      </c>
      <c r="AR4" s="158">
        <v>30</v>
      </c>
      <c r="AS4" s="151" t="s">
        <v>76</v>
      </c>
      <c r="AT4" s="118" t="s">
        <v>29</v>
      </c>
      <c r="AU4" s="23"/>
      <c r="AV4" s="1684" t="s">
        <v>77</v>
      </c>
      <c r="AW4" s="1690"/>
      <c r="AX4" s="1691"/>
      <c r="AY4" s="1686" t="s">
        <v>100</v>
      </c>
      <c r="AZ4" s="1688"/>
      <c r="BA4" s="498">
        <v>4</v>
      </c>
      <c r="BB4" s="498"/>
      <c r="BC4" s="499"/>
      <c r="BD4" s="498"/>
      <c r="BE4" s="498"/>
      <c r="BF4" s="499"/>
      <c r="BG4" s="498"/>
      <c r="BH4" s="498"/>
      <c r="BI4" s="498"/>
      <c r="BJ4" s="498"/>
      <c r="BK4" s="498"/>
      <c r="BL4" s="498"/>
      <c r="BM4" s="498"/>
      <c r="BN4" s="498"/>
      <c r="BO4" s="498"/>
      <c r="BP4" s="498"/>
      <c r="BQ4" s="498"/>
      <c r="BR4" s="498"/>
      <c r="BS4" s="498"/>
      <c r="BT4" s="498"/>
      <c r="BU4" s="19"/>
      <c r="BV4" s="19"/>
      <c r="BW4" s="19"/>
      <c r="BX4" s="19"/>
      <c r="BY4" s="19"/>
      <c r="BZ4" s="19"/>
      <c r="CA4" s="19"/>
      <c r="CB4" s="27"/>
    </row>
    <row r="5" spans="1:80" ht="14.25" customHeight="1" thickBot="1">
      <c r="A5" s="33"/>
      <c r="B5" s="33"/>
      <c r="C5" s="33"/>
      <c r="D5" s="33"/>
      <c r="E5" s="33"/>
      <c r="F5" s="442"/>
      <c r="G5" s="429" t="str">
        <f>H7</f>
        <v/>
      </c>
      <c r="H5" s="429" t="str">
        <f>P7</f>
        <v/>
      </c>
      <c r="I5" s="765"/>
      <c r="J5" s="766"/>
      <c r="K5" s="767"/>
      <c r="L5" s="33"/>
      <c r="M5" s="33"/>
      <c r="N5" s="33"/>
      <c r="O5" s="33"/>
      <c r="P5" s="768"/>
      <c r="Q5" s="768"/>
      <c r="R5" s="767"/>
      <c r="S5" s="766"/>
      <c r="T5" s="767"/>
      <c r="U5" s="23"/>
      <c r="V5" s="1685"/>
      <c r="W5" s="1699"/>
      <c r="X5" s="1687"/>
      <c r="Y5" s="1695"/>
      <c r="Z5" s="1697"/>
      <c r="AG5" s="120"/>
      <c r="AH5" s="120"/>
      <c r="AI5" s="121"/>
      <c r="AJ5" s="113"/>
      <c r="AK5" s="122"/>
      <c r="AP5" s="120"/>
      <c r="AQ5" s="120"/>
      <c r="AR5" s="122"/>
      <c r="AS5" s="113"/>
      <c r="AT5" s="122"/>
      <c r="AU5" s="23"/>
      <c r="AV5" s="1685"/>
      <c r="AW5" s="1692"/>
      <c r="AX5" s="1693"/>
      <c r="AY5" s="1687"/>
      <c r="AZ5" s="1689"/>
      <c r="BA5" s="498">
        <v>5</v>
      </c>
      <c r="BB5" s="498"/>
      <c r="BC5" s="499"/>
      <c r="BD5" s="498"/>
      <c r="BE5" s="498"/>
      <c r="BF5" s="499"/>
      <c r="BG5" s="498"/>
      <c r="BH5" s="498"/>
      <c r="BI5" s="498"/>
      <c r="BJ5" s="498"/>
      <c r="BK5" s="498"/>
      <c r="BL5" s="498"/>
      <c r="BM5" s="498"/>
      <c r="BN5" s="498"/>
      <c r="BO5" s="498"/>
      <c r="BP5" s="498"/>
      <c r="BQ5" s="498"/>
      <c r="BR5" s="498"/>
      <c r="BS5" s="498"/>
      <c r="BT5" s="498"/>
      <c r="BU5" s="19"/>
      <c r="BV5" s="19"/>
      <c r="BW5" s="19"/>
      <c r="BX5" s="19"/>
      <c r="BY5" s="19"/>
      <c r="BZ5" s="19"/>
      <c r="CA5" s="19"/>
      <c r="CB5" s="27"/>
    </row>
    <row r="6" spans="1:80" ht="27" customHeight="1" thickBot="1">
      <c r="A6" s="1653" t="s">
        <v>71</v>
      </c>
      <c r="B6" s="1653"/>
      <c r="C6" s="1653"/>
      <c r="D6" s="1621" t="str">
        <f>CONCATENATE('01 使用承認申請書'!D4)</f>
        <v/>
      </c>
      <c r="E6" s="1621"/>
      <c r="F6" s="1621"/>
      <c r="G6" s="1621"/>
      <c r="H6" s="1621"/>
      <c r="I6" s="1621"/>
      <c r="J6" s="1621"/>
      <c r="K6" s="1621"/>
      <c r="L6" s="1621"/>
      <c r="M6" s="1621"/>
      <c r="N6" s="1621"/>
      <c r="O6" s="1621"/>
      <c r="P6" s="1621"/>
      <c r="Q6" s="1621"/>
      <c r="R6" s="1621"/>
      <c r="S6" s="1621"/>
      <c r="T6" s="1621"/>
      <c r="AA6" s="1653" t="s">
        <v>71</v>
      </c>
      <c r="AB6" s="1653"/>
      <c r="AC6" s="1653"/>
      <c r="AD6" s="1621" t="str">
        <f>CONCATENATE('01 使用承認申請書'!AD4)</f>
        <v>札幌市立青少年山の家小学校</v>
      </c>
      <c r="AE6" s="1621"/>
      <c r="AF6" s="1621"/>
      <c r="AG6" s="1621"/>
      <c r="AH6" s="1621"/>
      <c r="AI6" s="1621"/>
      <c r="AJ6" s="1621"/>
      <c r="AK6" s="1621"/>
      <c r="AL6" s="1621"/>
      <c r="AM6" s="1621"/>
      <c r="AN6" s="1621"/>
      <c r="AO6" s="1621"/>
      <c r="AP6" s="1621"/>
      <c r="AQ6" s="1621"/>
      <c r="AR6" s="1621"/>
      <c r="AS6" s="1621"/>
      <c r="AT6" s="1621"/>
      <c r="BA6" s="498">
        <v>6</v>
      </c>
      <c r="BB6" s="498"/>
      <c r="BC6" s="499"/>
      <c r="BD6" s="498"/>
      <c r="BE6" s="498"/>
      <c r="BF6" s="499"/>
      <c r="BG6" s="498"/>
      <c r="BH6" s="498"/>
      <c r="BI6" s="498"/>
      <c r="BJ6" s="498"/>
      <c r="BK6" s="498"/>
      <c r="BL6" s="498"/>
      <c r="BM6" s="498"/>
      <c r="BN6" s="498"/>
      <c r="BO6" s="498"/>
      <c r="BP6" s="498"/>
      <c r="BQ6" s="498"/>
      <c r="BR6" s="498"/>
      <c r="BS6" s="498"/>
      <c r="BT6" s="498"/>
      <c r="BU6" s="19"/>
      <c r="BV6" s="19"/>
      <c r="BW6" s="19"/>
      <c r="BX6" s="19"/>
      <c r="BY6" s="19"/>
      <c r="BZ6" s="19"/>
      <c r="CA6" s="19"/>
      <c r="CB6" s="27"/>
    </row>
    <row r="7" spans="1:80" ht="13.5" customHeight="1">
      <c r="A7" s="1654" t="s">
        <v>69</v>
      </c>
      <c r="B7" s="1654"/>
      <c r="C7" s="1654"/>
      <c r="D7" s="1650"/>
      <c r="E7" s="1657"/>
      <c r="F7" s="1659" t="str">
        <f>CONCATENATE('01 使用承認申請書'!C14)</f>
        <v/>
      </c>
      <c r="G7" s="1656" t="s">
        <v>13</v>
      </c>
      <c r="H7" s="1623" t="str">
        <f>CONCATENATE('01 使用承認申請書'!F14)</f>
        <v/>
      </c>
      <c r="I7" s="1619" t="s">
        <v>12</v>
      </c>
      <c r="J7" s="1619" t="s">
        <v>215</v>
      </c>
      <c r="K7" s="1623" t="str">
        <f>CONCATENATE('01 使用承認申請書'!J14)</f>
        <v/>
      </c>
      <c r="L7" s="1619" t="s">
        <v>220</v>
      </c>
      <c r="M7" s="1619" t="s">
        <v>221</v>
      </c>
      <c r="N7" s="1623" t="str">
        <f>CONCATENATE('01 使用承認申請書'!C16)</f>
        <v/>
      </c>
      <c r="O7" s="1619" t="s">
        <v>13</v>
      </c>
      <c r="P7" s="1623" t="str">
        <f>CONCATENATE('01 使用承認申請書'!F16)</f>
        <v/>
      </c>
      <c r="Q7" s="1619" t="s">
        <v>12</v>
      </c>
      <c r="R7" s="1619" t="s">
        <v>222</v>
      </c>
      <c r="S7" s="1623" t="str">
        <f>CONCATENATE('01 使用承認申請書'!J16)</f>
        <v/>
      </c>
      <c r="T7" s="1619" t="s">
        <v>220</v>
      </c>
      <c r="U7" s="153"/>
      <c r="V7" s="180"/>
      <c r="W7" s="404" t="str">
        <f>CONCATENATE('01 使用承認申請書'!L13)</f>
        <v/>
      </c>
      <c r="X7" s="153" t="s">
        <v>38</v>
      </c>
      <c r="Y7" s="404" t="str">
        <f>CONCATENATE('01 使用承認申請書'!Q13)</f>
        <v/>
      </c>
      <c r="Z7" s="153" t="s">
        <v>12</v>
      </c>
      <c r="AA7" s="1654" t="s">
        <v>69</v>
      </c>
      <c r="AB7" s="1654"/>
      <c r="AC7" s="1654"/>
      <c r="AD7" s="1650" t="str">
        <f>CONCATENATE('01 使用承認申請書'!AB12)</f>
        <v>令和８</v>
      </c>
      <c r="AE7" s="1619" t="s">
        <v>14</v>
      </c>
      <c r="AF7" s="1659" t="str">
        <f>CONCATENATE('01 使用承認申請書'!AC14)</f>
        <v>10</v>
      </c>
      <c r="AG7" s="1656" t="s">
        <v>13</v>
      </c>
      <c r="AH7" s="1623" t="str">
        <f>CONCATENATE('01 使用承認申請書'!AF14)</f>
        <v>10</v>
      </c>
      <c r="AI7" s="1619" t="s">
        <v>12</v>
      </c>
      <c r="AJ7" s="1619" t="s">
        <v>30</v>
      </c>
      <c r="AK7" s="1623" t="str">
        <f>CONCATENATE('01 使用承認申請書'!AJ14)</f>
        <v>月</v>
      </c>
      <c r="AL7" s="1619" t="s">
        <v>29</v>
      </c>
      <c r="AM7" s="1619" t="s">
        <v>27</v>
      </c>
      <c r="AN7" s="1623" t="str">
        <f>CONCATENATE('01 使用承認申請書'!AC16)</f>
        <v>10</v>
      </c>
      <c r="AO7" s="1619" t="s">
        <v>13</v>
      </c>
      <c r="AP7" s="1623" t="str">
        <f>CONCATENATE('01 使用承認申請書'!AF16)</f>
        <v>11</v>
      </c>
      <c r="AQ7" s="1619" t="s">
        <v>12</v>
      </c>
      <c r="AR7" s="1619" t="s">
        <v>30</v>
      </c>
      <c r="AS7" s="1623" t="str">
        <f>CONCATENATE('01 使用承認申請書'!AJ16)</f>
        <v>火</v>
      </c>
      <c r="AT7" s="1619" t="s">
        <v>29</v>
      </c>
      <c r="AV7" s="113"/>
      <c r="AW7" s="404" t="str">
        <f>CONCATENATE('01 使用承認申請書'!AL13)</f>
        <v>1</v>
      </c>
      <c r="AX7" s="153" t="s">
        <v>38</v>
      </c>
      <c r="AY7" s="404" t="str">
        <f>CONCATENATE('01 使用承認申請書'!AQ13)</f>
        <v>2</v>
      </c>
      <c r="AZ7" s="153" t="s">
        <v>12</v>
      </c>
      <c r="BA7" s="498">
        <v>7</v>
      </c>
      <c r="BB7" s="498"/>
      <c r="BC7" s="499"/>
      <c r="BD7" s="498"/>
      <c r="BE7" s="498"/>
      <c r="BF7" s="499"/>
      <c r="BG7" s="498"/>
      <c r="BH7" s="498"/>
      <c r="BI7" s="498"/>
      <c r="BJ7" s="498"/>
      <c r="BK7" s="498"/>
      <c r="BL7" s="498"/>
      <c r="BM7" s="498"/>
      <c r="BN7" s="498"/>
      <c r="BO7" s="498"/>
      <c r="BP7" s="498"/>
      <c r="BQ7" s="498"/>
      <c r="BR7" s="498"/>
      <c r="BS7" s="498"/>
      <c r="BT7" s="498"/>
      <c r="BU7" s="19"/>
      <c r="BV7" s="19"/>
      <c r="BW7" s="19"/>
      <c r="BX7" s="19"/>
      <c r="BY7" s="19"/>
      <c r="BZ7" s="19"/>
      <c r="CA7" s="19"/>
      <c r="CB7" s="27"/>
    </row>
    <row r="8" spans="1:80" ht="13.5" customHeight="1" thickBot="1">
      <c r="A8" s="1653"/>
      <c r="B8" s="1653"/>
      <c r="C8" s="1653"/>
      <c r="D8" s="1651"/>
      <c r="E8" s="1658"/>
      <c r="F8" s="1624"/>
      <c r="G8" s="1620"/>
      <c r="H8" s="1624"/>
      <c r="I8" s="1620"/>
      <c r="J8" s="1620"/>
      <c r="K8" s="1624"/>
      <c r="L8" s="1620"/>
      <c r="M8" s="1620"/>
      <c r="N8" s="1624"/>
      <c r="O8" s="1620"/>
      <c r="P8" s="1624"/>
      <c r="Q8" s="1620"/>
      <c r="R8" s="1620"/>
      <c r="S8" s="1624"/>
      <c r="T8" s="1620"/>
      <c r="U8" s="154"/>
      <c r="V8" s="151"/>
      <c r="W8" s="1655" t="s">
        <v>39</v>
      </c>
      <c r="X8" s="1655"/>
      <c r="Y8" s="405" t="str">
        <f>CONCATENATE('01 使用承認申請書'!V13)</f>
        <v/>
      </c>
      <c r="Z8" s="154" t="s">
        <v>78</v>
      </c>
      <c r="AA8" s="1653"/>
      <c r="AB8" s="1653"/>
      <c r="AC8" s="1653"/>
      <c r="AD8" s="1651"/>
      <c r="AE8" s="1620"/>
      <c r="AF8" s="1624"/>
      <c r="AG8" s="1620"/>
      <c r="AH8" s="1624"/>
      <c r="AI8" s="1620"/>
      <c r="AJ8" s="1620"/>
      <c r="AK8" s="1624"/>
      <c r="AL8" s="1620"/>
      <c r="AM8" s="1620"/>
      <c r="AN8" s="1624"/>
      <c r="AO8" s="1620"/>
      <c r="AP8" s="1624"/>
      <c r="AQ8" s="1620"/>
      <c r="AR8" s="1620"/>
      <c r="AS8" s="1624"/>
      <c r="AT8" s="1620"/>
      <c r="AU8" s="118"/>
      <c r="AV8" s="142"/>
      <c r="AW8" s="1655" t="s">
        <v>39</v>
      </c>
      <c r="AX8" s="1655"/>
      <c r="AY8" s="115" t="str">
        <f>CONCATENATE('01 使用承認申請書'!AV13)</f>
        <v/>
      </c>
      <c r="AZ8" s="154" t="s">
        <v>12</v>
      </c>
      <c r="BA8" s="498">
        <v>8</v>
      </c>
      <c r="BB8" s="498"/>
      <c r="BC8" s="499"/>
      <c r="BD8" s="498"/>
      <c r="BE8" s="498"/>
      <c r="BF8" s="499"/>
      <c r="BG8" s="498"/>
      <c r="BH8" s="498"/>
      <c r="BI8" s="498"/>
      <c r="BJ8" s="498"/>
      <c r="BK8" s="498"/>
      <c r="BL8" s="498"/>
      <c r="BM8" s="498"/>
      <c r="BN8" s="498"/>
      <c r="BO8" s="498"/>
      <c r="BP8" s="498"/>
      <c r="BQ8" s="498"/>
      <c r="BR8" s="498"/>
      <c r="BS8" s="498"/>
      <c r="BT8" s="498"/>
      <c r="BU8" s="19"/>
      <c r="BV8" s="19"/>
      <c r="BW8" s="19"/>
      <c r="BX8" s="19"/>
      <c r="BY8" s="19"/>
      <c r="BZ8" s="19"/>
      <c r="CA8" s="19"/>
      <c r="CB8" s="27"/>
    </row>
    <row r="9" spans="1:80" ht="15" customHeight="1">
      <c r="A9" s="1652"/>
      <c r="B9" s="1652"/>
      <c r="C9" s="1652"/>
      <c r="D9" s="1652"/>
      <c r="E9" s="1652"/>
      <c r="F9" s="1652"/>
      <c r="G9" s="1652"/>
      <c r="H9" s="1652"/>
      <c r="I9" s="1652"/>
      <c r="J9" s="1652"/>
      <c r="K9" s="1652"/>
      <c r="L9" s="1652"/>
      <c r="M9" s="1652"/>
      <c r="N9" s="1652"/>
      <c r="O9" s="1652"/>
      <c r="P9" s="1652"/>
      <c r="Q9" s="1652"/>
      <c r="R9" s="1652"/>
      <c r="S9" s="1652"/>
      <c r="T9" s="1652"/>
      <c r="U9" s="1652"/>
      <c r="V9" s="1652"/>
      <c r="W9" s="1652"/>
      <c r="X9" s="1652"/>
      <c r="Y9" s="1652"/>
      <c r="Z9" s="1652"/>
      <c r="AA9" s="1652"/>
      <c r="AB9" s="1652"/>
      <c r="AC9" s="1652"/>
      <c r="AD9" s="1652"/>
      <c r="AE9" s="1652"/>
      <c r="AF9" s="1652"/>
      <c r="AG9" s="1652"/>
      <c r="AH9" s="1652"/>
      <c r="AI9" s="1652"/>
      <c r="AJ9" s="1652"/>
      <c r="AK9" s="1652"/>
      <c r="AL9" s="1652"/>
      <c r="AM9" s="1652"/>
      <c r="AN9" s="1652"/>
      <c r="AO9" s="1652"/>
      <c r="AP9" s="1652"/>
      <c r="AQ9" s="1652"/>
      <c r="AR9" s="1652"/>
      <c r="AS9" s="1652"/>
      <c r="AT9" s="1652"/>
      <c r="AU9" s="1652"/>
      <c r="AV9" s="1652"/>
      <c r="AW9" s="1652"/>
      <c r="AX9" s="1652"/>
      <c r="AY9" s="1652"/>
      <c r="AZ9" s="1652"/>
      <c r="BA9" s="498">
        <v>9</v>
      </c>
      <c r="BB9" s="498"/>
      <c r="BC9" s="499"/>
      <c r="BD9" s="498"/>
      <c r="BE9" s="498"/>
      <c r="BF9" s="499"/>
      <c r="BG9" s="498"/>
      <c r="BH9" s="498"/>
      <c r="BI9" s="498"/>
      <c r="BJ9" s="498"/>
      <c r="BK9" s="498"/>
      <c r="BL9" s="498"/>
      <c r="BM9" s="498"/>
      <c r="BN9" s="498"/>
      <c r="BO9" s="498"/>
      <c r="BP9" s="498"/>
      <c r="BQ9" s="498"/>
      <c r="BR9" s="498"/>
      <c r="BS9" s="498"/>
      <c r="BT9" s="498"/>
      <c r="BU9" s="19"/>
      <c r="BV9" s="19"/>
      <c r="BW9" s="19"/>
      <c r="BX9" s="19"/>
      <c r="BY9" s="19"/>
      <c r="BZ9" s="19"/>
      <c r="CA9" s="19"/>
      <c r="CB9" s="27"/>
    </row>
    <row r="10" spans="1:80" ht="16.5" customHeight="1">
      <c r="A10" s="1622" t="s">
        <v>2913</v>
      </c>
      <c r="B10" s="1622"/>
      <c r="C10" s="1622"/>
      <c r="D10" s="1622"/>
      <c r="E10" s="1622"/>
      <c r="F10" s="1622"/>
      <c r="G10" s="1622"/>
      <c r="H10" s="1622"/>
      <c r="I10" s="1622"/>
      <c r="J10" s="1622"/>
      <c r="K10" s="1622"/>
      <c r="L10" s="1622"/>
      <c r="M10" s="1622"/>
      <c r="N10" s="1622"/>
      <c r="O10" s="1622"/>
      <c r="P10" s="1622"/>
      <c r="Q10" s="1622"/>
      <c r="R10" s="1622"/>
      <c r="S10" s="1622"/>
      <c r="T10" s="1622"/>
      <c r="U10" s="1622"/>
      <c r="V10" s="1622"/>
      <c r="W10" s="1622"/>
      <c r="X10" s="1622"/>
      <c r="Y10" s="1622"/>
      <c r="Z10" s="1622"/>
      <c r="AA10" s="1622" t="s">
        <v>2913</v>
      </c>
      <c r="AB10" s="1622"/>
      <c r="AC10" s="1622"/>
      <c r="AD10" s="1622"/>
      <c r="AE10" s="1622"/>
      <c r="AF10" s="1622"/>
      <c r="AG10" s="1622"/>
      <c r="AH10" s="1622"/>
      <c r="AI10" s="1622"/>
      <c r="AJ10" s="1622"/>
      <c r="AK10" s="1622"/>
      <c r="AL10" s="1622"/>
      <c r="AM10" s="1622"/>
      <c r="AN10" s="1622"/>
      <c r="AO10" s="1622"/>
      <c r="AP10" s="1622"/>
      <c r="AQ10" s="1622"/>
      <c r="AR10" s="1622"/>
      <c r="AS10" s="1622"/>
      <c r="AT10" s="1622"/>
      <c r="AU10" s="1622"/>
      <c r="AV10" s="1622"/>
      <c r="AW10" s="1622"/>
      <c r="AX10" s="1622"/>
      <c r="AY10" s="1622"/>
      <c r="AZ10" s="1622"/>
      <c r="BA10" s="498">
        <v>10</v>
      </c>
      <c r="BB10" s="498"/>
      <c r="BC10" s="499"/>
      <c r="BD10" s="498"/>
      <c r="BE10" s="498"/>
      <c r="BF10" s="499"/>
      <c r="BG10" s="498"/>
      <c r="BH10" s="498"/>
      <c r="BI10" s="498"/>
      <c r="BJ10" s="498"/>
      <c r="BK10" s="498"/>
      <c r="BL10" s="498"/>
      <c r="BM10" s="498"/>
      <c r="BN10" s="498"/>
      <c r="BO10" s="498"/>
      <c r="BP10" s="498"/>
      <c r="BQ10" s="498"/>
      <c r="BR10" s="498"/>
      <c r="BS10" s="498"/>
      <c r="BT10" s="498"/>
      <c r="BU10" s="19"/>
      <c r="BV10" s="19"/>
      <c r="BW10" s="19"/>
      <c r="BX10" s="19"/>
      <c r="BY10" s="19"/>
      <c r="BZ10" s="19"/>
      <c r="CA10" s="19"/>
      <c r="CB10" s="27"/>
    </row>
    <row r="11" spans="1:80" ht="26.25" customHeight="1">
      <c r="A11" s="1660" t="s">
        <v>2939</v>
      </c>
      <c r="B11" s="1661"/>
      <c r="C11" s="1661"/>
      <c r="D11" s="1661"/>
      <c r="E11" s="1661"/>
      <c r="F11" s="1661"/>
      <c r="G11" s="1661"/>
      <c r="H11" s="1661"/>
      <c r="I11" s="1661"/>
      <c r="J11" s="1661"/>
      <c r="K11" s="1661"/>
      <c r="L11" s="1661"/>
      <c r="M11" s="1661"/>
      <c r="N11" s="1661"/>
      <c r="O11" s="1661"/>
      <c r="P11" s="1661"/>
      <c r="Q11" s="1661"/>
      <c r="R11" s="1661"/>
      <c r="S11" s="1661"/>
      <c r="T11" s="1661"/>
      <c r="U11" s="1661"/>
      <c r="V11" s="1661"/>
      <c r="W11" s="1661"/>
      <c r="X11" s="1661"/>
      <c r="Y11" s="1661"/>
      <c r="Z11" s="1662"/>
      <c r="AA11" s="1660" t="s">
        <v>2939</v>
      </c>
      <c r="AB11" s="1661"/>
      <c r="AC11" s="1661"/>
      <c r="AD11" s="1661"/>
      <c r="AE11" s="1661"/>
      <c r="AF11" s="1661"/>
      <c r="AG11" s="1661"/>
      <c r="AH11" s="1661"/>
      <c r="AI11" s="1661"/>
      <c r="AJ11" s="1661"/>
      <c r="AK11" s="1661"/>
      <c r="AL11" s="1661"/>
      <c r="AM11" s="1661"/>
      <c r="AN11" s="1661"/>
      <c r="AO11" s="1661"/>
      <c r="AP11" s="1661"/>
      <c r="AQ11" s="1661"/>
      <c r="AR11" s="1661"/>
      <c r="AS11" s="1661"/>
      <c r="AT11" s="1661"/>
      <c r="AU11" s="1661"/>
      <c r="AV11" s="1661"/>
      <c r="AW11" s="1661"/>
      <c r="AX11" s="1661"/>
      <c r="AY11" s="1661"/>
      <c r="AZ11" s="1662"/>
      <c r="BA11" s="498">
        <v>11</v>
      </c>
      <c r="BB11" s="498"/>
      <c r="BC11" s="499"/>
      <c r="BD11" s="498"/>
      <c r="BE11" s="498"/>
      <c r="BF11" s="499"/>
      <c r="BG11" s="498"/>
      <c r="BH11" s="498"/>
      <c r="BI11" s="498"/>
      <c r="BJ11" s="498"/>
      <c r="BK11" s="498"/>
      <c r="BL11" s="498"/>
      <c r="BM11" s="498"/>
      <c r="BN11" s="498"/>
      <c r="BO11" s="498"/>
      <c r="BP11" s="498"/>
      <c r="BQ11" s="498"/>
      <c r="BR11" s="498"/>
      <c r="BS11" s="498"/>
      <c r="BT11" s="498"/>
      <c r="BU11" s="19"/>
      <c r="BV11" s="19"/>
      <c r="BW11" s="19"/>
      <c r="BX11" s="19"/>
      <c r="BY11" s="19"/>
      <c r="BZ11" s="19"/>
      <c r="CA11" s="19"/>
      <c r="CB11" s="27"/>
    </row>
    <row r="12" spans="1:80" ht="26.25" customHeight="1">
      <c r="A12" s="1660"/>
      <c r="B12" s="1661"/>
      <c r="C12" s="1661"/>
      <c r="D12" s="1661"/>
      <c r="E12" s="1661"/>
      <c r="F12" s="1661"/>
      <c r="G12" s="1661"/>
      <c r="H12" s="1661"/>
      <c r="I12" s="1661"/>
      <c r="J12" s="1661"/>
      <c r="K12" s="1661"/>
      <c r="L12" s="1661"/>
      <c r="M12" s="1661"/>
      <c r="N12" s="1661"/>
      <c r="O12" s="1661"/>
      <c r="P12" s="1661"/>
      <c r="Q12" s="1661"/>
      <c r="R12" s="1661"/>
      <c r="S12" s="1661"/>
      <c r="T12" s="1661"/>
      <c r="U12" s="1661"/>
      <c r="V12" s="1661"/>
      <c r="W12" s="1661"/>
      <c r="X12" s="1661"/>
      <c r="Y12" s="1661"/>
      <c r="Z12" s="1662"/>
      <c r="AA12" s="1660"/>
      <c r="AB12" s="1661"/>
      <c r="AC12" s="1661"/>
      <c r="AD12" s="1661"/>
      <c r="AE12" s="1661"/>
      <c r="AF12" s="1661"/>
      <c r="AG12" s="1661"/>
      <c r="AH12" s="1661"/>
      <c r="AI12" s="1661"/>
      <c r="AJ12" s="1661"/>
      <c r="AK12" s="1661"/>
      <c r="AL12" s="1661"/>
      <c r="AM12" s="1661"/>
      <c r="AN12" s="1661"/>
      <c r="AO12" s="1661"/>
      <c r="AP12" s="1661"/>
      <c r="AQ12" s="1661"/>
      <c r="AR12" s="1661"/>
      <c r="AS12" s="1661"/>
      <c r="AT12" s="1661"/>
      <c r="AU12" s="1661"/>
      <c r="AV12" s="1661"/>
      <c r="AW12" s="1661"/>
      <c r="AX12" s="1661"/>
      <c r="AY12" s="1661"/>
      <c r="AZ12" s="1662"/>
      <c r="BA12" s="498">
        <v>12</v>
      </c>
      <c r="BB12" s="498"/>
      <c r="BC12" s="499"/>
      <c r="BD12" s="498"/>
      <c r="BE12" s="498"/>
      <c r="BF12" s="499"/>
      <c r="BG12" s="498"/>
      <c r="BH12" s="498"/>
      <c r="BI12" s="498"/>
      <c r="BJ12" s="498"/>
      <c r="BK12" s="498"/>
      <c r="BL12" s="498"/>
      <c r="BM12" s="498"/>
      <c r="BN12" s="498"/>
      <c r="BO12" s="498"/>
      <c r="BP12" s="498"/>
      <c r="BQ12" s="498"/>
      <c r="BR12" s="498"/>
      <c r="BS12" s="498"/>
      <c r="BT12" s="498"/>
      <c r="BU12" s="19"/>
      <c r="BV12" s="19"/>
      <c r="BW12" s="19"/>
      <c r="BX12" s="19"/>
      <c r="BY12" s="19"/>
      <c r="BZ12" s="19"/>
      <c r="CA12" s="19"/>
      <c r="CB12" s="27"/>
    </row>
    <row r="13" spans="1:80" ht="13.5" customHeight="1">
      <c r="A13" s="152"/>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498">
        <v>13</v>
      </c>
      <c r="BB13" s="498"/>
      <c r="BC13" s="499"/>
      <c r="BD13" s="498"/>
      <c r="BE13" s="498"/>
      <c r="BF13" s="499"/>
      <c r="BG13" s="498"/>
      <c r="BH13" s="498"/>
      <c r="BI13" s="498"/>
      <c r="BJ13" s="498"/>
      <c r="BK13" s="498"/>
      <c r="BL13" s="498"/>
      <c r="BM13" s="498"/>
      <c r="BN13" s="498"/>
      <c r="BO13" s="498"/>
      <c r="BP13" s="498"/>
      <c r="BQ13" s="498"/>
      <c r="BR13" s="498"/>
      <c r="BS13" s="498"/>
      <c r="BT13" s="498"/>
      <c r="BU13" s="19"/>
      <c r="BV13" s="19"/>
      <c r="BW13" s="19"/>
      <c r="BX13" s="19"/>
      <c r="BY13" s="19"/>
      <c r="BZ13" s="19"/>
      <c r="CA13" s="19"/>
      <c r="CB13" s="27"/>
    </row>
    <row r="14" spans="1:80" ht="18.95" customHeight="1" thickBot="1">
      <c r="A14" s="1671" t="s">
        <v>2702</v>
      </c>
      <c r="B14" s="1671"/>
      <c r="C14" s="1671"/>
      <c r="D14" s="1671"/>
      <c r="E14" s="1671"/>
      <c r="F14" s="1671"/>
      <c r="G14" s="1671"/>
      <c r="H14" s="1671"/>
      <c r="I14" s="1671"/>
      <c r="J14" s="1671"/>
      <c r="K14" s="1671"/>
      <c r="L14" s="1671"/>
      <c r="M14" s="1671"/>
      <c r="N14" s="1671"/>
      <c r="O14" s="1671"/>
      <c r="P14" s="1671"/>
      <c r="Q14" s="1671"/>
      <c r="R14" s="1671"/>
      <c r="S14" s="1671"/>
      <c r="T14" s="1671"/>
      <c r="U14" s="1671"/>
      <c r="V14" s="1671"/>
      <c r="W14" s="1671"/>
      <c r="X14" s="1671"/>
      <c r="Y14" s="1671"/>
      <c r="Z14" s="1671"/>
      <c r="AA14" s="1671" t="s">
        <v>2702</v>
      </c>
      <c r="AB14" s="1671"/>
      <c r="AC14" s="1671"/>
      <c r="AD14" s="1671"/>
      <c r="AE14" s="1671"/>
      <c r="AF14" s="1671"/>
      <c r="AG14" s="1671"/>
      <c r="AH14" s="1671"/>
      <c r="AI14" s="1671"/>
      <c r="AJ14" s="1671"/>
      <c r="AK14" s="1671"/>
      <c r="AL14" s="1671"/>
      <c r="AM14" s="1671"/>
      <c r="AN14" s="1671"/>
      <c r="AO14" s="1671"/>
      <c r="AP14" s="1671"/>
      <c r="AQ14" s="1671"/>
      <c r="AR14" s="1671"/>
      <c r="AS14" s="1671"/>
      <c r="AT14" s="1671"/>
      <c r="AU14" s="1671"/>
      <c r="AV14" s="1671"/>
      <c r="AW14" s="1671"/>
      <c r="AX14" s="1671"/>
      <c r="AY14" s="1671"/>
      <c r="AZ14" s="1671"/>
      <c r="BA14" s="498">
        <v>14</v>
      </c>
      <c r="BB14" s="498"/>
      <c r="BC14" s="499"/>
      <c r="BD14" s="498"/>
      <c r="BE14" s="498"/>
      <c r="BF14" s="499"/>
      <c r="BG14" s="498"/>
      <c r="BH14" s="498"/>
      <c r="BI14" s="498"/>
      <c r="BJ14" s="498"/>
      <c r="BK14" s="498"/>
      <c r="BL14" s="498"/>
      <c r="BM14" s="498"/>
      <c r="BN14" s="498"/>
      <c r="BO14" s="498"/>
      <c r="BP14" s="498"/>
      <c r="BQ14" s="498"/>
      <c r="BR14" s="498"/>
      <c r="BS14" s="498"/>
      <c r="BT14" s="498"/>
      <c r="BU14" s="19"/>
      <c r="BV14" s="19"/>
      <c r="BW14" s="19"/>
      <c r="BX14" s="19"/>
      <c r="BY14" s="19"/>
      <c r="BZ14" s="19"/>
      <c r="CA14" s="19"/>
      <c r="CB14" s="27"/>
    </row>
    <row r="15" spans="1:80" ht="13.5" customHeight="1">
      <c r="A15" s="1672" t="s">
        <v>2914</v>
      </c>
      <c r="B15" s="1673"/>
      <c r="C15" s="1673"/>
      <c r="D15" s="1673"/>
      <c r="E15" s="1673"/>
      <c r="F15" s="1673"/>
      <c r="G15" s="1673"/>
      <c r="H15" s="1673"/>
      <c r="I15" s="1673"/>
      <c r="J15" s="1673"/>
      <c r="K15" s="1673"/>
      <c r="L15" s="1673"/>
      <c r="M15" s="1674"/>
      <c r="N15" s="1649" t="s">
        <v>213</v>
      </c>
      <c r="O15" s="1668" t="s">
        <v>1729</v>
      </c>
      <c r="P15" s="1669"/>
      <c r="Q15" s="1678" t="s">
        <v>214</v>
      </c>
      <c r="R15" s="1664" t="str">
        <f>IF(B52=TRUE,IF(B53=TRUE,"!再度確認!","青少年山の家までご連絡ください"),IF(B53=FALSE,"!再度確認!","連絡の必要はありません"))</f>
        <v>!再度確認!</v>
      </c>
      <c r="S15" s="1664"/>
      <c r="T15" s="1664"/>
      <c r="U15" s="1664" t="str">
        <f>IF(K56=TRUE,IF(K57=TRUE,"!再度確認!","提出"),IF(K57=FALSE,"!再度確認!","いりません"))</f>
        <v>!再度確認!</v>
      </c>
      <c r="V15" s="1664"/>
      <c r="W15" s="1664"/>
      <c r="X15" s="1664" t="str">
        <f>IF(N56=TRUE,IF(N57=TRUE,"!再度確認!","提出"),IF(N57=FALSE,"!再度確認!","いりません"))</f>
        <v>!再度確認!</v>
      </c>
      <c r="Y15" s="1664"/>
      <c r="Z15" s="1665"/>
      <c r="AA15" s="1672" t="s">
        <v>2914</v>
      </c>
      <c r="AB15" s="1673"/>
      <c r="AC15" s="1673"/>
      <c r="AD15" s="1673"/>
      <c r="AE15" s="1673"/>
      <c r="AF15" s="1673"/>
      <c r="AG15" s="1673"/>
      <c r="AH15" s="1673"/>
      <c r="AI15" s="1673"/>
      <c r="AJ15" s="1673"/>
      <c r="AK15" s="1673"/>
      <c r="AL15" s="1673"/>
      <c r="AM15" s="1674"/>
      <c r="AN15" s="1649" t="s">
        <v>213</v>
      </c>
      <c r="AO15" s="1668" t="s">
        <v>1729</v>
      </c>
      <c r="AP15" s="1669"/>
      <c r="AQ15" s="1678" t="s">
        <v>213</v>
      </c>
      <c r="AR15" s="1664" t="str">
        <f>IF(AB52=TRUE,IF(AB53=TRUE,"!再度確認!","青少年山の家までご連絡ください"),IF(AB53=FALSE,"!再度確認!","連絡の必要はありません"))</f>
        <v>!再度確認!</v>
      </c>
      <c r="AS15" s="1664"/>
      <c r="AT15" s="1664"/>
      <c r="AU15" s="1664" t="str">
        <f>IF(AK56=TRUE,IF(AK57=TRUE,"!再度確認!","提出"),IF(AK57=FALSE,"!再度確認!","いりません"))</f>
        <v>!再度確認!</v>
      </c>
      <c r="AV15" s="1664"/>
      <c r="AW15" s="1664"/>
      <c r="AX15" s="1664" t="str">
        <f>IF(AN56=TRUE,IF(AN57=TRUE,"!再度確認!","提出"),IF(AN57=FALSE,"!再度確認!","いりません"))</f>
        <v>!再度確認!</v>
      </c>
      <c r="AY15" s="1664"/>
      <c r="AZ15" s="1665"/>
      <c r="BA15" s="498">
        <v>15</v>
      </c>
      <c r="BB15" s="498"/>
      <c r="BC15" s="499"/>
      <c r="BD15" s="498"/>
      <c r="BE15" s="498"/>
      <c r="BF15" s="499"/>
      <c r="BG15" s="498"/>
      <c r="BH15" s="498"/>
      <c r="BI15" s="498"/>
      <c r="BJ15" s="498"/>
      <c r="BK15" s="498"/>
      <c r="BL15" s="498"/>
      <c r="BM15" s="498"/>
      <c r="BN15" s="498"/>
      <c r="BO15" s="498"/>
      <c r="BP15" s="498"/>
      <c r="BQ15" s="498"/>
      <c r="BR15" s="498"/>
      <c r="BS15" s="498"/>
      <c r="BT15" s="498"/>
      <c r="BU15" s="19"/>
      <c r="BV15" s="19"/>
      <c r="BW15" s="19"/>
      <c r="BX15" s="19"/>
      <c r="BY15" s="19"/>
      <c r="BZ15" s="19"/>
      <c r="CA15" s="19"/>
      <c r="CB15" s="27"/>
    </row>
    <row r="16" spans="1:80" ht="14.25" thickBot="1">
      <c r="A16" s="1675"/>
      <c r="B16" s="1676"/>
      <c r="C16" s="1676"/>
      <c r="D16" s="1676"/>
      <c r="E16" s="1676"/>
      <c r="F16" s="1676"/>
      <c r="G16" s="1676"/>
      <c r="H16" s="1676"/>
      <c r="I16" s="1676"/>
      <c r="J16" s="1676"/>
      <c r="K16" s="1676"/>
      <c r="L16" s="1676"/>
      <c r="M16" s="1677"/>
      <c r="N16" s="1649"/>
      <c r="O16" s="1680" t="s">
        <v>1730</v>
      </c>
      <c r="P16" s="1681"/>
      <c r="Q16" s="1679"/>
      <c r="R16" s="1666"/>
      <c r="S16" s="1666"/>
      <c r="T16" s="1666"/>
      <c r="U16" s="1666"/>
      <c r="V16" s="1666"/>
      <c r="W16" s="1666"/>
      <c r="X16" s="1666"/>
      <c r="Y16" s="1666"/>
      <c r="Z16" s="1667"/>
      <c r="AA16" s="1675"/>
      <c r="AB16" s="1676"/>
      <c r="AC16" s="1676"/>
      <c r="AD16" s="1676"/>
      <c r="AE16" s="1676"/>
      <c r="AF16" s="1676"/>
      <c r="AG16" s="1676"/>
      <c r="AH16" s="1676"/>
      <c r="AI16" s="1676"/>
      <c r="AJ16" s="1676"/>
      <c r="AK16" s="1676"/>
      <c r="AL16" s="1676"/>
      <c r="AM16" s="1677"/>
      <c r="AN16" s="1649"/>
      <c r="AO16" s="1680" t="s">
        <v>1730</v>
      </c>
      <c r="AP16" s="1681"/>
      <c r="AQ16" s="1679"/>
      <c r="AR16" s="1666"/>
      <c r="AS16" s="1666"/>
      <c r="AT16" s="1666"/>
      <c r="AU16" s="1666"/>
      <c r="AV16" s="1666"/>
      <c r="AW16" s="1666"/>
      <c r="AX16" s="1666"/>
      <c r="AY16" s="1666"/>
      <c r="AZ16" s="1667"/>
      <c r="BA16" s="498">
        <v>16</v>
      </c>
      <c r="BB16" s="498"/>
      <c r="BC16" s="499"/>
      <c r="BD16" s="498"/>
      <c r="BE16" s="498"/>
      <c r="BF16" s="499"/>
      <c r="BG16" s="498"/>
      <c r="BH16" s="498"/>
      <c r="BI16" s="498"/>
      <c r="BJ16" s="498"/>
      <c r="BK16" s="498"/>
      <c r="BL16" s="498"/>
      <c r="BM16" s="498"/>
      <c r="BN16" s="498"/>
      <c r="BO16" s="498"/>
      <c r="BP16" s="498"/>
      <c r="BQ16" s="498"/>
      <c r="BR16" s="498"/>
      <c r="BS16" s="498"/>
      <c r="BT16" s="498"/>
      <c r="BU16" s="19"/>
      <c r="BV16" s="19"/>
      <c r="BW16" s="19"/>
      <c r="BX16" s="19"/>
      <c r="BY16" s="19"/>
      <c r="BZ16" s="19"/>
      <c r="CA16" s="19"/>
      <c r="CB16" s="27"/>
    </row>
    <row r="17" spans="1:81" ht="13.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498">
        <v>17</v>
      </c>
      <c r="BB17" s="498"/>
      <c r="BC17" s="500"/>
      <c r="BD17" s="498"/>
      <c r="BE17" s="498"/>
      <c r="BF17" s="499"/>
      <c r="BG17" s="498"/>
      <c r="BH17" s="498"/>
      <c r="BI17" s="498"/>
      <c r="BJ17" s="498"/>
      <c r="BK17" s="498"/>
      <c r="BL17" s="498"/>
      <c r="BM17" s="498"/>
      <c r="BN17" s="498"/>
      <c r="BO17" s="498"/>
      <c r="BP17" s="498"/>
      <c r="BQ17" s="498"/>
      <c r="BR17" s="498"/>
      <c r="BS17" s="498"/>
      <c r="BT17" s="498"/>
      <c r="BU17" s="19"/>
      <c r="BV17" s="19"/>
      <c r="BW17" s="19"/>
      <c r="BX17" s="19"/>
      <c r="BY17" s="19"/>
      <c r="BZ17" s="19"/>
      <c r="CA17" s="19"/>
      <c r="CB17" s="27"/>
    </row>
    <row r="18" spans="1:81" ht="18" customHeight="1">
      <c r="A18" s="1540" t="s">
        <v>2701</v>
      </c>
      <c r="B18" s="1540"/>
      <c r="C18" s="1540"/>
      <c r="D18" s="1540"/>
      <c r="E18" s="1540"/>
      <c r="F18" s="1540"/>
      <c r="G18" s="1540"/>
      <c r="H18" s="1540"/>
      <c r="I18" s="1540"/>
      <c r="J18" s="1540"/>
      <c r="K18" s="1540"/>
      <c r="L18" s="1540"/>
      <c r="M18" s="1540"/>
      <c r="N18" s="1540"/>
      <c r="O18" s="1540"/>
      <c r="P18" s="1540"/>
      <c r="Q18" s="1540"/>
      <c r="R18" s="1540"/>
      <c r="S18" s="1540"/>
      <c r="T18" s="1540"/>
      <c r="U18" s="1540"/>
      <c r="V18" s="1540"/>
      <c r="W18" s="1540"/>
      <c r="X18" s="1540"/>
      <c r="Y18" s="1540"/>
      <c r="Z18" s="1540"/>
      <c r="AA18" s="1540" t="s">
        <v>2701</v>
      </c>
      <c r="AB18" s="1540"/>
      <c r="AC18" s="1540"/>
      <c r="AD18" s="1540"/>
      <c r="AE18" s="1540"/>
      <c r="AF18" s="1540"/>
      <c r="AG18" s="1540"/>
      <c r="AH18" s="1540"/>
      <c r="AI18" s="1540"/>
      <c r="AJ18" s="1540"/>
      <c r="AK18" s="1540"/>
      <c r="AL18" s="1540"/>
      <c r="AM18" s="1540"/>
      <c r="AN18" s="1540"/>
      <c r="AO18" s="1540"/>
      <c r="AP18" s="1540"/>
      <c r="AQ18" s="1540"/>
      <c r="AR18" s="1540"/>
      <c r="AS18" s="1540"/>
      <c r="AT18" s="1540"/>
      <c r="AU18" s="1540"/>
      <c r="AV18" s="1540"/>
      <c r="AW18" s="1540"/>
      <c r="AX18" s="1540"/>
      <c r="AY18" s="1540"/>
      <c r="AZ18" s="1540"/>
      <c r="BA18" s="498">
        <v>18</v>
      </c>
      <c r="BB18" s="498"/>
      <c r="BC18" s="499"/>
      <c r="BD18" s="498"/>
      <c r="BE18" s="498"/>
      <c r="BF18" s="499"/>
      <c r="BG18" s="498"/>
      <c r="BH18" s="498"/>
      <c r="BI18" s="498"/>
      <c r="BJ18" s="498"/>
      <c r="BK18" s="498"/>
      <c r="BL18" s="498"/>
      <c r="BM18" s="498"/>
      <c r="BN18" s="498"/>
      <c r="BO18" s="498"/>
      <c r="BP18" s="498"/>
      <c r="BQ18" s="498"/>
      <c r="BR18" s="498"/>
      <c r="BS18" s="498"/>
      <c r="BT18" s="498"/>
      <c r="BU18" s="19"/>
      <c r="BV18" s="19"/>
      <c r="BW18" s="19"/>
      <c r="BX18" s="19"/>
      <c r="BY18" s="19"/>
      <c r="BZ18" s="19"/>
      <c r="CA18" s="19"/>
      <c r="CB18" s="27"/>
    </row>
    <row r="19" spans="1:81" ht="26.25" customHeight="1">
      <c r="A19" s="1670" t="s">
        <v>2915</v>
      </c>
      <c r="B19" s="1638"/>
      <c r="C19" s="1638"/>
      <c r="D19" s="1638"/>
      <c r="E19" s="1638"/>
      <c r="F19" s="1638"/>
      <c r="G19" s="1638"/>
      <c r="H19" s="1638"/>
      <c r="I19" s="1638"/>
      <c r="J19" s="1638"/>
      <c r="K19" s="1638"/>
      <c r="L19" s="1638"/>
      <c r="M19" s="1638"/>
      <c r="N19" s="1638"/>
      <c r="O19" s="1638"/>
      <c r="P19" s="1638"/>
      <c r="Q19" s="1638"/>
      <c r="R19" s="1638"/>
      <c r="S19" s="1638"/>
      <c r="T19" s="1638"/>
      <c r="U19" s="1638"/>
      <c r="V19" s="1638"/>
      <c r="W19" s="1638"/>
      <c r="X19" s="1638"/>
      <c r="Y19" s="1638"/>
      <c r="Z19" s="1638"/>
      <c r="AA19" s="1670" t="s">
        <v>2915</v>
      </c>
      <c r="AB19" s="1670"/>
      <c r="AC19" s="1670"/>
      <c r="AD19" s="1670"/>
      <c r="AE19" s="1670"/>
      <c r="AF19" s="1670"/>
      <c r="AG19" s="1670"/>
      <c r="AH19" s="1670"/>
      <c r="AI19" s="1670"/>
      <c r="AJ19" s="1670"/>
      <c r="AK19" s="1670"/>
      <c r="AL19" s="1670"/>
      <c r="AM19" s="1670"/>
      <c r="AN19" s="1670"/>
      <c r="AO19" s="1670"/>
      <c r="AP19" s="1670"/>
      <c r="AQ19" s="1670"/>
      <c r="AR19" s="1670"/>
      <c r="AS19" s="1670"/>
      <c r="AT19" s="1670"/>
      <c r="AU19" s="1670"/>
      <c r="AV19" s="1670"/>
      <c r="AW19" s="1670"/>
      <c r="AX19" s="1670"/>
      <c r="AY19" s="1670"/>
      <c r="AZ19" s="1670"/>
      <c r="BA19" s="498">
        <v>19</v>
      </c>
      <c r="BB19" s="498"/>
      <c r="BC19" s="499"/>
      <c r="BD19" s="498"/>
      <c r="BE19" s="498"/>
      <c r="BF19" s="499"/>
      <c r="BG19" s="498"/>
      <c r="BH19" s="498"/>
      <c r="BI19" s="498"/>
      <c r="BJ19" s="498"/>
      <c r="BK19" s="498"/>
      <c r="BL19" s="498"/>
      <c r="BM19" s="498"/>
      <c r="BN19" s="498"/>
      <c r="BO19" s="498"/>
      <c r="BP19" s="498"/>
      <c r="BQ19" s="498"/>
      <c r="BR19" s="498"/>
      <c r="BS19" s="498"/>
      <c r="BT19" s="498"/>
      <c r="BU19" s="19"/>
      <c r="BV19" s="19"/>
      <c r="BW19" s="19"/>
      <c r="BX19" s="19"/>
      <c r="BY19" s="19"/>
      <c r="BZ19" s="19"/>
      <c r="CA19" s="19"/>
      <c r="CB19" s="27"/>
    </row>
    <row r="20" spans="1:81" ht="26.25" customHeight="1">
      <c r="A20" s="1638" t="s">
        <v>2718</v>
      </c>
      <c r="B20" s="1638"/>
      <c r="C20" s="1638"/>
      <c r="D20" s="1638"/>
      <c r="E20" s="1638"/>
      <c r="F20" s="1638"/>
      <c r="G20" s="1638"/>
      <c r="H20" s="1638"/>
      <c r="I20" s="1638"/>
      <c r="J20" s="1638"/>
      <c r="K20" s="1638"/>
      <c r="L20" s="1638"/>
      <c r="M20" s="1638"/>
      <c r="N20" s="1638"/>
      <c r="O20" s="1638"/>
      <c r="P20" s="1638"/>
      <c r="Q20" s="1638"/>
      <c r="R20" s="1638"/>
      <c r="S20" s="1638"/>
      <c r="T20" s="1638"/>
      <c r="U20" s="1638"/>
      <c r="V20" s="1638"/>
      <c r="W20" s="1638"/>
      <c r="X20" s="1638"/>
      <c r="Y20" s="1638"/>
      <c r="Z20" s="1638"/>
      <c r="AA20" s="1638" t="s">
        <v>2718</v>
      </c>
      <c r="AB20" s="1638"/>
      <c r="AC20" s="1638"/>
      <c r="AD20" s="1638"/>
      <c r="AE20" s="1638"/>
      <c r="AF20" s="1638"/>
      <c r="AG20" s="1638"/>
      <c r="AH20" s="1638"/>
      <c r="AI20" s="1638"/>
      <c r="AJ20" s="1638"/>
      <c r="AK20" s="1638"/>
      <c r="AL20" s="1638"/>
      <c r="AM20" s="1638"/>
      <c r="AN20" s="1638"/>
      <c r="AO20" s="1638"/>
      <c r="AP20" s="1638"/>
      <c r="AQ20" s="1638"/>
      <c r="AR20" s="1638"/>
      <c r="AS20" s="1638"/>
      <c r="AT20" s="1638"/>
      <c r="AU20" s="1638"/>
      <c r="AV20" s="1638"/>
      <c r="AW20" s="1638"/>
      <c r="AX20" s="1638"/>
      <c r="AY20" s="1638"/>
      <c r="AZ20" s="1638"/>
      <c r="BA20" s="498">
        <v>20</v>
      </c>
      <c r="BB20" s="498"/>
      <c r="BC20" s="499"/>
      <c r="BD20" s="498"/>
      <c r="BE20" s="498"/>
      <c r="BF20" s="499"/>
      <c r="BG20" s="498"/>
      <c r="BH20" s="498"/>
      <c r="BI20" s="498"/>
      <c r="BJ20" s="498"/>
      <c r="BK20" s="498"/>
      <c r="BL20" s="498"/>
      <c r="BM20" s="498"/>
      <c r="BN20" s="498"/>
      <c r="BO20" s="498"/>
      <c r="BP20" s="498"/>
      <c r="BQ20" s="498"/>
      <c r="BR20" s="498"/>
      <c r="BS20" s="498"/>
      <c r="BT20" s="498"/>
      <c r="BU20" s="19"/>
      <c r="BV20" s="19"/>
      <c r="BW20" s="19"/>
      <c r="BX20" s="19"/>
      <c r="BY20" s="19"/>
      <c r="BZ20" s="19"/>
      <c r="CA20" s="19"/>
      <c r="CB20" s="27"/>
    </row>
    <row r="21" spans="1:81" ht="35.25" customHeight="1">
      <c r="A21" s="1663" t="s">
        <v>2969</v>
      </c>
      <c r="B21" s="1663"/>
      <c r="C21" s="1663"/>
      <c r="D21" s="1663"/>
      <c r="E21" s="1663"/>
      <c r="F21" s="1663"/>
      <c r="G21" s="1663"/>
      <c r="H21" s="1663"/>
      <c r="I21" s="1663"/>
      <c r="J21" s="1663"/>
      <c r="K21" s="1663"/>
      <c r="L21" s="1663"/>
      <c r="M21" s="1663"/>
      <c r="N21" s="1663"/>
      <c r="O21" s="1663"/>
      <c r="P21" s="1663"/>
      <c r="Q21" s="1663"/>
      <c r="R21" s="1663"/>
      <c r="S21" s="1663"/>
      <c r="T21" s="1663"/>
      <c r="U21" s="1663"/>
      <c r="V21" s="1663"/>
      <c r="W21" s="1663"/>
      <c r="X21" s="1663"/>
      <c r="Y21" s="1663"/>
      <c r="Z21" s="1663"/>
      <c r="AA21" s="1663" t="s">
        <v>2952</v>
      </c>
      <c r="AB21" s="1663"/>
      <c r="AC21" s="1663"/>
      <c r="AD21" s="1663"/>
      <c r="AE21" s="1663"/>
      <c r="AF21" s="1663"/>
      <c r="AG21" s="1663"/>
      <c r="AH21" s="1663"/>
      <c r="AI21" s="1663"/>
      <c r="AJ21" s="1663"/>
      <c r="AK21" s="1663"/>
      <c r="AL21" s="1663"/>
      <c r="AM21" s="1663"/>
      <c r="AN21" s="1663"/>
      <c r="AO21" s="1663"/>
      <c r="AP21" s="1663"/>
      <c r="AQ21" s="1663"/>
      <c r="AR21" s="1663"/>
      <c r="AS21" s="1663"/>
      <c r="AT21" s="1663"/>
      <c r="AU21" s="1663"/>
      <c r="AV21" s="1663"/>
      <c r="AW21" s="1663"/>
      <c r="AX21" s="1663"/>
      <c r="AY21" s="1663"/>
      <c r="AZ21" s="1663"/>
      <c r="BA21" s="498">
        <v>21</v>
      </c>
      <c r="BB21" s="498"/>
      <c r="BC21" s="499"/>
      <c r="BD21" s="498"/>
      <c r="BE21" s="498"/>
      <c r="BF21" s="499"/>
      <c r="BG21" s="498"/>
      <c r="BH21" s="498"/>
      <c r="BI21" s="498"/>
      <c r="BJ21" s="498"/>
      <c r="BK21" s="498"/>
      <c r="BL21" s="498"/>
      <c r="BM21" s="498"/>
      <c r="BN21" s="498"/>
      <c r="BO21" s="498"/>
      <c r="BP21" s="498"/>
      <c r="BQ21" s="498"/>
      <c r="BR21" s="498"/>
      <c r="BS21" s="498"/>
      <c r="BT21" s="498"/>
      <c r="BU21" s="19"/>
      <c r="BV21" s="19"/>
      <c r="BW21" s="19"/>
      <c r="BX21" s="19"/>
      <c r="BY21" s="19"/>
      <c r="BZ21" s="19"/>
      <c r="CA21" s="19"/>
      <c r="CB21" s="27"/>
    </row>
    <row r="22" spans="1:81" ht="26.25" customHeight="1" thickBot="1">
      <c r="A22" s="1638" t="s">
        <v>2700</v>
      </c>
      <c r="B22" s="1638"/>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t="s">
        <v>2700</v>
      </c>
      <c r="AB22" s="1638"/>
      <c r="AC22" s="1638"/>
      <c r="AD22" s="1638"/>
      <c r="AE22" s="1638"/>
      <c r="AF22" s="1638"/>
      <c r="AG22" s="1638"/>
      <c r="AH22" s="1638"/>
      <c r="AI22" s="1638"/>
      <c r="AJ22" s="1638"/>
      <c r="AK22" s="1638"/>
      <c r="AL22" s="1638"/>
      <c r="AM22" s="1638"/>
      <c r="AN22" s="1638"/>
      <c r="AO22" s="1638"/>
      <c r="AP22" s="1638"/>
      <c r="AQ22" s="1638"/>
      <c r="AR22" s="1638"/>
      <c r="AS22" s="1638"/>
      <c r="AT22" s="1638"/>
      <c r="AU22" s="1638"/>
      <c r="AV22" s="1638"/>
      <c r="AW22" s="1638"/>
      <c r="AX22" s="1638"/>
      <c r="AY22" s="1638"/>
      <c r="AZ22" s="1638"/>
      <c r="BA22" s="498">
        <v>22</v>
      </c>
      <c r="BB22" s="498"/>
      <c r="BC22" s="499"/>
      <c r="BD22" s="498"/>
      <c r="BE22" s="498"/>
      <c r="BF22" s="499"/>
      <c r="BG22" s="498"/>
      <c r="BH22" s="498"/>
      <c r="BI22" s="498"/>
      <c r="BJ22" s="498"/>
      <c r="BK22" s="498"/>
      <c r="BL22" s="498"/>
      <c r="BM22" s="498"/>
      <c r="BN22" s="498"/>
      <c r="BO22" s="498"/>
      <c r="BP22" s="498"/>
      <c r="BQ22" s="498"/>
      <c r="BR22" s="498"/>
      <c r="BS22" s="498"/>
      <c r="BT22" s="498"/>
      <c r="BU22" s="19"/>
      <c r="BV22" s="19"/>
      <c r="BW22" s="19"/>
      <c r="BX22" s="19"/>
      <c r="BY22" s="19"/>
      <c r="BZ22" s="19"/>
      <c r="CA22" s="19"/>
      <c r="CB22" s="27"/>
    </row>
    <row r="23" spans="1:81" ht="29.25" customHeight="1">
      <c r="A23" s="769"/>
      <c r="B23" s="30"/>
      <c r="C23" s="30"/>
      <c r="D23" s="30"/>
      <c r="E23" s="30"/>
      <c r="F23" s="30"/>
      <c r="G23" s="30"/>
      <c r="H23" s="1710" t="s">
        <v>3130</v>
      </c>
      <c r="I23" s="1711"/>
      <c r="J23" s="1711"/>
      <c r="K23" s="1712"/>
      <c r="L23" s="1716" t="e">
        <f>TEXT(DATE(2026, F7, H7)-14, "ggge年m月d日")</f>
        <v>#VALUE!</v>
      </c>
      <c r="M23" s="1717"/>
      <c r="N23" s="1717"/>
      <c r="O23" s="1717"/>
      <c r="P23" s="1718"/>
      <c r="Q23" s="30"/>
      <c r="R23" s="1710" t="s">
        <v>2968</v>
      </c>
      <c r="S23" s="1711"/>
      <c r="T23" s="1712"/>
      <c r="U23" s="1497" t="e">
        <f>TEXT(DATE(2026, F7, H7)-5, "ggge年m月d日")</f>
        <v>#VALUE!</v>
      </c>
      <c r="V23" s="1498"/>
      <c r="W23" s="1498"/>
      <c r="X23" s="1498"/>
      <c r="Y23" s="1499"/>
      <c r="Z23" s="30"/>
      <c r="AA23" s="769"/>
      <c r="AB23" s="30"/>
      <c r="AC23" s="30"/>
      <c r="AD23" s="30"/>
      <c r="AE23" s="30"/>
      <c r="AF23" s="30"/>
      <c r="AG23" s="30"/>
      <c r="AH23" s="1710" t="s">
        <v>2970</v>
      </c>
      <c r="AI23" s="1711"/>
      <c r="AJ23" s="1711"/>
      <c r="AK23" s="1712"/>
      <c r="AL23" s="1716" t="str">
        <f>TEXT(DATE(2026, AF7, AH7)-14, "ggge年m月d日")</f>
        <v>令和8年9月26日</v>
      </c>
      <c r="AM23" s="1717"/>
      <c r="AN23" s="1717"/>
      <c r="AO23" s="1717"/>
      <c r="AP23" s="1718"/>
      <c r="AQ23" s="30"/>
      <c r="AR23" s="1710" t="s">
        <v>2968</v>
      </c>
      <c r="AS23" s="1711"/>
      <c r="AT23" s="1712"/>
      <c r="AU23" s="1497" t="str">
        <f>TEXT(DATE(2026, AF7, AH7)-5, "ggge年m月d日")</f>
        <v>令和8年10月5日</v>
      </c>
      <c r="AV23" s="1498"/>
      <c r="AW23" s="1498"/>
      <c r="AX23" s="1498"/>
      <c r="AY23" s="1499"/>
      <c r="AZ23" s="30"/>
      <c r="BA23" s="498">
        <v>23</v>
      </c>
      <c r="BB23" s="498"/>
      <c r="BC23" s="499"/>
      <c r="BD23" s="498"/>
      <c r="BE23" s="498"/>
      <c r="BF23" s="499"/>
      <c r="BG23" s="498"/>
      <c r="BH23" s="498"/>
      <c r="BI23" s="498"/>
      <c r="BJ23" s="498"/>
      <c r="BK23" s="498"/>
      <c r="BL23" s="498"/>
      <c r="BM23" s="498"/>
      <c r="BN23" s="498"/>
      <c r="BO23" s="498"/>
      <c r="BP23" s="498"/>
      <c r="BQ23" s="498"/>
      <c r="BR23" s="498"/>
      <c r="BS23" s="498"/>
      <c r="BT23" s="498"/>
      <c r="BU23" s="19"/>
      <c r="BV23" s="19"/>
      <c r="BW23" s="19"/>
      <c r="BX23" s="19"/>
      <c r="BY23" s="19"/>
      <c r="BZ23" s="19"/>
      <c r="CA23" s="19"/>
      <c r="CB23" s="27"/>
    </row>
    <row r="24" spans="1:81" ht="14.25" customHeight="1" thickBot="1">
      <c r="A24" s="30"/>
      <c r="B24" s="30"/>
      <c r="C24" s="30"/>
      <c r="D24" s="30"/>
      <c r="E24" s="30"/>
      <c r="F24" s="30"/>
      <c r="G24" s="30"/>
      <c r="H24" s="1713"/>
      <c r="I24" s="1714"/>
      <c r="J24" s="1714"/>
      <c r="K24" s="1715"/>
      <c r="L24" s="1719"/>
      <c r="M24" s="1720"/>
      <c r="N24" s="1720"/>
      <c r="O24" s="1720"/>
      <c r="P24" s="1721"/>
      <c r="Q24" s="30"/>
      <c r="R24" s="1713"/>
      <c r="S24" s="1714"/>
      <c r="T24" s="1715"/>
      <c r="U24" s="1500"/>
      <c r="V24" s="1501"/>
      <c r="W24" s="1501"/>
      <c r="X24" s="1501"/>
      <c r="Y24" s="1502"/>
      <c r="Z24" s="30"/>
      <c r="AA24" s="30"/>
      <c r="AB24" s="30"/>
      <c r="AC24" s="30"/>
      <c r="AD24" s="30"/>
      <c r="AE24" s="30"/>
      <c r="AF24" s="30"/>
      <c r="AG24" s="30"/>
      <c r="AH24" s="1713"/>
      <c r="AI24" s="1714"/>
      <c r="AJ24" s="1714"/>
      <c r="AK24" s="1715"/>
      <c r="AL24" s="1719"/>
      <c r="AM24" s="1720"/>
      <c r="AN24" s="1720"/>
      <c r="AO24" s="1720"/>
      <c r="AP24" s="1721"/>
      <c r="AQ24" s="30"/>
      <c r="AR24" s="1713"/>
      <c r="AS24" s="1714"/>
      <c r="AT24" s="1715"/>
      <c r="AU24" s="1500"/>
      <c r="AV24" s="1501"/>
      <c r="AW24" s="1501"/>
      <c r="AX24" s="1501"/>
      <c r="AY24" s="1502"/>
      <c r="AZ24" s="30"/>
      <c r="BA24" s="498">
        <v>24</v>
      </c>
      <c r="BB24" s="498"/>
      <c r="BC24" s="499"/>
      <c r="BD24" s="498"/>
      <c r="BE24" s="498"/>
      <c r="BF24" s="499"/>
      <c r="BG24" s="498"/>
      <c r="BH24" s="498"/>
      <c r="BI24" s="498"/>
      <c r="BJ24" s="498"/>
      <c r="BK24" s="498"/>
      <c r="BL24" s="498"/>
      <c r="BM24" s="498"/>
      <c r="BN24" s="498"/>
      <c r="BO24" s="498"/>
      <c r="BP24" s="498"/>
      <c r="BQ24" s="498"/>
      <c r="BR24" s="498"/>
      <c r="BS24" s="498"/>
      <c r="BT24" s="498"/>
      <c r="BU24" s="19"/>
      <c r="BV24" s="19"/>
      <c r="BW24" s="19"/>
      <c r="BX24" s="19"/>
      <c r="BY24" s="19"/>
      <c r="BZ24" s="19"/>
      <c r="CA24" s="19"/>
      <c r="CB24" s="27"/>
      <c r="CC24" s="27"/>
    </row>
    <row r="25" spans="1:81" ht="7.5" customHeight="1">
      <c r="A25" s="1637"/>
      <c r="B25" s="1637"/>
      <c r="C25" s="1637"/>
      <c r="D25" s="1637"/>
      <c r="E25" s="1637"/>
      <c r="F25" s="1637"/>
      <c r="G25" s="1637"/>
      <c r="H25" s="1637"/>
      <c r="I25" s="1637"/>
      <c r="J25" s="1637"/>
      <c r="K25" s="1637"/>
      <c r="L25" s="1637"/>
      <c r="M25" s="1637"/>
      <c r="N25" s="1637"/>
      <c r="O25" s="1637"/>
      <c r="P25" s="1637"/>
      <c r="Q25" s="1637"/>
      <c r="R25" s="1637"/>
      <c r="S25" s="1637"/>
      <c r="T25" s="1637"/>
      <c r="U25" s="1637"/>
      <c r="V25" s="1637"/>
      <c r="W25" s="1637"/>
      <c r="X25" s="1637"/>
      <c r="Y25" s="1637"/>
      <c r="Z25" s="1637"/>
      <c r="AA25" s="1637"/>
      <c r="AB25" s="1637"/>
      <c r="AC25" s="1637"/>
      <c r="AD25" s="1637"/>
      <c r="AE25" s="1637"/>
      <c r="AF25" s="1637"/>
      <c r="AG25" s="1637"/>
      <c r="AH25" s="1637"/>
      <c r="AI25" s="1637"/>
      <c r="AJ25" s="1637"/>
      <c r="AK25" s="1637"/>
      <c r="AL25" s="1637"/>
      <c r="AM25" s="1637"/>
      <c r="AN25" s="1637"/>
      <c r="AO25" s="1637"/>
      <c r="AP25" s="1637"/>
      <c r="AQ25" s="1637"/>
      <c r="AR25" s="1637"/>
      <c r="AS25" s="1637"/>
      <c r="AT25" s="1637"/>
      <c r="AU25" s="1637"/>
      <c r="AV25" s="1637"/>
      <c r="AW25" s="1637"/>
      <c r="AX25" s="1637"/>
      <c r="AY25" s="1637"/>
      <c r="AZ25" s="1637"/>
      <c r="BA25" s="498">
        <v>25</v>
      </c>
      <c r="BB25" s="498"/>
      <c r="BC25" s="499"/>
      <c r="BD25" s="498"/>
      <c r="BE25" s="498"/>
      <c r="BF25" s="499"/>
      <c r="BG25" s="498"/>
      <c r="BH25" s="498"/>
      <c r="BI25" s="498"/>
      <c r="BJ25" s="498"/>
      <c r="BK25" s="498"/>
      <c r="BL25" s="498"/>
      <c r="BM25" s="498"/>
      <c r="BN25" s="498"/>
      <c r="BO25" s="498"/>
      <c r="BP25" s="498"/>
      <c r="BQ25" s="498"/>
      <c r="BR25" s="498"/>
      <c r="BS25" s="498"/>
      <c r="BT25" s="498"/>
      <c r="BU25" s="19"/>
      <c r="BV25" s="19"/>
      <c r="BW25" s="19"/>
      <c r="BX25" s="19"/>
      <c r="BY25" s="19"/>
      <c r="BZ25" s="19"/>
      <c r="CA25" s="19"/>
      <c r="CB25" s="27"/>
      <c r="CC25" s="27"/>
    </row>
    <row r="26" spans="1:81" ht="13.5" customHeight="1" thickBot="1">
      <c r="A26" s="1643" t="s">
        <v>86</v>
      </c>
      <c r="B26" s="1643"/>
      <c r="C26" s="1631" t="s">
        <v>87</v>
      </c>
      <c r="D26" s="1632"/>
      <c r="E26" s="1647"/>
      <c r="F26" s="1631" t="s">
        <v>255</v>
      </c>
      <c r="G26" s="1632"/>
      <c r="H26" s="1631" t="s">
        <v>256</v>
      </c>
      <c r="I26" s="1632"/>
      <c r="J26" s="1632"/>
      <c r="K26" s="1632"/>
      <c r="L26" s="1632"/>
      <c r="M26" s="1647"/>
      <c r="N26" s="1628" t="s">
        <v>88</v>
      </c>
      <c r="O26" s="1629"/>
      <c r="P26" s="1629"/>
      <c r="Q26" s="1629"/>
      <c r="R26" s="1632"/>
      <c r="S26" s="1647"/>
      <c r="T26" s="1625" t="s">
        <v>89</v>
      </c>
      <c r="U26" s="1631" t="s">
        <v>90</v>
      </c>
      <c r="V26" s="1632"/>
      <c r="W26" s="1632"/>
      <c r="X26" s="1632"/>
      <c r="Y26" s="1632"/>
      <c r="Z26" s="1647"/>
      <c r="AA26" s="1631" t="s">
        <v>86</v>
      </c>
      <c r="AB26" s="1647"/>
      <c r="AC26" s="1631" t="s">
        <v>87</v>
      </c>
      <c r="AD26" s="1632"/>
      <c r="AE26" s="1647"/>
      <c r="AF26" s="1631" t="s">
        <v>255</v>
      </c>
      <c r="AG26" s="1647"/>
      <c r="AH26" s="1631" t="s">
        <v>256</v>
      </c>
      <c r="AI26" s="1632"/>
      <c r="AJ26" s="1632"/>
      <c r="AK26" s="1647"/>
      <c r="AL26" s="1628" t="s">
        <v>88</v>
      </c>
      <c r="AM26" s="1629"/>
      <c r="AN26" s="1629"/>
      <c r="AO26" s="1629"/>
      <c r="AP26" s="1629"/>
      <c r="AQ26" s="1630"/>
      <c r="AR26" s="1625" t="s">
        <v>89</v>
      </c>
      <c r="AS26" s="1631" t="s">
        <v>90</v>
      </c>
      <c r="AT26" s="1632"/>
      <c r="AU26" s="1632"/>
      <c r="AV26" s="1632"/>
      <c r="AW26" s="1632"/>
      <c r="AX26" s="1632"/>
      <c r="AY26" s="1632"/>
      <c r="AZ26" s="1632"/>
      <c r="BA26" s="498">
        <v>26</v>
      </c>
      <c r="BB26" s="498"/>
      <c r="BC26" s="499"/>
      <c r="BD26" s="498"/>
      <c r="BE26" s="498"/>
      <c r="BF26" s="499"/>
      <c r="BG26" s="498"/>
      <c r="BH26" s="498"/>
      <c r="BI26" s="498"/>
      <c r="BJ26" s="498"/>
      <c r="BK26" s="498"/>
      <c r="BL26" s="498"/>
      <c r="BM26" s="498"/>
      <c r="BN26" s="498"/>
      <c r="BO26" s="498"/>
      <c r="BP26" s="498"/>
      <c r="BQ26" s="498"/>
      <c r="BR26" s="498"/>
      <c r="BS26" s="498"/>
      <c r="BT26" s="498"/>
      <c r="BU26" s="19"/>
      <c r="BV26" s="19"/>
      <c r="BW26" s="19"/>
      <c r="BX26" s="19"/>
      <c r="BY26" s="19"/>
      <c r="BZ26" s="19"/>
      <c r="CA26" s="19"/>
      <c r="CB26" s="27"/>
      <c r="CC26" s="27"/>
    </row>
    <row r="27" spans="1:81" ht="13.5" customHeight="1">
      <c r="A27" s="1643"/>
      <c r="B27" s="1643"/>
      <c r="C27" s="1633"/>
      <c r="D27" s="1634"/>
      <c r="E27" s="1648"/>
      <c r="F27" s="1633"/>
      <c r="G27" s="1634"/>
      <c r="H27" s="1633"/>
      <c r="I27" s="1634"/>
      <c r="J27" s="1634"/>
      <c r="K27" s="1634"/>
      <c r="L27" s="1634"/>
      <c r="M27" s="1648"/>
      <c r="N27" s="1639" t="s">
        <v>94</v>
      </c>
      <c r="O27" s="1640"/>
      <c r="P27" s="1639" t="s">
        <v>95</v>
      </c>
      <c r="Q27" s="1707"/>
      <c r="R27" s="1703" t="s">
        <v>96</v>
      </c>
      <c r="S27" s="1704"/>
      <c r="T27" s="1645"/>
      <c r="U27" s="1633"/>
      <c r="V27" s="1634"/>
      <c r="W27" s="1634"/>
      <c r="X27" s="1634"/>
      <c r="Y27" s="1634"/>
      <c r="Z27" s="1648"/>
      <c r="AA27" s="1633"/>
      <c r="AB27" s="1648"/>
      <c r="AC27" s="1633"/>
      <c r="AD27" s="1634"/>
      <c r="AE27" s="1648"/>
      <c r="AF27" s="1633"/>
      <c r="AG27" s="1648"/>
      <c r="AH27" s="1633"/>
      <c r="AI27" s="1634"/>
      <c r="AJ27" s="1634"/>
      <c r="AK27" s="1648"/>
      <c r="AL27" s="1639" t="s">
        <v>94</v>
      </c>
      <c r="AM27" s="1640"/>
      <c r="AN27" s="1639" t="s">
        <v>95</v>
      </c>
      <c r="AO27" s="1640"/>
      <c r="AP27" s="1639" t="s">
        <v>96</v>
      </c>
      <c r="AQ27" s="1640"/>
      <c r="AR27" s="1626"/>
      <c r="AS27" s="1633"/>
      <c r="AT27" s="1634"/>
      <c r="AU27" s="1634"/>
      <c r="AV27" s="1634"/>
      <c r="AW27" s="1634"/>
      <c r="AX27" s="1634"/>
      <c r="AY27" s="1634"/>
      <c r="AZ27" s="1634"/>
      <c r="BA27" s="498">
        <v>27</v>
      </c>
      <c r="BB27" s="498"/>
      <c r="BC27" s="499"/>
      <c r="BD27" s="498"/>
      <c r="BE27" s="498"/>
      <c r="BF27" s="499"/>
      <c r="BG27" s="498"/>
      <c r="BH27" s="498"/>
      <c r="BI27" s="498"/>
      <c r="BJ27" s="498"/>
      <c r="BK27" s="498"/>
      <c r="BL27" s="498"/>
      <c r="BM27" s="498"/>
      <c r="BN27" s="498"/>
      <c r="BO27" s="498"/>
      <c r="BP27" s="498"/>
      <c r="BQ27" s="498"/>
      <c r="BR27" s="498"/>
      <c r="BS27" s="498"/>
      <c r="BT27" s="498"/>
      <c r="BU27" s="19"/>
      <c r="BV27" s="19"/>
      <c r="BW27" s="19"/>
      <c r="BX27" s="19"/>
      <c r="BY27" s="19"/>
      <c r="BZ27" s="19"/>
      <c r="CA27" s="19"/>
      <c r="CB27" s="27"/>
      <c r="CC27" s="27"/>
    </row>
    <row r="28" spans="1:81" ht="13.5" customHeight="1" thickBot="1">
      <c r="A28" s="1644"/>
      <c r="B28" s="1644"/>
      <c r="C28" s="1635"/>
      <c r="D28" s="1636"/>
      <c r="E28" s="1701"/>
      <c r="F28" s="1635"/>
      <c r="G28" s="1636"/>
      <c r="H28" s="1635"/>
      <c r="I28" s="1636"/>
      <c r="J28" s="1636"/>
      <c r="K28" s="1636"/>
      <c r="L28" s="1636"/>
      <c r="M28" s="1701"/>
      <c r="N28" s="1641"/>
      <c r="O28" s="1642"/>
      <c r="P28" s="1641"/>
      <c r="Q28" s="1708"/>
      <c r="R28" s="1705"/>
      <c r="S28" s="1706"/>
      <c r="T28" s="1646"/>
      <c r="U28" s="1633"/>
      <c r="V28" s="1634"/>
      <c r="W28" s="1634"/>
      <c r="X28" s="1634"/>
      <c r="Y28" s="1634"/>
      <c r="Z28" s="1648"/>
      <c r="AA28" s="1635"/>
      <c r="AB28" s="1701"/>
      <c r="AC28" s="1635"/>
      <c r="AD28" s="1636"/>
      <c r="AE28" s="1701"/>
      <c r="AF28" s="1635"/>
      <c r="AG28" s="1701"/>
      <c r="AH28" s="1635"/>
      <c r="AI28" s="1636"/>
      <c r="AJ28" s="1636"/>
      <c r="AK28" s="1701"/>
      <c r="AL28" s="1641"/>
      <c r="AM28" s="1642"/>
      <c r="AN28" s="1641"/>
      <c r="AO28" s="1642"/>
      <c r="AP28" s="1641"/>
      <c r="AQ28" s="1642"/>
      <c r="AR28" s="1627"/>
      <c r="AS28" s="1635"/>
      <c r="AT28" s="1636"/>
      <c r="AU28" s="1636"/>
      <c r="AV28" s="1636"/>
      <c r="AW28" s="1636"/>
      <c r="AX28" s="1636"/>
      <c r="AY28" s="1636"/>
      <c r="AZ28" s="1636"/>
      <c r="BA28" s="498">
        <v>28</v>
      </c>
      <c r="BB28" s="498" t="s">
        <v>234</v>
      </c>
      <c r="BC28" s="499" t="s">
        <v>235</v>
      </c>
      <c r="BD28" s="498"/>
      <c r="BE28" s="498" t="s">
        <v>236</v>
      </c>
      <c r="BF28" s="499" t="s">
        <v>237</v>
      </c>
      <c r="BG28" s="498" t="s">
        <v>238</v>
      </c>
      <c r="BH28" s="498" t="s">
        <v>239</v>
      </c>
      <c r="BI28" s="498" t="s">
        <v>240</v>
      </c>
      <c r="BJ28" s="498" t="s">
        <v>241</v>
      </c>
      <c r="BK28" s="499" t="s">
        <v>235</v>
      </c>
      <c r="BL28" s="498"/>
      <c r="BM28" s="498"/>
      <c r="BN28" s="498"/>
      <c r="BO28" s="498"/>
      <c r="BP28" s="498"/>
      <c r="BQ28" s="498"/>
      <c r="BR28" s="498"/>
      <c r="BS28" s="498"/>
      <c r="BT28" s="498"/>
      <c r="BU28" s="19"/>
      <c r="BV28" s="19"/>
      <c r="BW28" s="19"/>
      <c r="BX28" s="19"/>
      <c r="BY28" s="19"/>
      <c r="BZ28" s="19"/>
      <c r="CA28" s="19"/>
      <c r="CB28" s="27"/>
      <c r="CC28" s="27"/>
    </row>
    <row r="29" spans="1:81" ht="31.5" customHeight="1">
      <c r="A29" s="456"/>
      <c r="B29" s="457" t="s">
        <v>283</v>
      </c>
      <c r="C29" s="1604"/>
      <c r="D29" s="1700"/>
      <c r="E29" s="1605"/>
      <c r="F29" s="1702"/>
      <c r="G29" s="1702"/>
      <c r="H29" s="1572"/>
      <c r="I29" s="1573"/>
      <c r="J29" s="1573"/>
      <c r="K29" s="1573"/>
      <c r="L29" s="1573"/>
      <c r="M29" s="1574"/>
      <c r="N29" s="1604"/>
      <c r="O29" s="1605"/>
      <c r="P29" s="1604"/>
      <c r="Q29" s="1606"/>
      <c r="R29" s="1607">
        <f>SUM(L29:Q29)</f>
        <v>0</v>
      </c>
      <c r="S29" s="1608"/>
      <c r="T29" s="451"/>
      <c r="U29" s="1609"/>
      <c r="V29" s="1610"/>
      <c r="W29" s="1610"/>
      <c r="X29" s="1610"/>
      <c r="Y29" s="1610"/>
      <c r="Z29" s="1611"/>
      <c r="AA29" s="453">
        <v>7</v>
      </c>
      <c r="AB29" s="409" t="s">
        <v>12</v>
      </c>
      <c r="AC29" s="1612" t="s">
        <v>253</v>
      </c>
      <c r="AD29" s="1613"/>
      <c r="AE29" s="1614"/>
      <c r="AF29" s="1615" t="s">
        <v>332</v>
      </c>
      <c r="AG29" s="1603"/>
      <c r="AH29" s="1616" t="s">
        <v>3141</v>
      </c>
      <c r="AI29" s="1617"/>
      <c r="AJ29" s="1617"/>
      <c r="AK29" s="1618"/>
      <c r="AL29" s="1599">
        <v>100</v>
      </c>
      <c r="AM29" s="1600"/>
      <c r="AN29" s="1599">
        <v>10</v>
      </c>
      <c r="AO29" s="1601"/>
      <c r="AP29" s="1602">
        <f>SUM(AJ29:AO29)</f>
        <v>110</v>
      </c>
      <c r="AQ29" s="1603"/>
      <c r="AR29" s="410"/>
      <c r="AS29" s="1525"/>
      <c r="AT29" s="1526"/>
      <c r="AU29" s="1526"/>
      <c r="AV29" s="1526"/>
      <c r="AW29" s="1526"/>
      <c r="AX29" s="1526"/>
      <c r="AY29" s="1526"/>
      <c r="AZ29" s="1526"/>
      <c r="BA29" s="498">
        <v>29</v>
      </c>
      <c r="BB29" s="498">
        <f>IF(F29="炊事",1,0)</f>
        <v>0</v>
      </c>
      <c r="BC29" s="499">
        <f>12*BB29</f>
        <v>0</v>
      </c>
      <c r="BD29" s="498"/>
      <c r="BE29" s="498">
        <f t="shared" ref="BE29:BE39" si="0">INDEX(A$29:A$40,MATCH($BK29,$BC$29:$BC$40,0))</f>
        <v>0</v>
      </c>
      <c r="BF29" s="498">
        <f t="shared" ref="BF29:BF39" si="1">INDEX(C$29:C$40,MATCH($BK29,$BC$29:$BC$40,0))</f>
        <v>0</v>
      </c>
      <c r="BG29" s="498">
        <f t="shared" ref="BG29:BG39" si="2">INDEX(D$29:D$40,MATCH($BK29,$BC$29:$BC$40,0))</f>
        <v>0</v>
      </c>
      <c r="BH29" s="498">
        <f t="shared" ref="BH29:BH39" si="3">INDEX(E$29:E$40,MATCH($BK29,$BC$29:$BC$40,0))</f>
        <v>0</v>
      </c>
      <c r="BI29" s="498">
        <f t="shared" ref="BI29:BI39" si="4">INDEX(H$29:H$40,MATCH($BK29,$BC$29:$BC$40,0))</f>
        <v>0</v>
      </c>
      <c r="BJ29" s="498">
        <f t="shared" ref="BJ29:BJ39" si="5">INDEX(R$29:R$40,MATCH($BK29,$BC$29:$BC$40,0))</f>
        <v>0</v>
      </c>
      <c r="BK29" s="498">
        <f t="shared" ref="BK29:BK40" si="6">LARGE($BC$29:$BC$40,ROW(A1))</f>
        <v>0</v>
      </c>
      <c r="BL29" s="501"/>
      <c r="BM29" s="1559"/>
      <c r="BN29" s="1559"/>
      <c r="BO29" s="502"/>
      <c r="BP29" s="1559"/>
      <c r="BQ29" s="1559"/>
      <c r="BR29" s="502"/>
      <c r="BS29" s="498"/>
      <c r="BT29" s="498"/>
      <c r="BU29" s="19"/>
      <c r="BV29" s="19"/>
      <c r="BW29" s="19"/>
      <c r="BX29" s="19"/>
      <c r="BY29" s="19"/>
      <c r="BZ29" s="19"/>
      <c r="CA29" s="19"/>
      <c r="CB29" s="27"/>
      <c r="CC29" s="27"/>
    </row>
    <row r="30" spans="1:81" ht="31.5" customHeight="1">
      <c r="A30" s="431"/>
      <c r="B30" s="159" t="s">
        <v>245</v>
      </c>
      <c r="C30" s="1570"/>
      <c r="D30" s="1584"/>
      <c r="E30" s="1571"/>
      <c r="F30" s="1576"/>
      <c r="G30" s="1576"/>
      <c r="H30" s="1572"/>
      <c r="I30" s="1573"/>
      <c r="J30" s="1573"/>
      <c r="K30" s="1573"/>
      <c r="L30" s="1573"/>
      <c r="M30" s="1574"/>
      <c r="N30" s="1570"/>
      <c r="O30" s="1571"/>
      <c r="P30" s="1576"/>
      <c r="Q30" s="1577"/>
      <c r="R30" s="1588">
        <f>SUM(L30:Q30)</f>
        <v>0</v>
      </c>
      <c r="S30" s="1590"/>
      <c r="T30" s="408"/>
      <c r="U30" s="1581"/>
      <c r="V30" s="1582"/>
      <c r="W30" s="1582"/>
      <c r="X30" s="1582"/>
      <c r="Y30" s="1582"/>
      <c r="Z30" s="1583"/>
      <c r="AA30" s="454">
        <f>AA29</f>
        <v>7</v>
      </c>
      <c r="AB30" s="411" t="s">
        <v>12</v>
      </c>
      <c r="AC30" s="1591" t="s">
        <v>254</v>
      </c>
      <c r="AD30" s="1592"/>
      <c r="AE30" s="1593"/>
      <c r="AF30" s="1594" t="s">
        <v>333</v>
      </c>
      <c r="AG30" s="1589"/>
      <c r="AH30" s="1594" t="s">
        <v>2664</v>
      </c>
      <c r="AI30" s="1595"/>
      <c r="AJ30" s="1595"/>
      <c r="AK30" s="1589"/>
      <c r="AL30" s="1585">
        <v>100</v>
      </c>
      <c r="AM30" s="1586"/>
      <c r="AN30" s="1585">
        <v>8</v>
      </c>
      <c r="AO30" s="1587"/>
      <c r="AP30" s="1588">
        <f>SUM(AJ30:AO30)</f>
        <v>108</v>
      </c>
      <c r="AQ30" s="1589"/>
      <c r="AR30" s="412"/>
      <c r="AS30" s="1527"/>
      <c r="AT30" s="1528"/>
      <c r="AU30" s="1528"/>
      <c r="AV30" s="1528"/>
      <c r="AW30" s="1528"/>
      <c r="AX30" s="1528"/>
      <c r="AY30" s="1528"/>
      <c r="AZ30" s="1528"/>
      <c r="BA30" s="498">
        <v>30</v>
      </c>
      <c r="BB30" s="498">
        <f t="shared" ref="BB30:BB40" si="7">IF(F30="炊事",1,0)</f>
        <v>0</v>
      </c>
      <c r="BC30" s="499">
        <f>11*BB30</f>
        <v>0</v>
      </c>
      <c r="BD30" s="498"/>
      <c r="BE30" s="498">
        <f t="shared" si="0"/>
        <v>0</v>
      </c>
      <c r="BF30" s="498">
        <f t="shared" si="1"/>
        <v>0</v>
      </c>
      <c r="BG30" s="498">
        <f t="shared" si="2"/>
        <v>0</v>
      </c>
      <c r="BH30" s="498">
        <f t="shared" si="3"/>
        <v>0</v>
      </c>
      <c r="BI30" s="498">
        <f t="shared" si="4"/>
        <v>0</v>
      </c>
      <c r="BJ30" s="498">
        <f t="shared" si="5"/>
        <v>0</v>
      </c>
      <c r="BK30" s="498">
        <f t="shared" si="6"/>
        <v>0</v>
      </c>
      <c r="BL30" s="501"/>
      <c r="BM30" s="1559"/>
      <c r="BN30" s="1559"/>
      <c r="BO30" s="502"/>
      <c r="BP30" s="1559"/>
      <c r="BQ30" s="1559"/>
      <c r="BR30" s="502"/>
      <c r="BS30" s="498"/>
      <c r="BT30" s="498"/>
      <c r="BU30" s="19"/>
      <c r="BV30" s="19"/>
      <c r="BW30" s="19"/>
      <c r="BX30" s="19"/>
      <c r="BY30" s="19"/>
      <c r="BZ30" s="19"/>
      <c r="CA30" s="19"/>
      <c r="CB30" s="27"/>
      <c r="CC30" s="27"/>
    </row>
    <row r="31" spans="1:81" ht="31.5" customHeight="1">
      <c r="A31" s="792"/>
      <c r="B31" s="159" t="s">
        <v>245</v>
      </c>
      <c r="C31" s="1722"/>
      <c r="D31" s="1723"/>
      <c r="E31" s="1724"/>
      <c r="F31" s="1709"/>
      <c r="G31" s="1709"/>
      <c r="H31" s="1572"/>
      <c r="I31" s="1573"/>
      <c r="J31" s="1573"/>
      <c r="K31" s="1573"/>
      <c r="L31" s="1573"/>
      <c r="M31" s="1574"/>
      <c r="N31" s="1576"/>
      <c r="O31" s="1576"/>
      <c r="P31" s="1576"/>
      <c r="Q31" s="1577"/>
      <c r="R31" s="1588">
        <f t="shared" ref="R31:R40" si="8">SUM(L31:Q31)</f>
        <v>0</v>
      </c>
      <c r="S31" s="1590"/>
      <c r="T31" s="408"/>
      <c r="U31" s="1581"/>
      <c r="V31" s="1582"/>
      <c r="W31" s="1582"/>
      <c r="X31" s="1582"/>
      <c r="Y31" s="1582"/>
      <c r="Z31" s="1583"/>
      <c r="AA31" s="455">
        <v>8</v>
      </c>
      <c r="AB31" s="411" t="s">
        <v>12</v>
      </c>
      <c r="AC31" s="1591" t="s">
        <v>2665</v>
      </c>
      <c r="AD31" s="1592"/>
      <c r="AE31" s="1593"/>
      <c r="AF31" s="1594" t="s">
        <v>2666</v>
      </c>
      <c r="AG31" s="1589"/>
      <c r="AH31" s="1594" t="s">
        <v>2664</v>
      </c>
      <c r="AI31" s="1595"/>
      <c r="AJ31" s="1595"/>
      <c r="AK31" s="1589"/>
      <c r="AL31" s="1585">
        <v>100</v>
      </c>
      <c r="AM31" s="1586"/>
      <c r="AN31" s="1585">
        <v>8</v>
      </c>
      <c r="AO31" s="1587"/>
      <c r="AP31" s="1588">
        <f>SUM(AJ31:AO31)</f>
        <v>108</v>
      </c>
      <c r="AQ31" s="1589"/>
      <c r="AR31" s="412"/>
      <c r="AS31" s="1527"/>
      <c r="AT31" s="1528"/>
      <c r="AU31" s="1528"/>
      <c r="AV31" s="1528"/>
      <c r="AW31" s="1528"/>
      <c r="AX31" s="1528"/>
      <c r="AY31" s="1528"/>
      <c r="AZ31" s="1528"/>
      <c r="BA31" s="498">
        <v>31</v>
      </c>
      <c r="BB31" s="498">
        <f t="shared" si="7"/>
        <v>0</v>
      </c>
      <c r="BC31" s="499">
        <f>10*BB31</f>
        <v>0</v>
      </c>
      <c r="BD31" s="498"/>
      <c r="BE31" s="498">
        <f t="shared" si="0"/>
        <v>0</v>
      </c>
      <c r="BF31" s="498">
        <f t="shared" si="1"/>
        <v>0</v>
      </c>
      <c r="BG31" s="498">
        <f t="shared" si="2"/>
        <v>0</v>
      </c>
      <c r="BH31" s="498">
        <f t="shared" si="3"/>
        <v>0</v>
      </c>
      <c r="BI31" s="498">
        <f t="shared" si="4"/>
        <v>0</v>
      </c>
      <c r="BJ31" s="498">
        <f t="shared" si="5"/>
        <v>0</v>
      </c>
      <c r="BK31" s="498">
        <f t="shared" si="6"/>
        <v>0</v>
      </c>
      <c r="BL31" s="501"/>
      <c r="BM31" s="1559"/>
      <c r="BN31" s="1559"/>
      <c r="BO31" s="502"/>
      <c r="BP31" s="1559"/>
      <c r="BQ31" s="1559"/>
      <c r="BR31" s="502"/>
      <c r="BS31" s="498"/>
      <c r="BT31" s="498"/>
      <c r="BU31" s="19"/>
      <c r="BV31" s="19"/>
      <c r="BW31" s="19"/>
      <c r="BX31" s="19"/>
      <c r="BY31" s="19"/>
      <c r="BZ31" s="19"/>
      <c r="CA31" s="19"/>
      <c r="CB31" s="27"/>
      <c r="CC31" s="27"/>
    </row>
    <row r="32" spans="1:81" ht="31.5" customHeight="1">
      <c r="A32" s="792"/>
      <c r="B32" s="159" t="s">
        <v>245</v>
      </c>
      <c r="C32" s="1570"/>
      <c r="D32" s="1584"/>
      <c r="E32" s="1571"/>
      <c r="F32" s="1576"/>
      <c r="G32" s="1576"/>
      <c r="H32" s="1572"/>
      <c r="I32" s="1573"/>
      <c r="J32" s="1573"/>
      <c r="K32" s="1573"/>
      <c r="L32" s="1573"/>
      <c r="M32" s="1574"/>
      <c r="N32" s="1576"/>
      <c r="O32" s="1576"/>
      <c r="P32" s="1576"/>
      <c r="Q32" s="1577"/>
      <c r="R32" s="1588">
        <f t="shared" si="8"/>
        <v>0</v>
      </c>
      <c r="S32" s="1590"/>
      <c r="T32" s="408"/>
      <c r="U32" s="1581"/>
      <c r="V32" s="1582"/>
      <c r="W32" s="1582"/>
      <c r="X32" s="1582"/>
      <c r="Y32" s="1582"/>
      <c r="Z32" s="1583"/>
      <c r="AA32" s="455"/>
      <c r="AB32" s="411"/>
      <c r="AC32" s="1591"/>
      <c r="AD32" s="1592"/>
      <c r="AE32" s="1593"/>
      <c r="AF32" s="1594"/>
      <c r="AG32" s="1589"/>
      <c r="AH32" s="1594"/>
      <c r="AI32" s="1595"/>
      <c r="AJ32" s="1595"/>
      <c r="AK32" s="1589"/>
      <c r="AL32" s="1585"/>
      <c r="AM32" s="1586"/>
      <c r="AN32" s="1585"/>
      <c r="AO32" s="1587"/>
      <c r="AP32" s="1588"/>
      <c r="AQ32" s="1589"/>
      <c r="AR32" s="412"/>
      <c r="AS32" s="1529"/>
      <c r="AT32" s="1530"/>
      <c r="AU32" s="1530"/>
      <c r="AV32" s="1530"/>
      <c r="AW32" s="1530"/>
      <c r="AX32" s="1530"/>
      <c r="AY32" s="1530"/>
      <c r="AZ32" s="1530"/>
      <c r="BA32" s="498"/>
      <c r="BB32" s="498">
        <f t="shared" si="7"/>
        <v>0</v>
      </c>
      <c r="BC32" s="499">
        <f>9*BB32</f>
        <v>0</v>
      </c>
      <c r="BD32" s="499"/>
      <c r="BE32" s="498">
        <f t="shared" si="0"/>
        <v>0</v>
      </c>
      <c r="BF32" s="498">
        <f t="shared" si="1"/>
        <v>0</v>
      </c>
      <c r="BG32" s="498">
        <f t="shared" si="2"/>
        <v>0</v>
      </c>
      <c r="BH32" s="498">
        <f t="shared" si="3"/>
        <v>0</v>
      </c>
      <c r="BI32" s="498">
        <f t="shared" si="4"/>
        <v>0</v>
      </c>
      <c r="BJ32" s="498">
        <f t="shared" si="5"/>
        <v>0</v>
      </c>
      <c r="BK32" s="498">
        <f t="shared" si="6"/>
        <v>0</v>
      </c>
      <c r="BL32" s="501"/>
      <c r="BM32" s="1559"/>
      <c r="BN32" s="1559"/>
      <c r="BO32" s="502"/>
      <c r="BP32" s="1559"/>
      <c r="BQ32" s="1559"/>
      <c r="BR32" s="502"/>
      <c r="BS32" s="498"/>
      <c r="BT32" s="498"/>
      <c r="BU32" s="19"/>
      <c r="BV32" s="19"/>
      <c r="BW32" s="19"/>
      <c r="BX32" s="19"/>
      <c r="BY32" s="19"/>
      <c r="BZ32" s="19"/>
      <c r="CA32" s="19"/>
      <c r="CB32" s="27"/>
      <c r="CC32" s="27"/>
    </row>
    <row r="33" spans="1:81" ht="31.5" customHeight="1">
      <c r="A33" s="792"/>
      <c r="B33" s="159" t="s">
        <v>245</v>
      </c>
      <c r="C33" s="1570"/>
      <c r="D33" s="1584"/>
      <c r="E33" s="1571"/>
      <c r="F33" s="1576"/>
      <c r="G33" s="1576"/>
      <c r="H33" s="1572"/>
      <c r="I33" s="1573"/>
      <c r="J33" s="1573"/>
      <c r="K33" s="1573"/>
      <c r="L33" s="1573"/>
      <c r="M33" s="1574"/>
      <c r="N33" s="1576"/>
      <c r="O33" s="1576"/>
      <c r="P33" s="1576"/>
      <c r="Q33" s="1577"/>
      <c r="R33" s="1588">
        <f t="shared" si="8"/>
        <v>0</v>
      </c>
      <c r="S33" s="1590"/>
      <c r="T33" s="408"/>
      <c r="U33" s="1581"/>
      <c r="V33" s="1582"/>
      <c r="W33" s="1582"/>
      <c r="X33" s="1582"/>
      <c r="Y33" s="1582"/>
      <c r="Z33" s="1583"/>
      <c r="AA33" s="455">
        <v>8</v>
      </c>
      <c r="AB33" s="411" t="s">
        <v>12</v>
      </c>
      <c r="AC33" s="1591" t="s">
        <v>253</v>
      </c>
      <c r="AD33" s="1592"/>
      <c r="AE33" s="1593"/>
      <c r="AF33" s="1594" t="s">
        <v>2667</v>
      </c>
      <c r="AG33" s="1589"/>
      <c r="AH33" s="1594" t="s">
        <v>2976</v>
      </c>
      <c r="AI33" s="1595"/>
      <c r="AJ33" s="1595"/>
      <c r="AK33" s="1589"/>
      <c r="AL33" s="1585">
        <v>98</v>
      </c>
      <c r="AM33" s="1586"/>
      <c r="AN33" s="1585">
        <v>9</v>
      </c>
      <c r="AO33" s="1587"/>
      <c r="AP33" s="1588">
        <f t="shared" ref="AP33:AP40" si="9">SUM(AJ33:AO33)</f>
        <v>107</v>
      </c>
      <c r="AQ33" s="1589"/>
      <c r="AR33" s="412" t="s">
        <v>2668</v>
      </c>
      <c r="AS33" s="1527" t="s">
        <v>2669</v>
      </c>
      <c r="AT33" s="1528"/>
      <c r="AU33" s="1528"/>
      <c r="AV33" s="1528"/>
      <c r="AW33" s="1528"/>
      <c r="AX33" s="1528"/>
      <c r="AY33" s="1528"/>
      <c r="AZ33" s="1528"/>
      <c r="BA33" s="498"/>
      <c r="BB33" s="498">
        <f t="shared" si="7"/>
        <v>0</v>
      </c>
      <c r="BC33" s="499">
        <f>8*BB33</f>
        <v>0</v>
      </c>
      <c r="BD33" s="499"/>
      <c r="BE33" s="498">
        <f t="shared" si="0"/>
        <v>0</v>
      </c>
      <c r="BF33" s="498">
        <f t="shared" si="1"/>
        <v>0</v>
      </c>
      <c r="BG33" s="498">
        <f t="shared" si="2"/>
        <v>0</v>
      </c>
      <c r="BH33" s="498">
        <f t="shared" si="3"/>
        <v>0</v>
      </c>
      <c r="BI33" s="498">
        <f t="shared" si="4"/>
        <v>0</v>
      </c>
      <c r="BJ33" s="498">
        <f t="shared" si="5"/>
        <v>0</v>
      </c>
      <c r="BK33" s="498">
        <f t="shared" si="6"/>
        <v>0</v>
      </c>
      <c r="BL33" s="501"/>
      <c r="BM33" s="1559"/>
      <c r="BN33" s="1559"/>
      <c r="BO33" s="502"/>
      <c r="BP33" s="1559"/>
      <c r="BQ33" s="1559"/>
      <c r="BR33" s="502"/>
      <c r="BS33" s="498"/>
      <c r="BT33" s="498"/>
      <c r="BU33" s="19"/>
      <c r="BV33" s="19"/>
      <c r="BW33" s="19"/>
      <c r="BX33" s="19"/>
      <c r="BY33" s="19"/>
      <c r="BZ33" s="19"/>
      <c r="CA33" s="19"/>
      <c r="CB33" s="27"/>
      <c r="CC33" s="27"/>
    </row>
    <row r="34" spans="1:81" ht="31.5" customHeight="1">
      <c r="A34" s="792"/>
      <c r="B34" s="159" t="s">
        <v>245</v>
      </c>
      <c r="C34" s="1570"/>
      <c r="D34" s="1584"/>
      <c r="E34" s="1571"/>
      <c r="F34" s="1576"/>
      <c r="G34" s="1576"/>
      <c r="H34" s="1572"/>
      <c r="I34" s="1573"/>
      <c r="J34" s="1573"/>
      <c r="K34" s="1573"/>
      <c r="L34" s="1573"/>
      <c r="M34" s="1574"/>
      <c r="N34" s="1576"/>
      <c r="O34" s="1576"/>
      <c r="P34" s="1576"/>
      <c r="Q34" s="1577"/>
      <c r="R34" s="1588">
        <f t="shared" si="8"/>
        <v>0</v>
      </c>
      <c r="S34" s="1590"/>
      <c r="T34" s="408"/>
      <c r="U34" s="1581"/>
      <c r="V34" s="1582"/>
      <c r="W34" s="1582"/>
      <c r="X34" s="1582"/>
      <c r="Y34" s="1582"/>
      <c r="Z34" s="1583"/>
      <c r="AA34" s="455">
        <v>8</v>
      </c>
      <c r="AB34" s="411" t="s">
        <v>12</v>
      </c>
      <c r="AC34" s="1591" t="s">
        <v>252</v>
      </c>
      <c r="AD34" s="1592"/>
      <c r="AE34" s="1593"/>
      <c r="AF34" s="1594" t="s">
        <v>2667</v>
      </c>
      <c r="AG34" s="1589"/>
      <c r="AH34" s="1596" t="s">
        <v>2941</v>
      </c>
      <c r="AI34" s="1597"/>
      <c r="AJ34" s="1597"/>
      <c r="AK34" s="1598"/>
      <c r="AL34" s="1585">
        <v>50</v>
      </c>
      <c r="AM34" s="1586"/>
      <c r="AN34" s="1585">
        <v>4</v>
      </c>
      <c r="AO34" s="1587"/>
      <c r="AP34" s="1588">
        <f t="shared" si="9"/>
        <v>54</v>
      </c>
      <c r="AQ34" s="1589"/>
      <c r="AR34" s="412"/>
      <c r="AS34" s="1527"/>
      <c r="AT34" s="1528"/>
      <c r="AU34" s="1528"/>
      <c r="AV34" s="1528"/>
      <c r="AW34" s="1528"/>
      <c r="AX34" s="1528"/>
      <c r="AY34" s="1528"/>
      <c r="AZ34" s="1528"/>
      <c r="BA34" s="498"/>
      <c r="BB34" s="498">
        <f t="shared" si="7"/>
        <v>0</v>
      </c>
      <c r="BC34" s="499">
        <f>7*BB34</f>
        <v>0</v>
      </c>
      <c r="BD34" s="499"/>
      <c r="BE34" s="498">
        <f t="shared" si="0"/>
        <v>0</v>
      </c>
      <c r="BF34" s="498">
        <f t="shared" si="1"/>
        <v>0</v>
      </c>
      <c r="BG34" s="498">
        <f t="shared" si="2"/>
        <v>0</v>
      </c>
      <c r="BH34" s="498">
        <f t="shared" si="3"/>
        <v>0</v>
      </c>
      <c r="BI34" s="498">
        <f t="shared" si="4"/>
        <v>0</v>
      </c>
      <c r="BJ34" s="498">
        <f t="shared" si="5"/>
        <v>0</v>
      </c>
      <c r="BK34" s="498">
        <f t="shared" si="6"/>
        <v>0</v>
      </c>
      <c r="BL34" s="501"/>
      <c r="BM34" s="1559"/>
      <c r="BN34" s="1559"/>
      <c r="BO34" s="502"/>
      <c r="BP34" s="1559"/>
      <c r="BQ34" s="1559"/>
      <c r="BR34" s="502"/>
      <c r="BS34" s="498"/>
      <c r="BT34" s="498"/>
      <c r="BU34" s="19"/>
      <c r="BV34" s="19"/>
      <c r="BW34" s="19"/>
      <c r="BX34" s="19"/>
      <c r="BY34" s="19"/>
      <c r="BZ34" s="19"/>
      <c r="CA34" s="19"/>
      <c r="CB34" s="27"/>
      <c r="CC34" s="27"/>
    </row>
    <row r="35" spans="1:81" ht="31.5" customHeight="1">
      <c r="A35" s="792"/>
      <c r="B35" s="159" t="s">
        <v>245</v>
      </c>
      <c r="C35" s="1570"/>
      <c r="D35" s="1584"/>
      <c r="E35" s="1571"/>
      <c r="F35" s="1576"/>
      <c r="G35" s="1576"/>
      <c r="H35" s="1572"/>
      <c r="I35" s="1573"/>
      <c r="J35" s="1573"/>
      <c r="K35" s="1573"/>
      <c r="L35" s="1573"/>
      <c r="M35" s="1574"/>
      <c r="N35" s="1576"/>
      <c r="O35" s="1576"/>
      <c r="P35" s="1576"/>
      <c r="Q35" s="1577"/>
      <c r="R35" s="1588">
        <f>SUM(L35:Q35)</f>
        <v>0</v>
      </c>
      <c r="S35" s="1590"/>
      <c r="T35" s="408"/>
      <c r="U35" s="1581"/>
      <c r="V35" s="1582"/>
      <c r="W35" s="1582"/>
      <c r="X35" s="1582"/>
      <c r="Y35" s="1582"/>
      <c r="Z35" s="1583"/>
      <c r="AA35" s="455">
        <v>8</v>
      </c>
      <c r="AB35" s="411" t="s">
        <v>12</v>
      </c>
      <c r="AC35" s="1591" t="s">
        <v>252</v>
      </c>
      <c r="AD35" s="1592"/>
      <c r="AE35" s="1593"/>
      <c r="AF35" s="1594" t="s">
        <v>2667</v>
      </c>
      <c r="AG35" s="1589"/>
      <c r="AH35" s="1596" t="s">
        <v>2942</v>
      </c>
      <c r="AI35" s="1597"/>
      <c r="AJ35" s="1597"/>
      <c r="AK35" s="1598"/>
      <c r="AL35" s="1585">
        <v>50</v>
      </c>
      <c r="AM35" s="1586"/>
      <c r="AN35" s="1585">
        <v>5</v>
      </c>
      <c r="AO35" s="1587"/>
      <c r="AP35" s="1588">
        <f t="shared" si="9"/>
        <v>55</v>
      </c>
      <c r="AQ35" s="1589"/>
      <c r="AR35" s="412"/>
      <c r="AS35" s="1527"/>
      <c r="AT35" s="1528"/>
      <c r="AU35" s="1528"/>
      <c r="AV35" s="1528"/>
      <c r="AW35" s="1528"/>
      <c r="AX35" s="1528"/>
      <c r="AY35" s="1528"/>
      <c r="AZ35" s="1528"/>
      <c r="BA35" s="498"/>
      <c r="BB35" s="498">
        <f t="shared" si="7"/>
        <v>0</v>
      </c>
      <c r="BC35" s="499">
        <f>6*BB35</f>
        <v>0</v>
      </c>
      <c r="BD35" s="499"/>
      <c r="BE35" s="498">
        <f t="shared" si="0"/>
        <v>0</v>
      </c>
      <c r="BF35" s="498">
        <f t="shared" si="1"/>
        <v>0</v>
      </c>
      <c r="BG35" s="498">
        <f t="shared" si="2"/>
        <v>0</v>
      </c>
      <c r="BH35" s="498">
        <f t="shared" si="3"/>
        <v>0</v>
      </c>
      <c r="BI35" s="498">
        <f t="shared" si="4"/>
        <v>0</v>
      </c>
      <c r="BJ35" s="498">
        <f t="shared" si="5"/>
        <v>0</v>
      </c>
      <c r="BK35" s="498">
        <f t="shared" si="6"/>
        <v>0</v>
      </c>
      <c r="BL35" s="501"/>
      <c r="BM35" s="1559"/>
      <c r="BN35" s="1559"/>
      <c r="BO35" s="502"/>
      <c r="BP35" s="1559"/>
      <c r="BQ35" s="1559"/>
      <c r="BR35" s="502"/>
      <c r="BS35" s="498"/>
      <c r="BT35" s="498"/>
      <c r="BU35" s="19"/>
      <c r="BV35" s="19"/>
      <c r="BW35" s="19"/>
      <c r="BX35" s="19"/>
      <c r="BY35" s="19"/>
      <c r="BZ35" s="19"/>
      <c r="CA35" s="19"/>
      <c r="CB35" s="27"/>
      <c r="CC35" s="27"/>
    </row>
    <row r="36" spans="1:81" ht="31.5" customHeight="1">
      <c r="A36" s="792"/>
      <c r="B36" s="159" t="s">
        <v>245</v>
      </c>
      <c r="C36" s="1570"/>
      <c r="D36" s="1584"/>
      <c r="E36" s="1571"/>
      <c r="F36" s="1576"/>
      <c r="G36" s="1576"/>
      <c r="H36" s="1572"/>
      <c r="I36" s="1573"/>
      <c r="J36" s="1573"/>
      <c r="K36" s="1573"/>
      <c r="L36" s="1573"/>
      <c r="M36" s="1574"/>
      <c r="N36" s="1576"/>
      <c r="O36" s="1576"/>
      <c r="P36" s="1576"/>
      <c r="Q36" s="1577"/>
      <c r="R36" s="1588">
        <f t="shared" si="8"/>
        <v>0</v>
      </c>
      <c r="S36" s="1590"/>
      <c r="T36" s="408"/>
      <c r="U36" s="1581"/>
      <c r="V36" s="1582"/>
      <c r="W36" s="1582"/>
      <c r="X36" s="1582"/>
      <c r="Y36" s="1582"/>
      <c r="Z36" s="1583"/>
      <c r="AA36" s="455">
        <v>8</v>
      </c>
      <c r="AB36" s="411" t="s">
        <v>12</v>
      </c>
      <c r="AC36" s="1591" t="s">
        <v>252</v>
      </c>
      <c r="AD36" s="1592"/>
      <c r="AE36" s="1593"/>
      <c r="AF36" s="1594" t="s">
        <v>2667</v>
      </c>
      <c r="AG36" s="1589"/>
      <c r="AH36" s="1594" t="s">
        <v>3142</v>
      </c>
      <c r="AI36" s="1595"/>
      <c r="AJ36" s="1595"/>
      <c r="AK36" s="1589"/>
      <c r="AL36" s="1585">
        <v>2</v>
      </c>
      <c r="AM36" s="1586"/>
      <c r="AN36" s="1585"/>
      <c r="AO36" s="1587"/>
      <c r="AP36" s="1588">
        <f t="shared" si="9"/>
        <v>2</v>
      </c>
      <c r="AQ36" s="1589"/>
      <c r="AR36" s="412"/>
      <c r="AS36" s="1527"/>
      <c r="AT36" s="1528"/>
      <c r="AU36" s="1528"/>
      <c r="AV36" s="1528"/>
      <c r="AW36" s="1528"/>
      <c r="AX36" s="1528"/>
      <c r="AY36" s="1528"/>
      <c r="AZ36" s="1528"/>
      <c r="BA36" s="498"/>
      <c r="BB36" s="498">
        <f t="shared" si="7"/>
        <v>0</v>
      </c>
      <c r="BC36" s="499">
        <f>5*BB36</f>
        <v>0</v>
      </c>
      <c r="BD36" s="499"/>
      <c r="BE36" s="498">
        <f t="shared" si="0"/>
        <v>0</v>
      </c>
      <c r="BF36" s="498">
        <f t="shared" si="1"/>
        <v>0</v>
      </c>
      <c r="BG36" s="498">
        <f t="shared" si="2"/>
        <v>0</v>
      </c>
      <c r="BH36" s="498">
        <f t="shared" si="3"/>
        <v>0</v>
      </c>
      <c r="BI36" s="498">
        <f t="shared" si="4"/>
        <v>0</v>
      </c>
      <c r="BJ36" s="498">
        <f t="shared" si="5"/>
        <v>0</v>
      </c>
      <c r="BK36" s="498">
        <f t="shared" si="6"/>
        <v>0</v>
      </c>
      <c r="BL36" s="501"/>
      <c r="BM36" s="1559"/>
      <c r="BN36" s="1559"/>
      <c r="BO36" s="502"/>
      <c r="BP36" s="1559"/>
      <c r="BQ36" s="1559"/>
      <c r="BR36" s="502"/>
      <c r="BS36" s="498"/>
      <c r="BT36" s="498"/>
      <c r="BU36" s="19"/>
      <c r="BV36" s="19"/>
      <c r="BW36" s="19"/>
      <c r="BX36" s="19"/>
      <c r="BY36" s="19"/>
      <c r="BZ36" s="19"/>
      <c r="CA36" s="19"/>
      <c r="CB36" s="27"/>
      <c r="CC36" s="27"/>
    </row>
    <row r="37" spans="1:81" ht="31.5" customHeight="1">
      <c r="A37" s="792"/>
      <c r="B37" s="159" t="s">
        <v>245</v>
      </c>
      <c r="C37" s="1570"/>
      <c r="D37" s="1584"/>
      <c r="E37" s="1571"/>
      <c r="F37" s="1576"/>
      <c r="G37" s="1576"/>
      <c r="H37" s="1572"/>
      <c r="I37" s="1573"/>
      <c r="J37" s="1573"/>
      <c r="K37" s="1573"/>
      <c r="L37" s="1573"/>
      <c r="M37" s="1574"/>
      <c r="N37" s="1576"/>
      <c r="O37" s="1576"/>
      <c r="P37" s="1576"/>
      <c r="Q37" s="1577"/>
      <c r="R37" s="1588">
        <f t="shared" si="8"/>
        <v>0</v>
      </c>
      <c r="S37" s="1590"/>
      <c r="T37" s="408"/>
      <c r="U37" s="1581"/>
      <c r="V37" s="1582"/>
      <c r="W37" s="1582"/>
      <c r="X37" s="1582"/>
      <c r="Y37" s="1582"/>
      <c r="Z37" s="1583"/>
      <c r="AA37" s="455"/>
      <c r="AB37" s="411" t="s">
        <v>12</v>
      </c>
      <c r="AC37" s="1591"/>
      <c r="AD37" s="1592"/>
      <c r="AE37" s="1593"/>
      <c r="AF37" s="1594"/>
      <c r="AG37" s="1589"/>
      <c r="AH37" s="1594"/>
      <c r="AI37" s="1595"/>
      <c r="AJ37" s="1595"/>
      <c r="AK37" s="1589"/>
      <c r="AL37" s="1585"/>
      <c r="AM37" s="1586"/>
      <c r="AN37" s="1585"/>
      <c r="AO37" s="1587"/>
      <c r="AP37" s="1588">
        <f t="shared" si="9"/>
        <v>0</v>
      </c>
      <c r="AQ37" s="1589"/>
      <c r="AR37" s="412"/>
      <c r="AS37" s="1527"/>
      <c r="AT37" s="1528"/>
      <c r="AU37" s="1528"/>
      <c r="AV37" s="1528"/>
      <c r="AW37" s="1528"/>
      <c r="AX37" s="1528"/>
      <c r="AY37" s="1528"/>
      <c r="AZ37" s="1528"/>
      <c r="BA37" s="498"/>
      <c r="BB37" s="498">
        <f t="shared" si="7"/>
        <v>0</v>
      </c>
      <c r="BC37" s="499">
        <f>4*BB37</f>
        <v>0</v>
      </c>
      <c r="BD37" s="499"/>
      <c r="BE37" s="498">
        <f t="shared" si="0"/>
        <v>0</v>
      </c>
      <c r="BF37" s="498">
        <f t="shared" si="1"/>
        <v>0</v>
      </c>
      <c r="BG37" s="498">
        <f t="shared" si="2"/>
        <v>0</v>
      </c>
      <c r="BH37" s="498">
        <f t="shared" si="3"/>
        <v>0</v>
      </c>
      <c r="BI37" s="498">
        <f t="shared" si="4"/>
        <v>0</v>
      </c>
      <c r="BJ37" s="498">
        <f t="shared" si="5"/>
        <v>0</v>
      </c>
      <c r="BK37" s="498">
        <f t="shared" si="6"/>
        <v>0</v>
      </c>
      <c r="BL37" s="501"/>
      <c r="BM37" s="1559"/>
      <c r="BN37" s="1559"/>
      <c r="BO37" s="502"/>
      <c r="BP37" s="1559"/>
      <c r="BQ37" s="1559"/>
      <c r="BR37" s="502"/>
      <c r="BS37" s="498"/>
      <c r="BT37" s="498"/>
      <c r="BU37" s="19"/>
      <c r="BV37" s="19"/>
      <c r="BW37" s="19"/>
      <c r="BX37" s="19"/>
      <c r="BY37" s="19"/>
      <c r="BZ37" s="19"/>
      <c r="CA37" s="19"/>
      <c r="CB37" s="27"/>
      <c r="CC37" s="27"/>
    </row>
    <row r="38" spans="1:81" ht="31.5" customHeight="1">
      <c r="A38" s="792"/>
      <c r="B38" s="159" t="s">
        <v>245</v>
      </c>
      <c r="C38" s="1570"/>
      <c r="D38" s="1584"/>
      <c r="E38" s="1571"/>
      <c r="F38" s="1576"/>
      <c r="G38" s="1576"/>
      <c r="H38" s="1572"/>
      <c r="I38" s="1573"/>
      <c r="J38" s="1573"/>
      <c r="K38" s="1573"/>
      <c r="L38" s="1573"/>
      <c r="M38" s="1574"/>
      <c r="N38" s="1576"/>
      <c r="O38" s="1576"/>
      <c r="P38" s="1576"/>
      <c r="Q38" s="1577"/>
      <c r="R38" s="1588">
        <f t="shared" si="8"/>
        <v>0</v>
      </c>
      <c r="S38" s="1590"/>
      <c r="T38" s="408"/>
      <c r="U38" s="1581"/>
      <c r="V38" s="1582"/>
      <c r="W38" s="1582"/>
      <c r="X38" s="1582"/>
      <c r="Y38" s="1582"/>
      <c r="Z38" s="1583"/>
      <c r="AA38" s="455"/>
      <c r="AB38" s="411" t="s">
        <v>12</v>
      </c>
      <c r="AC38" s="1591"/>
      <c r="AD38" s="1592"/>
      <c r="AE38" s="1593"/>
      <c r="AF38" s="1594"/>
      <c r="AG38" s="1589"/>
      <c r="AH38" s="1594"/>
      <c r="AI38" s="1595"/>
      <c r="AJ38" s="1595"/>
      <c r="AK38" s="1589"/>
      <c r="AL38" s="1585"/>
      <c r="AM38" s="1586"/>
      <c r="AN38" s="1585"/>
      <c r="AO38" s="1587"/>
      <c r="AP38" s="1588">
        <f t="shared" si="9"/>
        <v>0</v>
      </c>
      <c r="AQ38" s="1589"/>
      <c r="AR38" s="412"/>
      <c r="AS38" s="1527"/>
      <c r="AT38" s="1528"/>
      <c r="AU38" s="1528"/>
      <c r="AV38" s="1528"/>
      <c r="AW38" s="1528"/>
      <c r="AX38" s="1528"/>
      <c r="AY38" s="1528"/>
      <c r="AZ38" s="1528"/>
      <c r="BA38" s="498"/>
      <c r="BB38" s="498">
        <f t="shared" si="7"/>
        <v>0</v>
      </c>
      <c r="BC38" s="499">
        <f>3*BB38</f>
        <v>0</v>
      </c>
      <c r="BD38" s="499"/>
      <c r="BE38" s="498">
        <f t="shared" si="0"/>
        <v>0</v>
      </c>
      <c r="BF38" s="498">
        <f t="shared" si="1"/>
        <v>0</v>
      </c>
      <c r="BG38" s="498">
        <f t="shared" si="2"/>
        <v>0</v>
      </c>
      <c r="BH38" s="498">
        <f t="shared" si="3"/>
        <v>0</v>
      </c>
      <c r="BI38" s="498">
        <f t="shared" si="4"/>
        <v>0</v>
      </c>
      <c r="BJ38" s="498">
        <f t="shared" si="5"/>
        <v>0</v>
      </c>
      <c r="BK38" s="498">
        <f t="shared" si="6"/>
        <v>0</v>
      </c>
      <c r="BL38" s="501"/>
      <c r="BM38" s="1559"/>
      <c r="BN38" s="1559"/>
      <c r="BO38" s="502"/>
      <c r="BP38" s="1559"/>
      <c r="BQ38" s="1559"/>
      <c r="BR38" s="502"/>
      <c r="BS38" s="498"/>
      <c r="BT38" s="498"/>
      <c r="BU38" s="19"/>
      <c r="BV38" s="19"/>
      <c r="BW38" s="19"/>
      <c r="BX38" s="19"/>
      <c r="BY38" s="19"/>
      <c r="BZ38" s="19"/>
      <c r="CA38" s="19"/>
      <c r="CB38" s="27"/>
      <c r="CC38" s="27"/>
    </row>
    <row r="39" spans="1:81" ht="31.5" customHeight="1">
      <c r="A39" s="792"/>
      <c r="B39" s="159" t="s">
        <v>245</v>
      </c>
      <c r="C39" s="1570"/>
      <c r="D39" s="1584"/>
      <c r="E39" s="1571"/>
      <c r="F39" s="1576"/>
      <c r="G39" s="1576"/>
      <c r="H39" s="1572"/>
      <c r="I39" s="1573"/>
      <c r="J39" s="1573"/>
      <c r="K39" s="1573"/>
      <c r="L39" s="1573"/>
      <c r="M39" s="1574"/>
      <c r="N39" s="1576"/>
      <c r="O39" s="1576"/>
      <c r="P39" s="1576"/>
      <c r="Q39" s="1577"/>
      <c r="R39" s="1588">
        <f t="shared" si="8"/>
        <v>0</v>
      </c>
      <c r="S39" s="1590"/>
      <c r="T39" s="408"/>
      <c r="U39" s="1581"/>
      <c r="V39" s="1582"/>
      <c r="W39" s="1582"/>
      <c r="X39" s="1582"/>
      <c r="Y39" s="1582"/>
      <c r="Z39" s="1583"/>
      <c r="AA39" s="455"/>
      <c r="AB39" s="411" t="s">
        <v>12</v>
      </c>
      <c r="AC39" s="1591"/>
      <c r="AD39" s="1592"/>
      <c r="AE39" s="1593"/>
      <c r="AF39" s="1594"/>
      <c r="AG39" s="1589"/>
      <c r="AH39" s="1594"/>
      <c r="AI39" s="1595"/>
      <c r="AJ39" s="1595"/>
      <c r="AK39" s="1589"/>
      <c r="AL39" s="1585"/>
      <c r="AM39" s="1586"/>
      <c r="AN39" s="1585"/>
      <c r="AO39" s="1587"/>
      <c r="AP39" s="1588">
        <f t="shared" si="9"/>
        <v>0</v>
      </c>
      <c r="AQ39" s="1589"/>
      <c r="AR39" s="412"/>
      <c r="AS39" s="1527"/>
      <c r="AT39" s="1528"/>
      <c r="AU39" s="1528"/>
      <c r="AV39" s="1528"/>
      <c r="AW39" s="1528"/>
      <c r="AX39" s="1528"/>
      <c r="AY39" s="1528"/>
      <c r="AZ39" s="1528"/>
      <c r="BA39" s="498"/>
      <c r="BB39" s="498">
        <f t="shared" si="7"/>
        <v>0</v>
      </c>
      <c r="BC39" s="499">
        <f>2*BB39</f>
        <v>0</v>
      </c>
      <c r="BD39" s="499"/>
      <c r="BE39" s="498">
        <f t="shared" si="0"/>
        <v>0</v>
      </c>
      <c r="BF39" s="498">
        <f t="shared" si="1"/>
        <v>0</v>
      </c>
      <c r="BG39" s="498">
        <f t="shared" si="2"/>
        <v>0</v>
      </c>
      <c r="BH39" s="498">
        <f t="shared" si="3"/>
        <v>0</v>
      </c>
      <c r="BI39" s="498">
        <f t="shared" si="4"/>
        <v>0</v>
      </c>
      <c r="BJ39" s="498">
        <f t="shared" si="5"/>
        <v>0</v>
      </c>
      <c r="BK39" s="498">
        <f t="shared" si="6"/>
        <v>0</v>
      </c>
      <c r="BL39" s="501"/>
      <c r="BM39" s="1559"/>
      <c r="BN39" s="1559"/>
      <c r="BO39" s="502"/>
      <c r="BP39" s="1559"/>
      <c r="BQ39" s="1559"/>
      <c r="BR39" s="502"/>
      <c r="BS39" s="498"/>
      <c r="BT39" s="498"/>
      <c r="BU39" s="19"/>
      <c r="BV39" s="19"/>
      <c r="BW39" s="19"/>
      <c r="BX39" s="19"/>
      <c r="BY39" s="19"/>
      <c r="BZ39" s="19"/>
      <c r="CA39" s="19"/>
      <c r="CB39" s="27"/>
      <c r="CC39" s="27"/>
    </row>
    <row r="40" spans="1:81" ht="31.5" customHeight="1" thickBot="1">
      <c r="A40" s="792"/>
      <c r="B40" s="159" t="s">
        <v>245</v>
      </c>
      <c r="C40" s="1570"/>
      <c r="D40" s="1584"/>
      <c r="E40" s="1571"/>
      <c r="F40" s="1570"/>
      <c r="G40" s="1571"/>
      <c r="H40" s="1572"/>
      <c r="I40" s="1573"/>
      <c r="J40" s="1573"/>
      <c r="K40" s="1573"/>
      <c r="L40" s="1573"/>
      <c r="M40" s="1574"/>
      <c r="N40" s="1576"/>
      <c r="O40" s="1576"/>
      <c r="P40" s="1576"/>
      <c r="Q40" s="1577"/>
      <c r="R40" s="1566">
        <f t="shared" si="8"/>
        <v>0</v>
      </c>
      <c r="S40" s="1575"/>
      <c r="T40" s="450"/>
      <c r="U40" s="1581"/>
      <c r="V40" s="1582"/>
      <c r="W40" s="1582"/>
      <c r="X40" s="1582"/>
      <c r="Y40" s="1582"/>
      <c r="Z40" s="1583"/>
      <c r="AA40" s="452"/>
      <c r="AB40" s="413" t="s">
        <v>12</v>
      </c>
      <c r="AC40" s="1563"/>
      <c r="AD40" s="1564"/>
      <c r="AE40" s="1565"/>
      <c r="AF40" s="1560"/>
      <c r="AG40" s="1561"/>
      <c r="AH40" s="1560"/>
      <c r="AI40" s="1562"/>
      <c r="AJ40" s="1562"/>
      <c r="AK40" s="1561"/>
      <c r="AL40" s="1567"/>
      <c r="AM40" s="1569"/>
      <c r="AN40" s="1567"/>
      <c r="AO40" s="1568"/>
      <c r="AP40" s="1566">
        <f t="shared" si="9"/>
        <v>0</v>
      </c>
      <c r="AQ40" s="1561"/>
      <c r="AR40" s="414"/>
      <c r="AS40" s="1578"/>
      <c r="AT40" s="1579"/>
      <c r="AU40" s="1579"/>
      <c r="AV40" s="1579"/>
      <c r="AW40" s="1579"/>
      <c r="AX40" s="1579"/>
      <c r="AY40" s="1579"/>
      <c r="AZ40" s="1579"/>
      <c r="BA40" s="498"/>
      <c r="BB40" s="498">
        <f t="shared" si="7"/>
        <v>0</v>
      </c>
      <c r="BC40" s="499">
        <f>1*BB40</f>
        <v>0</v>
      </c>
      <c r="BD40" s="499"/>
      <c r="BE40" s="498">
        <f t="shared" ref="BE40" si="10">INDEX(A$29:A$40,MATCH($BK40,$BC$29:$BC$40,0))</f>
        <v>0</v>
      </c>
      <c r="BF40" s="498">
        <f t="shared" ref="BF40" si="11">INDEX(C$29:C$40,MATCH($BK40,$BC$29:$BC$40,0))</f>
        <v>0</v>
      </c>
      <c r="BG40" s="498">
        <f>INDEX(D$29:D$40,MATCH($BK40,$BC$29:$BC$40,0))</f>
        <v>0</v>
      </c>
      <c r="BH40" s="498">
        <f t="shared" ref="BH40" si="12">INDEX(E$29:E$40,MATCH($BK40,$BC$29:$BC$40,0))</f>
        <v>0</v>
      </c>
      <c r="BI40" s="498">
        <f t="shared" ref="BI40" si="13">INDEX(H$29:H$40,MATCH($BK40,$BC$29:$BC$40,0))</f>
        <v>0</v>
      </c>
      <c r="BJ40" s="498">
        <f t="shared" ref="BJ40" si="14">INDEX(R$29:R$40,MATCH($BK40,$BC$29:$BC$40,0))</f>
        <v>0</v>
      </c>
      <c r="BK40" s="498">
        <f t="shared" si="6"/>
        <v>0</v>
      </c>
      <c r="BL40" s="501"/>
      <c r="BM40" s="1559"/>
      <c r="BN40" s="1559"/>
      <c r="BO40" s="502"/>
      <c r="BP40" s="1559"/>
      <c r="BQ40" s="1559"/>
      <c r="BR40" s="502"/>
      <c r="BS40" s="498"/>
      <c r="BT40" s="498"/>
      <c r="BU40" s="19"/>
      <c r="BV40" s="19"/>
      <c r="BW40" s="19"/>
      <c r="BX40" s="19"/>
      <c r="BY40" s="19"/>
      <c r="BZ40" s="19"/>
      <c r="CA40" s="19"/>
      <c r="CB40" s="27"/>
      <c r="CC40" s="27"/>
    </row>
    <row r="41" spans="1:81" ht="9"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498"/>
      <c r="BB41" s="500"/>
      <c r="BC41" s="499"/>
      <c r="BD41" s="499"/>
      <c r="BE41" s="499"/>
      <c r="BF41" s="499"/>
      <c r="BG41" s="498"/>
      <c r="BH41" s="498"/>
      <c r="BI41" s="498"/>
      <c r="BJ41" s="498"/>
      <c r="BK41" s="498"/>
      <c r="BL41" s="498"/>
      <c r="BM41" s="498"/>
      <c r="BN41" s="498"/>
      <c r="BO41" s="498"/>
      <c r="BP41" s="498"/>
      <c r="BQ41" s="498"/>
      <c r="BR41" s="498"/>
      <c r="BS41" s="498"/>
      <c r="BT41" s="498"/>
      <c r="BU41" s="19"/>
      <c r="BV41" s="19"/>
      <c r="BW41" s="19"/>
      <c r="BX41" s="19"/>
      <c r="BY41" s="19"/>
      <c r="BZ41" s="19"/>
      <c r="CA41" s="19"/>
      <c r="CB41" s="27"/>
      <c r="CC41" s="27"/>
    </row>
    <row r="42" spans="1:81" s="153" customFormat="1" ht="18" customHeight="1" thickBot="1">
      <c r="A42" s="1540" t="s">
        <v>2938</v>
      </c>
      <c r="B42" s="1540"/>
      <c r="C42" s="1540"/>
      <c r="D42" s="1540"/>
      <c r="E42" s="1540"/>
      <c r="F42" s="1540"/>
      <c r="G42" s="1540"/>
      <c r="H42" s="1540"/>
      <c r="I42" s="1540"/>
      <c r="J42" s="1540"/>
      <c r="K42" s="1540"/>
      <c r="L42" s="1540"/>
      <c r="M42" s="1540"/>
      <c r="N42" s="1540"/>
      <c r="O42" s="1540"/>
      <c r="P42" s="1540"/>
      <c r="Q42" s="1540"/>
      <c r="R42" s="1540"/>
      <c r="S42" s="1540"/>
      <c r="T42" s="1540"/>
      <c r="U42" s="1540"/>
      <c r="V42" s="1540"/>
      <c r="W42" s="1540"/>
      <c r="X42" s="1540"/>
      <c r="Y42" s="1540"/>
      <c r="Z42" s="1540"/>
      <c r="AA42" s="1540" t="s">
        <v>2938</v>
      </c>
      <c r="AB42" s="1540"/>
      <c r="AC42" s="1540"/>
      <c r="AD42" s="1540"/>
      <c r="AE42" s="1540"/>
      <c r="AF42" s="1540"/>
      <c r="AG42" s="1540"/>
      <c r="AH42" s="1540"/>
      <c r="AI42" s="1540"/>
      <c r="AJ42" s="1540"/>
      <c r="AK42" s="1540"/>
      <c r="AL42" s="1540"/>
      <c r="AM42" s="1540"/>
      <c r="AN42" s="1540"/>
      <c r="AO42" s="1540"/>
      <c r="AP42" s="1540"/>
      <c r="AQ42" s="1540"/>
      <c r="AR42" s="1540"/>
      <c r="AS42" s="1540"/>
      <c r="AT42" s="1540"/>
      <c r="AU42" s="1540"/>
      <c r="AV42" s="1540"/>
      <c r="AW42" s="1540"/>
      <c r="AX42" s="1540"/>
      <c r="AY42" s="1540"/>
      <c r="AZ42" s="1540"/>
      <c r="BA42" s="509"/>
      <c r="BB42" s="505"/>
      <c r="BC42" s="509"/>
      <c r="BD42" s="509"/>
      <c r="BE42" s="509"/>
      <c r="BF42" s="509"/>
      <c r="BG42" s="509"/>
      <c r="BH42" s="509"/>
      <c r="BI42" s="509"/>
      <c r="BJ42" s="509"/>
      <c r="BK42" s="509"/>
      <c r="BL42" s="509"/>
      <c r="BM42" s="509"/>
      <c r="BN42" s="509"/>
      <c r="BO42" s="509"/>
      <c r="BP42" s="509"/>
      <c r="BQ42" s="509"/>
      <c r="BR42" s="509"/>
      <c r="BS42" s="509"/>
      <c r="BT42" s="509"/>
      <c r="BU42" s="581"/>
      <c r="BV42" s="581"/>
      <c r="BW42" s="581"/>
      <c r="BX42" s="581"/>
      <c r="BY42" s="581"/>
      <c r="BZ42" s="581"/>
      <c r="CA42" s="581"/>
      <c r="CB42" s="482"/>
      <c r="CC42" s="482"/>
    </row>
    <row r="43" spans="1:81" s="153" customFormat="1" ht="16.5" customHeight="1" thickBot="1">
      <c r="A43" s="1507" t="s">
        <v>258</v>
      </c>
      <c r="B43" s="1507"/>
      <c r="C43" s="1507" t="s">
        <v>3158</v>
      </c>
      <c r="D43" s="1507"/>
      <c r="E43" s="1507"/>
      <c r="F43" s="1507"/>
      <c r="G43" s="1507"/>
      <c r="H43" s="1507" t="s">
        <v>2769</v>
      </c>
      <c r="I43" s="1507"/>
      <c r="J43" s="1507"/>
      <c r="K43" s="1507" t="s">
        <v>2769</v>
      </c>
      <c r="L43" s="1507"/>
      <c r="M43" s="1507"/>
      <c r="N43" s="1507" t="s">
        <v>2769</v>
      </c>
      <c r="O43" s="1507"/>
      <c r="P43" s="1507"/>
      <c r="Q43" s="1507" t="s">
        <v>2769</v>
      </c>
      <c r="R43" s="1507"/>
      <c r="S43" s="1507"/>
      <c r="T43" s="1507" t="s">
        <v>2769</v>
      </c>
      <c r="U43" s="1507"/>
      <c r="V43" s="1507"/>
      <c r="W43" s="1507" t="s">
        <v>2764</v>
      </c>
      <c r="X43" s="1507"/>
      <c r="Y43" s="1507"/>
      <c r="Z43" s="1507"/>
      <c r="AA43" s="1507" t="s">
        <v>258</v>
      </c>
      <c r="AB43" s="1507"/>
      <c r="AC43" s="1507" t="s">
        <v>3158</v>
      </c>
      <c r="AD43" s="1507"/>
      <c r="AE43" s="1507"/>
      <c r="AF43" s="1507"/>
      <c r="AG43" s="1507"/>
      <c r="AH43" s="1507" t="s">
        <v>2769</v>
      </c>
      <c r="AI43" s="1507"/>
      <c r="AJ43" s="1507"/>
      <c r="AK43" s="1507" t="s">
        <v>2769</v>
      </c>
      <c r="AL43" s="1507"/>
      <c r="AM43" s="1507"/>
      <c r="AN43" s="1507" t="s">
        <v>2769</v>
      </c>
      <c r="AO43" s="1507"/>
      <c r="AP43" s="1507"/>
      <c r="AQ43" s="1507" t="s">
        <v>2769</v>
      </c>
      <c r="AR43" s="1507"/>
      <c r="AS43" s="1507"/>
      <c r="AT43" s="1507" t="s">
        <v>2769</v>
      </c>
      <c r="AU43" s="1507"/>
      <c r="AV43" s="1507"/>
      <c r="AW43" s="1507" t="s">
        <v>2764</v>
      </c>
      <c r="AX43" s="1507"/>
      <c r="AY43" s="1507"/>
      <c r="AZ43" s="1507"/>
      <c r="BA43" s="509"/>
      <c r="BB43" s="582"/>
      <c r="BC43" s="509"/>
      <c r="BD43" s="509"/>
      <c r="BE43" s="509"/>
      <c r="BF43" s="509"/>
      <c r="BG43" s="961" t="s">
        <v>243</v>
      </c>
      <c r="BH43" s="509"/>
      <c r="BI43" s="509"/>
      <c r="BJ43" s="509"/>
      <c r="BK43" s="509"/>
      <c r="BL43" s="509"/>
      <c r="BM43" s="509"/>
      <c r="BN43" s="509"/>
      <c r="BO43" s="509"/>
      <c r="BP43" s="509"/>
      <c r="BQ43" s="509"/>
      <c r="BR43" s="509"/>
      <c r="BS43" s="509"/>
      <c r="BT43" s="509"/>
      <c r="BU43" s="581"/>
      <c r="BV43" s="581"/>
      <c r="BW43" s="581"/>
      <c r="BX43" s="581"/>
      <c r="BY43" s="581"/>
      <c r="BZ43" s="581"/>
      <c r="CA43" s="581"/>
      <c r="CB43" s="482"/>
      <c r="CC43" s="482"/>
    </row>
    <row r="44" spans="1:81" s="153" customFormat="1" ht="16.5" customHeight="1">
      <c r="A44" s="1541"/>
      <c r="B44" s="1543" t="s">
        <v>2763</v>
      </c>
      <c r="C44" s="1503"/>
      <c r="D44" s="1545"/>
      <c r="E44" s="1545"/>
      <c r="F44" s="1545"/>
      <c r="G44" s="1532"/>
      <c r="H44" s="1503"/>
      <c r="I44" s="1505" t="s">
        <v>2768</v>
      </c>
      <c r="J44" s="1532"/>
      <c r="K44" s="1503"/>
      <c r="L44" s="1505" t="s">
        <v>2768</v>
      </c>
      <c r="M44" s="1532"/>
      <c r="N44" s="1503"/>
      <c r="O44" s="1505" t="s">
        <v>2768</v>
      </c>
      <c r="P44" s="1532"/>
      <c r="Q44" s="1503"/>
      <c r="R44" s="1505" t="s">
        <v>2768</v>
      </c>
      <c r="S44" s="1532"/>
      <c r="T44" s="1503"/>
      <c r="U44" s="1505" t="s">
        <v>2768</v>
      </c>
      <c r="V44" s="1534"/>
      <c r="W44" s="1508">
        <f>H44*J44+K44*M44+N44*P44+Q44*S44+T44*V44</f>
        <v>0</v>
      </c>
      <c r="X44" s="1510" t="s">
        <v>2765</v>
      </c>
      <c r="Y44" s="1557">
        <f>J44+M44+P44+S44+V44</f>
        <v>0</v>
      </c>
      <c r="Z44" s="1512" t="s">
        <v>2766</v>
      </c>
      <c r="AA44" s="1541">
        <v>8</v>
      </c>
      <c r="AB44" s="1543" t="s">
        <v>2763</v>
      </c>
      <c r="AC44" s="1503" t="s">
        <v>3195</v>
      </c>
      <c r="AD44" s="1545"/>
      <c r="AE44" s="1545"/>
      <c r="AF44" s="1545"/>
      <c r="AG44" s="1532"/>
      <c r="AH44" s="1503">
        <v>5</v>
      </c>
      <c r="AI44" s="1505" t="s">
        <v>2768</v>
      </c>
      <c r="AJ44" s="1532">
        <v>21</v>
      </c>
      <c r="AK44" s="1503">
        <v>6</v>
      </c>
      <c r="AL44" s="1505" t="s">
        <v>2768</v>
      </c>
      <c r="AM44" s="1532">
        <v>1</v>
      </c>
      <c r="AN44" s="1503"/>
      <c r="AO44" s="1505" t="s">
        <v>2768</v>
      </c>
      <c r="AP44" s="1532"/>
      <c r="AQ44" s="1503"/>
      <c r="AR44" s="1505" t="s">
        <v>2768</v>
      </c>
      <c r="AS44" s="1532"/>
      <c r="AT44" s="1503"/>
      <c r="AU44" s="1505" t="s">
        <v>2768</v>
      </c>
      <c r="AV44" s="1534"/>
      <c r="AW44" s="1536">
        <f>(AH44*AJ44)+(AK44*AM44)+(AN44*AP44)+(AQ44*AS44)+(AT44+AV44)</f>
        <v>111</v>
      </c>
      <c r="AX44" s="1510" t="s">
        <v>2765</v>
      </c>
      <c r="AY44" s="1523">
        <f>AJ44+AM44+AP44+AS44+AV44</f>
        <v>22</v>
      </c>
      <c r="AZ44" s="1512" t="s">
        <v>2766</v>
      </c>
      <c r="BA44" s="509"/>
      <c r="BB44" s="582"/>
      <c r="BC44" s="505"/>
      <c r="BD44" s="509"/>
      <c r="BE44" s="509"/>
      <c r="BF44" s="509"/>
      <c r="BG44" s="950" t="s">
        <v>3045</v>
      </c>
      <c r="BH44" s="509"/>
      <c r="BI44" s="509"/>
      <c r="BJ44" s="509"/>
      <c r="BK44" s="509"/>
      <c r="BL44" s="509"/>
      <c r="BM44" s="509"/>
      <c r="BN44" s="509"/>
      <c r="BO44" s="509"/>
      <c r="BP44" s="509"/>
      <c r="BQ44" s="509"/>
      <c r="BR44" s="509"/>
      <c r="BS44" s="509"/>
      <c r="BT44" s="509"/>
      <c r="BU44" s="581"/>
      <c r="BV44" s="581"/>
      <c r="BW44" s="581"/>
      <c r="BX44" s="581"/>
      <c r="BY44" s="581"/>
      <c r="BZ44" s="581"/>
      <c r="CA44" s="581"/>
      <c r="CB44" s="482"/>
      <c r="CC44" s="482"/>
    </row>
    <row r="45" spans="1:81" s="153" customFormat="1" ht="16.5" customHeight="1">
      <c r="A45" s="1542"/>
      <c r="B45" s="1544"/>
      <c r="C45" s="1546"/>
      <c r="D45" s="1547"/>
      <c r="E45" s="1547"/>
      <c r="F45" s="1547"/>
      <c r="G45" s="1548"/>
      <c r="H45" s="1504"/>
      <c r="I45" s="1506"/>
      <c r="J45" s="1533"/>
      <c r="K45" s="1504"/>
      <c r="L45" s="1506"/>
      <c r="M45" s="1533"/>
      <c r="N45" s="1504"/>
      <c r="O45" s="1506"/>
      <c r="P45" s="1533"/>
      <c r="Q45" s="1504"/>
      <c r="R45" s="1506"/>
      <c r="S45" s="1533"/>
      <c r="T45" s="1504"/>
      <c r="U45" s="1506"/>
      <c r="V45" s="1535"/>
      <c r="W45" s="1509"/>
      <c r="X45" s="1511"/>
      <c r="Y45" s="1539"/>
      <c r="Z45" s="1513"/>
      <c r="AA45" s="1542"/>
      <c r="AB45" s="1544"/>
      <c r="AC45" s="1546"/>
      <c r="AD45" s="1547"/>
      <c r="AE45" s="1547"/>
      <c r="AF45" s="1547"/>
      <c r="AG45" s="1548"/>
      <c r="AH45" s="1504"/>
      <c r="AI45" s="1506"/>
      <c r="AJ45" s="1533"/>
      <c r="AK45" s="1504"/>
      <c r="AL45" s="1506"/>
      <c r="AM45" s="1533"/>
      <c r="AN45" s="1504"/>
      <c r="AO45" s="1506"/>
      <c r="AP45" s="1533"/>
      <c r="AQ45" s="1504"/>
      <c r="AR45" s="1506"/>
      <c r="AS45" s="1533"/>
      <c r="AT45" s="1504"/>
      <c r="AU45" s="1506"/>
      <c r="AV45" s="1535"/>
      <c r="AW45" s="1537"/>
      <c r="AX45" s="1511"/>
      <c r="AY45" s="1538"/>
      <c r="AZ45" s="1513"/>
      <c r="BA45" s="509"/>
      <c r="BB45" s="505"/>
      <c r="BC45" s="505"/>
      <c r="BD45" s="509"/>
      <c r="BE45" s="509"/>
      <c r="BF45" s="509"/>
      <c r="BG45" s="962" t="s">
        <v>3046</v>
      </c>
      <c r="BH45" s="509"/>
      <c r="BI45" s="509"/>
      <c r="BJ45" s="509"/>
      <c r="BK45" s="509"/>
      <c r="BL45" s="509"/>
      <c r="BM45" s="509"/>
      <c r="BN45" s="509"/>
      <c r="BO45" s="509"/>
      <c r="BP45" s="509"/>
      <c r="BQ45" s="509"/>
      <c r="BR45" s="509"/>
      <c r="BS45" s="509"/>
      <c r="BT45" s="509"/>
      <c r="BU45" s="581"/>
      <c r="BV45" s="581"/>
      <c r="BW45" s="581"/>
      <c r="BX45" s="581"/>
      <c r="BY45" s="581"/>
      <c r="BZ45" s="581"/>
      <c r="CA45" s="581"/>
      <c r="CB45" s="482"/>
      <c r="CC45" s="482"/>
    </row>
    <row r="46" spans="1:81" s="153" customFormat="1" ht="16.5" customHeight="1">
      <c r="A46" s="1549"/>
      <c r="B46" s="1551" t="s">
        <v>2763</v>
      </c>
      <c r="C46" s="1514"/>
      <c r="D46" s="1553"/>
      <c r="E46" s="1553"/>
      <c r="F46" s="1553"/>
      <c r="G46" s="1518"/>
      <c r="H46" s="1514"/>
      <c r="I46" s="1516" t="s">
        <v>2768</v>
      </c>
      <c r="J46" s="1518"/>
      <c r="K46" s="1514"/>
      <c r="L46" s="1516" t="s">
        <v>2768</v>
      </c>
      <c r="M46" s="1518"/>
      <c r="N46" s="1514"/>
      <c r="O46" s="1516" t="s">
        <v>2768</v>
      </c>
      <c r="P46" s="1518"/>
      <c r="Q46" s="1514"/>
      <c r="R46" s="1516" t="s">
        <v>2768</v>
      </c>
      <c r="S46" s="1518"/>
      <c r="T46" s="1514"/>
      <c r="U46" s="1516" t="s">
        <v>2768</v>
      </c>
      <c r="V46" s="1520"/>
      <c r="W46" s="1555">
        <f>H46*J46+K46*M46+N46*P46+Q46*S46+T46*V46</f>
        <v>0</v>
      </c>
      <c r="X46" s="1510" t="s">
        <v>2765</v>
      </c>
      <c r="Y46" s="1557">
        <f>J46+M46+P46+S46+V46</f>
        <v>0</v>
      </c>
      <c r="Z46" s="1512" t="s">
        <v>2766</v>
      </c>
      <c r="AA46" s="1549"/>
      <c r="AB46" s="1551" t="s">
        <v>2763</v>
      </c>
      <c r="AC46" s="1514"/>
      <c r="AD46" s="1553"/>
      <c r="AE46" s="1553"/>
      <c r="AF46" s="1553"/>
      <c r="AG46" s="1518"/>
      <c r="AH46" s="1514"/>
      <c r="AI46" s="1516" t="s">
        <v>2768</v>
      </c>
      <c r="AJ46" s="1518"/>
      <c r="AK46" s="1514"/>
      <c r="AL46" s="1516" t="s">
        <v>2768</v>
      </c>
      <c r="AM46" s="1518"/>
      <c r="AN46" s="1514"/>
      <c r="AO46" s="1516" t="s">
        <v>2768</v>
      </c>
      <c r="AP46" s="1518"/>
      <c r="AQ46" s="1514"/>
      <c r="AR46" s="1516" t="s">
        <v>2768</v>
      </c>
      <c r="AS46" s="1518"/>
      <c r="AT46" s="1514"/>
      <c r="AU46" s="1516" t="s">
        <v>2768</v>
      </c>
      <c r="AV46" s="1520"/>
      <c r="AW46" s="1510">
        <f>AH46+AK46+AN46+AQ46+AT46</f>
        <v>0</v>
      </c>
      <c r="AX46" s="1510" t="s">
        <v>2765</v>
      </c>
      <c r="AY46" s="1523">
        <f>AJ46+AM46+AP46+AS46+AV46</f>
        <v>0</v>
      </c>
      <c r="AZ46" s="1512" t="s">
        <v>2766</v>
      </c>
      <c r="BA46" s="509"/>
      <c r="BB46" s="505"/>
      <c r="BC46" s="505"/>
      <c r="BD46" s="509"/>
      <c r="BE46" s="509"/>
      <c r="BF46" s="509"/>
      <c r="BG46" s="962" t="s">
        <v>3047</v>
      </c>
      <c r="BH46" s="509"/>
      <c r="BI46" s="509"/>
      <c r="BJ46" s="509"/>
      <c r="BK46" s="509"/>
      <c r="BL46" s="509"/>
      <c r="BM46" s="509"/>
      <c r="BN46" s="509"/>
      <c r="BO46" s="509"/>
      <c r="BP46" s="509"/>
      <c r="BQ46" s="509"/>
      <c r="BR46" s="509"/>
      <c r="BS46" s="509"/>
      <c r="BT46" s="509"/>
      <c r="BU46" s="581"/>
      <c r="BV46" s="581"/>
      <c r="BW46" s="581"/>
      <c r="BX46" s="581"/>
      <c r="BY46" s="581"/>
      <c r="BZ46" s="581"/>
      <c r="CA46" s="581"/>
      <c r="CB46" s="482"/>
      <c r="CC46" s="482"/>
    </row>
    <row r="47" spans="1:81" s="153" customFormat="1" ht="16.5" customHeight="1" thickBot="1">
      <c r="A47" s="1550"/>
      <c r="B47" s="1552"/>
      <c r="C47" s="1515"/>
      <c r="D47" s="1554"/>
      <c r="E47" s="1554"/>
      <c r="F47" s="1554"/>
      <c r="G47" s="1519"/>
      <c r="H47" s="1515"/>
      <c r="I47" s="1517"/>
      <c r="J47" s="1519"/>
      <c r="K47" s="1515"/>
      <c r="L47" s="1517"/>
      <c r="M47" s="1519"/>
      <c r="N47" s="1515"/>
      <c r="O47" s="1517"/>
      <c r="P47" s="1519"/>
      <c r="Q47" s="1515"/>
      <c r="R47" s="1517"/>
      <c r="S47" s="1519"/>
      <c r="T47" s="1515"/>
      <c r="U47" s="1517"/>
      <c r="V47" s="1521"/>
      <c r="W47" s="1556"/>
      <c r="X47" s="1522"/>
      <c r="Y47" s="1558"/>
      <c r="Z47" s="1531"/>
      <c r="AA47" s="1550"/>
      <c r="AB47" s="1552"/>
      <c r="AC47" s="1515"/>
      <c r="AD47" s="1554"/>
      <c r="AE47" s="1554"/>
      <c r="AF47" s="1554"/>
      <c r="AG47" s="1519"/>
      <c r="AH47" s="1515"/>
      <c r="AI47" s="1517"/>
      <c r="AJ47" s="1519"/>
      <c r="AK47" s="1515"/>
      <c r="AL47" s="1517"/>
      <c r="AM47" s="1519"/>
      <c r="AN47" s="1515"/>
      <c r="AO47" s="1517"/>
      <c r="AP47" s="1519"/>
      <c r="AQ47" s="1515"/>
      <c r="AR47" s="1517"/>
      <c r="AS47" s="1519"/>
      <c r="AT47" s="1515"/>
      <c r="AU47" s="1517"/>
      <c r="AV47" s="1521"/>
      <c r="AW47" s="1522"/>
      <c r="AX47" s="1522"/>
      <c r="AY47" s="1524"/>
      <c r="AZ47" s="1531"/>
      <c r="BA47" s="509"/>
      <c r="BB47" s="505"/>
      <c r="BC47" s="505"/>
      <c r="BD47" s="509"/>
      <c r="BE47" s="509"/>
      <c r="BF47" s="509"/>
      <c r="BG47" s="962" t="s">
        <v>3048</v>
      </c>
      <c r="BH47" s="509"/>
      <c r="BI47" s="509"/>
      <c r="BJ47" s="509"/>
      <c r="BK47" s="509"/>
      <c r="BL47" s="509"/>
      <c r="BM47" s="509"/>
      <c r="BN47" s="509"/>
      <c r="BO47" s="509"/>
      <c r="BP47" s="509"/>
      <c r="BQ47" s="509"/>
      <c r="BR47" s="509"/>
      <c r="BS47" s="509"/>
      <c r="BT47" s="509"/>
      <c r="BU47" s="581"/>
      <c r="BV47" s="581"/>
      <c r="BW47" s="581"/>
      <c r="BX47" s="581"/>
      <c r="BY47" s="581"/>
      <c r="BZ47" s="581"/>
      <c r="CA47" s="581"/>
      <c r="CB47" s="482"/>
      <c r="CC47" s="482"/>
    </row>
    <row r="48" spans="1:81" ht="20.100000000000001" customHeight="1">
      <c r="A48" s="133"/>
      <c r="B48" s="134"/>
      <c r="C48" s="1539"/>
      <c r="D48" s="1539"/>
      <c r="E48" s="1539"/>
      <c r="F48" s="1539"/>
      <c r="G48" s="1539"/>
      <c r="H48" s="1539"/>
      <c r="I48" s="1539"/>
      <c r="J48" s="1539"/>
      <c r="K48" s="1539"/>
      <c r="L48" s="1539"/>
      <c r="M48" s="1539"/>
      <c r="N48" s="1539"/>
      <c r="O48" s="1539"/>
      <c r="P48" s="1539"/>
      <c r="Q48" s="1539"/>
      <c r="R48" s="1539"/>
      <c r="S48" s="1539"/>
      <c r="T48" s="1539"/>
      <c r="U48" s="1539"/>
      <c r="V48" s="1539"/>
      <c r="W48" s="1539"/>
      <c r="X48" s="1539"/>
      <c r="Y48" s="1539"/>
      <c r="Z48" s="1539"/>
      <c r="AA48" s="137"/>
      <c r="AB48" s="131"/>
      <c r="AC48" s="140"/>
      <c r="AD48" s="140"/>
      <c r="AE48" s="140"/>
      <c r="AF48" s="133"/>
      <c r="AG48" s="133"/>
      <c r="AH48" s="133"/>
      <c r="AI48" s="133"/>
      <c r="AJ48" s="133"/>
      <c r="AK48" s="137"/>
      <c r="AL48" s="138"/>
      <c r="AM48" s="139"/>
      <c r="AN48" s="137"/>
      <c r="AO48" s="138"/>
      <c r="AP48" s="139"/>
      <c r="AQ48" s="137"/>
      <c r="AR48" s="138"/>
      <c r="AS48" s="139"/>
      <c r="AT48" s="137"/>
      <c r="AU48" s="138"/>
      <c r="AV48" s="139"/>
      <c r="AW48" s="136"/>
      <c r="AX48" s="131"/>
      <c r="AY48" s="136"/>
      <c r="AZ48" s="131"/>
      <c r="BA48" s="498"/>
      <c r="BB48" s="500"/>
      <c r="BC48" s="500"/>
      <c r="BD48" s="499"/>
      <c r="BE48" s="499"/>
      <c r="BF48" s="499"/>
      <c r="BG48" s="962" t="s">
        <v>3049</v>
      </c>
      <c r="BH48" s="498"/>
      <c r="BI48" s="498"/>
      <c r="BJ48" s="498"/>
      <c r="BK48" s="498"/>
      <c r="BL48" s="498"/>
      <c r="BM48" s="498"/>
      <c r="BN48" s="498"/>
      <c r="BO48" s="498"/>
      <c r="BP48" s="498"/>
      <c r="BQ48" s="498"/>
      <c r="BR48" s="498"/>
      <c r="BS48" s="498"/>
      <c r="BT48" s="498"/>
      <c r="BU48" s="19"/>
      <c r="BV48" s="19"/>
      <c r="BW48" s="19"/>
      <c r="BX48" s="19"/>
      <c r="BY48" s="19"/>
      <c r="BZ48" s="19"/>
      <c r="CA48" s="19"/>
      <c r="CB48" s="27"/>
      <c r="CC48" s="27"/>
    </row>
    <row r="49" spans="1:81" ht="20.100000000000001" hidden="1" customHeight="1">
      <c r="A49" s="133"/>
      <c r="B49" s="134"/>
      <c r="C49" s="133"/>
      <c r="D49" s="133"/>
      <c r="E49" s="133"/>
      <c r="F49" s="133"/>
      <c r="G49" s="133"/>
      <c r="H49" s="133"/>
      <c r="I49" s="133"/>
      <c r="J49" s="133"/>
      <c r="K49" s="135"/>
      <c r="L49" s="134"/>
      <c r="M49" s="135"/>
      <c r="N49" s="135"/>
      <c r="O49" s="134"/>
      <c r="P49" s="135"/>
      <c r="Q49" s="135"/>
      <c r="R49" s="134"/>
      <c r="S49" s="135"/>
      <c r="T49" s="135"/>
      <c r="U49" s="134"/>
      <c r="V49" s="135"/>
      <c r="W49" s="136"/>
      <c r="X49" s="134"/>
      <c r="Y49" s="136"/>
      <c r="Z49" s="134"/>
      <c r="AA49" s="137"/>
      <c r="AB49" s="131"/>
      <c r="AC49" s="140"/>
      <c r="AD49" s="140"/>
      <c r="AE49" s="140"/>
      <c r="AF49" s="133"/>
      <c r="AG49" s="133"/>
      <c r="AH49" s="133"/>
      <c r="AI49" s="133"/>
      <c r="AJ49" s="133"/>
      <c r="AK49" s="137"/>
      <c r="AL49" s="138"/>
      <c r="AM49" s="139"/>
      <c r="AN49" s="137"/>
      <c r="AO49" s="138"/>
      <c r="AP49" s="139"/>
      <c r="AQ49" s="137"/>
      <c r="AR49" s="138"/>
      <c r="AS49" s="139"/>
      <c r="AT49" s="137"/>
      <c r="AU49" s="138"/>
      <c r="AV49" s="139"/>
      <c r="AW49" s="136"/>
      <c r="AX49" s="131"/>
      <c r="AY49" s="136"/>
      <c r="AZ49" s="131"/>
      <c r="BA49" s="498"/>
      <c r="BB49" s="500"/>
      <c r="BC49" s="500"/>
      <c r="BD49" s="499"/>
      <c r="BE49" s="499"/>
      <c r="BF49" s="499"/>
      <c r="BG49" s="962" t="s">
        <v>3050</v>
      </c>
      <c r="BH49" s="498"/>
      <c r="BI49" s="498"/>
      <c r="BJ49" s="498"/>
      <c r="BK49" s="498"/>
      <c r="BL49" s="498"/>
      <c r="BM49" s="498"/>
      <c r="BN49" s="498"/>
      <c r="BO49" s="498"/>
      <c r="BP49" s="498"/>
      <c r="BQ49" s="498"/>
      <c r="BR49" s="498"/>
      <c r="BS49" s="498"/>
      <c r="BT49" s="498"/>
      <c r="BU49" s="19"/>
      <c r="BV49" s="19"/>
      <c r="BW49" s="19"/>
      <c r="BX49" s="19"/>
      <c r="BY49" s="19"/>
      <c r="BZ49" s="19"/>
      <c r="CA49" s="19"/>
      <c r="CB49" s="27"/>
      <c r="CC49" s="27"/>
    </row>
    <row r="50" spans="1:81" ht="20.100000000000001" hidden="1" customHeight="1">
      <c r="A50" s="133"/>
      <c r="B50" s="134"/>
      <c r="C50" s="133"/>
      <c r="D50" s="133"/>
      <c r="E50" s="133"/>
      <c r="F50" s="133"/>
      <c r="G50" s="133"/>
      <c r="H50" s="133"/>
      <c r="I50" s="133"/>
      <c r="J50" s="133"/>
      <c r="K50" s="135"/>
      <c r="L50" s="134"/>
      <c r="M50" s="135"/>
      <c r="N50" s="135"/>
      <c r="O50" s="134"/>
      <c r="P50" s="135"/>
      <c r="Q50" s="135"/>
      <c r="R50" s="134"/>
      <c r="S50" s="135"/>
      <c r="T50" s="135"/>
      <c r="U50" s="134"/>
      <c r="V50" s="135"/>
      <c r="W50" s="136"/>
      <c r="X50" s="134"/>
      <c r="Y50" s="136"/>
      <c r="Z50" s="134"/>
      <c r="AA50" s="137"/>
      <c r="AB50" s="131"/>
      <c r="AC50" s="140"/>
      <c r="AD50" s="140"/>
      <c r="AE50" s="140"/>
      <c r="AF50" s="133"/>
      <c r="AG50" s="133"/>
      <c r="AH50" s="133"/>
      <c r="AI50" s="133"/>
      <c r="AJ50" s="133"/>
      <c r="AK50" s="137"/>
      <c r="AL50" s="138"/>
      <c r="AM50" s="139"/>
      <c r="AN50" s="137"/>
      <c r="AO50" s="138"/>
      <c r="AP50" s="139"/>
      <c r="AQ50" s="137"/>
      <c r="AR50" s="138"/>
      <c r="AS50" s="139"/>
      <c r="AT50" s="137"/>
      <c r="AU50" s="138"/>
      <c r="AV50" s="139"/>
      <c r="AW50" s="136"/>
      <c r="AX50" s="131"/>
      <c r="AY50" s="136"/>
      <c r="AZ50" s="131"/>
      <c r="BA50" s="498"/>
      <c r="BB50" s="500">
        <f>K50*M50+N50*P50+Q50*S50+T50*V50</f>
        <v>0</v>
      </c>
      <c r="BC50" s="500">
        <f>BJ32</f>
        <v>0</v>
      </c>
      <c r="BD50" s="499"/>
      <c r="BE50" s="499"/>
      <c r="BF50" s="499"/>
      <c r="BG50" s="962" t="s">
        <v>3051</v>
      </c>
      <c r="BH50" s="498"/>
      <c r="BI50" s="498"/>
      <c r="BJ50" s="498"/>
      <c r="BK50" s="498"/>
      <c r="BL50" s="498"/>
      <c r="BM50" s="498"/>
      <c r="BN50" s="498"/>
      <c r="BO50" s="498"/>
      <c r="BP50" s="498"/>
      <c r="BQ50" s="498"/>
      <c r="BR50" s="498"/>
      <c r="BS50" s="498"/>
      <c r="BT50" s="498"/>
      <c r="BU50" s="19"/>
      <c r="BV50" s="19"/>
      <c r="BW50" s="19"/>
      <c r="BX50" s="19"/>
      <c r="BY50" s="19"/>
      <c r="BZ50" s="19"/>
      <c r="CA50" s="19"/>
      <c r="CB50" s="27"/>
      <c r="CC50" s="27"/>
    </row>
    <row r="51" spans="1:81" ht="42" hidden="1" customHeight="1">
      <c r="A51" s="746"/>
      <c r="B51" s="747"/>
      <c r="C51" s="746"/>
      <c r="D51" s="746"/>
      <c r="E51" s="746"/>
      <c r="F51" s="746"/>
      <c r="G51" s="746"/>
      <c r="H51" s="746"/>
      <c r="I51" s="746"/>
      <c r="J51" s="746"/>
      <c r="K51" s="748"/>
      <c r="L51" s="747"/>
      <c r="M51" s="748"/>
      <c r="N51" s="748"/>
      <c r="O51" s="747"/>
      <c r="P51" s="748"/>
      <c r="Q51" s="748"/>
      <c r="R51" s="747"/>
      <c r="S51" s="748"/>
      <c r="T51" s="748"/>
      <c r="U51" s="747"/>
      <c r="V51" s="748"/>
      <c r="W51" s="749"/>
      <c r="X51" s="747"/>
      <c r="Y51" s="136"/>
      <c r="Z51" s="134"/>
      <c r="AA51" s="137"/>
      <c r="AB51" s="131"/>
      <c r="AC51" s="140"/>
      <c r="AD51" s="140"/>
      <c r="AE51" s="140"/>
      <c r="AF51" s="133"/>
      <c r="AG51" s="133"/>
      <c r="AH51" s="133"/>
      <c r="AI51" s="133"/>
      <c r="AJ51" s="133"/>
      <c r="AK51" s="137"/>
      <c r="AL51" s="138"/>
      <c r="AM51" s="139"/>
      <c r="AN51" s="137"/>
      <c r="AO51" s="138"/>
      <c r="AP51" s="139"/>
      <c r="AQ51" s="137"/>
      <c r="AR51" s="138"/>
      <c r="AS51" s="139"/>
      <c r="AT51" s="137"/>
      <c r="AU51" s="138"/>
      <c r="AV51" s="139"/>
      <c r="AW51" s="136"/>
      <c r="AX51" s="131"/>
      <c r="AY51" s="136"/>
      <c r="AZ51" s="131"/>
      <c r="BA51" s="498"/>
      <c r="BB51" s="500">
        <f>K51*M51+N51*P51+Q51*S51+T51*V51</f>
        <v>0</v>
      </c>
      <c r="BC51" s="500">
        <f>BJ33</f>
        <v>0</v>
      </c>
      <c r="BD51" s="499"/>
      <c r="BE51" s="499"/>
      <c r="BF51" s="499"/>
      <c r="BG51" s="952" t="s">
        <v>3052</v>
      </c>
      <c r="BH51" s="498"/>
      <c r="BI51" s="498"/>
      <c r="BJ51" s="498"/>
      <c r="BK51" s="498"/>
      <c r="BL51" s="498"/>
      <c r="BM51" s="498"/>
      <c r="BN51" s="498"/>
      <c r="BO51" s="498"/>
      <c r="BP51" s="498"/>
      <c r="BQ51" s="498"/>
      <c r="BR51" s="498"/>
      <c r="BS51" s="498"/>
      <c r="BT51" s="498"/>
      <c r="BU51" s="19"/>
      <c r="BV51" s="19"/>
      <c r="BW51" s="19"/>
      <c r="BX51" s="19"/>
      <c r="BY51" s="19"/>
      <c r="BZ51" s="19"/>
      <c r="CA51" s="19"/>
      <c r="CB51" s="27"/>
      <c r="CC51" s="27"/>
    </row>
    <row r="52" spans="1:81" ht="42" hidden="1" customHeight="1">
      <c r="A52" s="750" t="b">
        <v>0</v>
      </c>
      <c r="B52" s="750" t="b">
        <v>0</v>
      </c>
      <c r="C52" s="751" t="s">
        <v>3068</v>
      </c>
      <c r="D52" s="751"/>
      <c r="E52" s="751"/>
      <c r="F52" s="751"/>
      <c r="G52" s="751"/>
      <c r="H52" s="751"/>
      <c r="I52" s="751"/>
      <c r="J52" s="751"/>
      <c r="K52" s="751"/>
      <c r="L52" s="752"/>
      <c r="M52" s="752"/>
      <c r="N52" s="752"/>
      <c r="O52" s="752"/>
      <c r="P52" s="752"/>
      <c r="Q52" s="752"/>
      <c r="R52" s="752"/>
      <c r="S52" s="752"/>
      <c r="T52" s="752"/>
      <c r="U52" s="752"/>
      <c r="V52" s="752"/>
      <c r="W52" s="752"/>
      <c r="X52" s="752"/>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498"/>
      <c r="BB52" s="500"/>
      <c r="BC52" s="499"/>
      <c r="BD52" s="499"/>
      <c r="BE52" s="499"/>
      <c r="BF52" s="499"/>
      <c r="BG52" s="952" t="s">
        <v>3053</v>
      </c>
      <c r="BH52" s="498"/>
      <c r="BI52" s="498"/>
      <c r="BJ52" s="498"/>
      <c r="BK52" s="498"/>
      <c r="BL52" s="498"/>
      <c r="BM52" s="498"/>
      <c r="BN52" s="498"/>
      <c r="BO52" s="498"/>
      <c r="BP52" s="498"/>
      <c r="BQ52" s="498"/>
      <c r="BR52" s="498"/>
      <c r="BS52" s="498"/>
      <c r="BT52" s="498"/>
      <c r="BU52" s="19"/>
      <c r="BV52" s="19"/>
      <c r="BW52" s="19"/>
      <c r="BX52" s="19"/>
      <c r="BY52" s="19"/>
      <c r="BZ52" s="19"/>
      <c r="CA52" s="19"/>
      <c r="CB52" s="27"/>
      <c r="CC52" s="27"/>
    </row>
    <row r="53" spans="1:81" ht="42" hidden="1" customHeight="1" thickBot="1">
      <c r="A53" s="750" t="b">
        <v>0</v>
      </c>
      <c r="B53" s="750" t="b">
        <v>0</v>
      </c>
      <c r="C53" s="753" t="s">
        <v>3069</v>
      </c>
      <c r="D53" s="753"/>
      <c r="E53" s="753"/>
      <c r="F53" s="753"/>
      <c r="G53" s="753"/>
      <c r="H53" s="753"/>
      <c r="I53" s="753"/>
      <c r="J53" s="753"/>
      <c r="K53" s="753"/>
      <c r="L53" s="754"/>
      <c r="M53" s="754"/>
      <c r="N53" s="754"/>
      <c r="O53" s="754"/>
      <c r="P53" s="754"/>
      <c r="Q53" s="754"/>
      <c r="R53" s="754"/>
      <c r="S53" s="754"/>
      <c r="T53" s="754"/>
      <c r="U53" s="754"/>
      <c r="V53" s="754"/>
      <c r="W53" s="754"/>
      <c r="X53" s="754"/>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498"/>
      <c r="BB53" s="503"/>
      <c r="BC53" s="499"/>
      <c r="BD53" s="499"/>
      <c r="BE53" s="499"/>
      <c r="BF53" s="499"/>
      <c r="BG53" s="953" t="s">
        <v>3054</v>
      </c>
      <c r="BH53" s="498"/>
      <c r="BI53" s="498"/>
      <c r="BJ53" s="498"/>
      <c r="BK53" s="499" t="s">
        <v>242</v>
      </c>
      <c r="BL53" s="499"/>
      <c r="BM53" s="498"/>
      <c r="BN53" s="498"/>
      <c r="BO53" s="498"/>
      <c r="BP53" s="498"/>
      <c r="BQ53" s="498"/>
      <c r="BR53" s="498"/>
      <c r="BS53" s="498"/>
      <c r="BT53" s="498"/>
      <c r="BU53" s="19"/>
      <c r="BV53" s="19"/>
      <c r="BW53" s="19"/>
      <c r="BX53" s="19"/>
      <c r="BY53" s="19"/>
      <c r="BZ53" s="19"/>
      <c r="CA53" s="19"/>
      <c r="CB53" s="27"/>
      <c r="CC53" s="27"/>
    </row>
    <row r="54" spans="1:81" ht="42" hidden="1" customHeight="1" thickBot="1">
      <c r="A54" s="755"/>
      <c r="B54" s="756"/>
      <c r="C54" s="756" t="s">
        <v>3070</v>
      </c>
      <c r="D54" s="756"/>
      <c r="E54" s="756"/>
      <c r="F54" s="756"/>
      <c r="G54" s="756"/>
      <c r="H54" s="756"/>
      <c r="I54" s="756"/>
      <c r="J54" s="756"/>
      <c r="K54" s="757"/>
      <c r="L54" s="520"/>
      <c r="M54" s="520"/>
      <c r="N54" s="520"/>
      <c r="O54" s="520"/>
      <c r="P54" s="520"/>
      <c r="Q54" s="520"/>
      <c r="R54" s="520"/>
      <c r="S54" s="520"/>
      <c r="T54" s="520"/>
      <c r="U54" s="520"/>
      <c r="V54" s="520"/>
      <c r="W54" s="520"/>
      <c r="X54" s="520"/>
      <c r="AA54" s="22"/>
      <c r="AB54" s="22"/>
      <c r="AC54" s="22"/>
      <c r="AD54" s="22"/>
      <c r="AE54" s="22"/>
      <c r="AF54" s="3"/>
      <c r="AG54" s="3"/>
      <c r="AH54" s="3"/>
      <c r="AI54" s="3"/>
      <c r="AJ54" s="3"/>
      <c r="BA54" s="498"/>
      <c r="BB54" s="500"/>
      <c r="BC54" s="499"/>
      <c r="BD54" s="499"/>
      <c r="BE54" s="499"/>
      <c r="BF54" s="499"/>
      <c r="BG54" s="953" t="s">
        <v>3055</v>
      </c>
      <c r="BH54" s="498"/>
      <c r="BI54" s="498"/>
      <c r="BJ54" s="498"/>
      <c r="BK54" s="498"/>
      <c r="BL54" s="499">
        <v>1</v>
      </c>
      <c r="BM54" s="506">
        <v>0</v>
      </c>
      <c r="BN54" s="498"/>
      <c r="BO54" s="498"/>
      <c r="BP54" s="498"/>
      <c r="BQ54" s="498"/>
      <c r="BR54" s="498"/>
      <c r="BS54" s="498"/>
      <c r="BT54" s="498"/>
      <c r="BU54" s="19"/>
      <c r="BV54" s="19"/>
      <c r="BW54" s="19"/>
      <c r="BX54" s="19"/>
      <c r="BY54" s="19"/>
      <c r="BZ54" s="19"/>
      <c r="CA54" s="19"/>
      <c r="CB54" s="27"/>
      <c r="CC54" s="27"/>
    </row>
    <row r="55" spans="1:81" ht="38.25" hidden="1" customHeight="1">
      <c r="A55" s="758"/>
      <c r="B55" s="757"/>
      <c r="C55" s="757" t="s">
        <v>3071</v>
      </c>
      <c r="D55" s="757"/>
      <c r="E55" s="757"/>
      <c r="F55" s="757"/>
      <c r="G55" s="757"/>
      <c r="H55" s="757"/>
      <c r="I55" s="757"/>
      <c r="J55" s="757"/>
      <c r="K55" s="757"/>
      <c r="L55" s="520"/>
      <c r="M55" s="520"/>
      <c r="N55" s="520"/>
      <c r="O55" s="520"/>
      <c r="P55" s="520"/>
      <c r="Q55" s="520"/>
      <c r="R55" s="520"/>
      <c r="S55" s="520"/>
      <c r="T55" s="520"/>
      <c r="U55" s="520"/>
      <c r="V55" s="520"/>
      <c r="W55" s="520"/>
      <c r="X55" s="520"/>
      <c r="AA55" s="23"/>
      <c r="AF55" s="3"/>
      <c r="AG55" s="3"/>
      <c r="AH55" s="3"/>
      <c r="AI55" s="3"/>
      <c r="AJ55" s="3"/>
      <c r="BA55" s="498"/>
      <c r="BB55" s="500"/>
      <c r="BC55" s="499"/>
      <c r="BD55" s="499"/>
      <c r="BE55" s="499"/>
      <c r="BF55" s="499"/>
      <c r="BG55" s="963"/>
      <c r="BH55" s="498"/>
      <c r="BI55" s="498"/>
      <c r="BJ55" s="498"/>
      <c r="BK55" s="508" t="s">
        <v>251</v>
      </c>
      <c r="BL55" s="499">
        <f>BL54+1</f>
        <v>2</v>
      </c>
      <c r="BM55" s="498">
        <v>15</v>
      </c>
      <c r="BN55" s="498"/>
      <c r="BO55" s="498"/>
      <c r="BP55" s="498"/>
      <c r="BQ55" s="498"/>
      <c r="BR55" s="498"/>
      <c r="BS55" s="498"/>
      <c r="BT55" s="498"/>
      <c r="BU55" s="19"/>
      <c r="BV55" s="19"/>
      <c r="BW55" s="19"/>
      <c r="BX55" s="19"/>
      <c r="BY55" s="19"/>
      <c r="BZ55" s="19"/>
      <c r="CA55" s="19"/>
      <c r="CB55" s="27"/>
      <c r="CC55" s="27"/>
    </row>
    <row r="56" spans="1:81" ht="38.25" hidden="1" customHeight="1">
      <c r="A56" s="759"/>
      <c r="B56" s="757"/>
      <c r="C56" s="757" t="s">
        <v>3072</v>
      </c>
      <c r="D56" s="757"/>
      <c r="E56" s="760"/>
      <c r="F56" s="757"/>
      <c r="G56" s="757"/>
      <c r="H56" s="757"/>
      <c r="I56" s="757"/>
      <c r="J56" s="757"/>
      <c r="K56" s="757"/>
      <c r="L56" s="520"/>
      <c r="M56" s="520"/>
      <c r="N56" s="520"/>
      <c r="O56" s="520"/>
      <c r="P56" s="520"/>
      <c r="Q56" s="520"/>
      <c r="R56" s="520"/>
      <c r="S56" s="520"/>
      <c r="T56" s="520"/>
      <c r="U56" s="520"/>
      <c r="V56" s="520"/>
      <c r="W56" s="520"/>
      <c r="X56" s="520"/>
      <c r="AA56" s="24"/>
      <c r="AE56" s="25"/>
      <c r="AF56" s="3"/>
      <c r="AG56" s="3"/>
      <c r="AH56" s="3"/>
      <c r="AI56" s="3"/>
      <c r="AJ56" s="3"/>
      <c r="BA56" s="498"/>
      <c r="BB56" s="500"/>
      <c r="BC56" s="499"/>
      <c r="BD56" s="499"/>
      <c r="BE56" s="499"/>
      <c r="BF56" s="499"/>
      <c r="BG56" s="963"/>
      <c r="BH56" s="33"/>
      <c r="BI56" s="498"/>
      <c r="BJ56" s="498"/>
      <c r="BK56" s="508" t="s">
        <v>252</v>
      </c>
      <c r="BL56" s="499">
        <f t="shared" ref="BL56:BL84" si="15">BL55+1</f>
        <v>3</v>
      </c>
      <c r="BM56" s="498">
        <v>30</v>
      </c>
      <c r="BN56" s="498"/>
      <c r="BO56" s="498"/>
      <c r="BP56" s="498"/>
      <c r="BQ56" s="498"/>
      <c r="BR56" s="498"/>
      <c r="BS56" s="498"/>
      <c r="BT56" s="498"/>
      <c r="BU56" s="19"/>
      <c r="BV56" s="19"/>
      <c r="BW56" s="19"/>
      <c r="BX56" s="19"/>
      <c r="BY56" s="19"/>
      <c r="BZ56" s="19"/>
      <c r="CA56" s="19"/>
      <c r="CB56" s="27"/>
      <c r="CC56" s="27"/>
    </row>
    <row r="57" spans="1:81" ht="38.25" hidden="1" customHeight="1">
      <c r="A57" s="759"/>
      <c r="B57" s="757"/>
      <c r="C57" s="757"/>
      <c r="D57" s="757"/>
      <c r="E57" s="757"/>
      <c r="F57" s="757"/>
      <c r="G57" s="757"/>
      <c r="H57" s="757"/>
      <c r="I57" s="757">
        <f>$K$11</f>
        <v>0</v>
      </c>
      <c r="J57" s="757"/>
      <c r="K57" s="757"/>
      <c r="L57" s="520"/>
      <c r="M57" s="520"/>
      <c r="N57" s="520"/>
      <c r="O57" s="520"/>
      <c r="P57" s="520"/>
      <c r="Q57" s="520"/>
      <c r="R57" s="520"/>
      <c r="S57" s="520"/>
      <c r="T57" s="520"/>
      <c r="U57" s="520"/>
      <c r="V57" s="520"/>
      <c r="W57" s="520"/>
      <c r="X57" s="520"/>
      <c r="AA57" s="24"/>
      <c r="AF57" s="3"/>
      <c r="AG57" s="3"/>
      <c r="AH57" s="3"/>
      <c r="AI57" s="3"/>
      <c r="AJ57" s="3"/>
      <c r="BA57" s="498"/>
      <c r="BB57" s="500"/>
      <c r="BC57" s="499"/>
      <c r="BD57" s="499"/>
      <c r="BE57" s="499"/>
      <c r="BF57" s="499"/>
      <c r="BG57" s="963"/>
      <c r="BH57" s="33"/>
      <c r="BI57" s="498"/>
      <c r="BJ57" s="498"/>
      <c r="BK57" s="508" t="s">
        <v>3225</v>
      </c>
      <c r="BL57" s="499">
        <f t="shared" si="15"/>
        <v>4</v>
      </c>
      <c r="BM57" s="498">
        <v>45</v>
      </c>
      <c r="BN57" s="498"/>
      <c r="BO57" s="498"/>
      <c r="BP57" s="498"/>
      <c r="BQ57" s="498"/>
      <c r="BR57" s="498"/>
      <c r="BS57" s="498"/>
      <c r="BT57" s="498"/>
      <c r="BU57" s="19"/>
      <c r="BV57" s="19"/>
      <c r="BW57" s="19"/>
      <c r="BX57" s="19"/>
      <c r="BY57" s="19"/>
      <c r="BZ57" s="19"/>
      <c r="CA57" s="19"/>
      <c r="CB57" s="27"/>
      <c r="CC57" s="27"/>
    </row>
    <row r="58" spans="1:81" ht="38.25" hidden="1" customHeight="1">
      <c r="A58" s="759"/>
      <c r="B58" s="757"/>
      <c r="C58" s="757"/>
      <c r="D58" s="757"/>
      <c r="E58" s="757"/>
      <c r="F58" s="757"/>
      <c r="G58" s="757"/>
      <c r="H58" s="757"/>
      <c r="I58" s="757"/>
      <c r="J58" s="757"/>
      <c r="K58" s="757"/>
      <c r="L58" s="520"/>
      <c r="M58" s="520"/>
      <c r="N58" s="520"/>
      <c r="O58" s="520"/>
      <c r="P58" s="520"/>
      <c r="Q58" s="520"/>
      <c r="R58" s="520"/>
      <c r="S58" s="520"/>
      <c r="T58" s="520"/>
      <c r="U58" s="520"/>
      <c r="V58" s="520"/>
      <c r="W58" s="520"/>
      <c r="X58" s="520"/>
      <c r="AA58" s="24"/>
      <c r="AF58" s="3"/>
      <c r="AG58" s="3"/>
      <c r="AH58" s="3"/>
      <c r="AI58" s="3"/>
      <c r="AJ58" s="3"/>
      <c r="BA58" s="498"/>
      <c r="BB58" s="503"/>
      <c r="BC58" s="499"/>
      <c r="BD58" s="499"/>
      <c r="BE58" s="499"/>
      <c r="BF58" s="499"/>
      <c r="BG58" s="963"/>
      <c r="BH58" s="33"/>
      <c r="BI58" s="498"/>
      <c r="BJ58" s="498"/>
      <c r="BK58" s="499"/>
      <c r="BL58" s="499">
        <f t="shared" si="15"/>
        <v>5</v>
      </c>
      <c r="BM58" s="498"/>
      <c r="BN58" s="498"/>
      <c r="BO58" s="498"/>
      <c r="BP58" s="498"/>
      <c r="BQ58" s="498"/>
      <c r="BR58" s="498"/>
      <c r="BS58" s="498"/>
      <c r="BT58" s="498"/>
      <c r="BU58" s="19"/>
      <c r="BV58" s="19"/>
      <c r="BW58" s="19"/>
      <c r="BX58" s="19"/>
      <c r="BY58" s="19"/>
      <c r="BZ58" s="19"/>
      <c r="CA58" s="19"/>
      <c r="CB58" s="27"/>
      <c r="CC58" s="27"/>
    </row>
    <row r="59" spans="1:81" ht="38.25" hidden="1" customHeight="1">
      <c r="A59" s="761"/>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AA59" s="24"/>
      <c r="AF59" s="3"/>
      <c r="AG59" s="3"/>
      <c r="AH59" s="3"/>
      <c r="AI59" s="3"/>
      <c r="AJ59" s="3"/>
      <c r="BA59" s="498"/>
      <c r="BB59" s="500"/>
      <c r="BC59" s="499"/>
      <c r="BD59" s="499"/>
      <c r="BE59" s="499"/>
      <c r="BF59" s="499"/>
      <c r="BG59" s="963"/>
      <c r="BH59" s="33"/>
      <c r="BI59" s="498"/>
      <c r="BJ59" s="498"/>
      <c r="BK59" s="499" t="s">
        <v>3226</v>
      </c>
      <c r="BL59" s="499">
        <f t="shared" si="15"/>
        <v>6</v>
      </c>
      <c r="BM59" s="498"/>
      <c r="BN59" s="498"/>
      <c r="BO59" s="498"/>
      <c r="BP59" s="498"/>
      <c r="BQ59" s="498"/>
      <c r="BR59" s="498"/>
      <c r="BS59" s="498"/>
      <c r="BT59" s="498"/>
      <c r="BU59" s="19"/>
      <c r="BV59" s="19"/>
      <c r="BW59" s="19"/>
      <c r="BX59" s="19"/>
      <c r="BY59" s="19"/>
      <c r="BZ59" s="19"/>
      <c r="CA59" s="19"/>
      <c r="CB59" s="27"/>
      <c r="CC59" s="27"/>
    </row>
    <row r="60" spans="1:81" ht="38.25" hidden="1" customHeight="1">
      <c r="A60" s="761"/>
      <c r="B60" s="520"/>
      <c r="C60" s="520"/>
      <c r="D60" s="520"/>
      <c r="E60" s="520"/>
      <c r="F60" s="520"/>
      <c r="G60" s="520"/>
      <c r="H60" s="520"/>
      <c r="I60" s="520"/>
      <c r="J60" s="520"/>
      <c r="K60" s="520"/>
      <c r="L60" s="520"/>
      <c r="M60" s="520"/>
      <c r="N60" s="520"/>
      <c r="O60" s="520"/>
      <c r="P60" s="520"/>
      <c r="Q60" s="520"/>
      <c r="R60" s="520"/>
      <c r="S60" s="520"/>
      <c r="T60" s="520"/>
      <c r="U60" s="520"/>
      <c r="V60" s="520"/>
      <c r="W60" s="520"/>
      <c r="X60" s="520"/>
      <c r="AA60" s="24"/>
      <c r="AF60" s="3"/>
      <c r="AG60" s="3"/>
      <c r="AH60" s="3"/>
      <c r="AI60" s="3"/>
      <c r="AJ60" s="3"/>
      <c r="BA60" s="498"/>
      <c r="BB60" s="500"/>
      <c r="BC60" s="499"/>
      <c r="BD60" s="499"/>
      <c r="BE60" s="499"/>
      <c r="BF60" s="499"/>
      <c r="BG60" s="963"/>
      <c r="BH60" s="33"/>
      <c r="BI60" s="498"/>
      <c r="BJ60" s="498"/>
      <c r="BK60" s="499" t="s">
        <v>3227</v>
      </c>
      <c r="BL60" s="499">
        <f t="shared" si="15"/>
        <v>7</v>
      </c>
      <c r="BM60" s="498"/>
      <c r="BN60" s="498"/>
      <c r="BO60" s="498"/>
      <c r="BP60" s="498"/>
      <c r="BQ60" s="498"/>
      <c r="BR60" s="498"/>
      <c r="BS60" s="498"/>
      <c r="BT60" s="498"/>
      <c r="BU60" s="19"/>
      <c r="BV60" s="19"/>
      <c r="BW60" s="19"/>
      <c r="BX60" s="19"/>
      <c r="BY60" s="19"/>
      <c r="BZ60" s="19"/>
      <c r="CA60" s="19"/>
      <c r="CB60" s="27"/>
      <c r="CC60" s="27"/>
    </row>
    <row r="61" spans="1:81" ht="38.25" hidden="1" customHeight="1">
      <c r="A61" s="24"/>
      <c r="AA61" s="24"/>
      <c r="AF61" s="3"/>
      <c r="AG61" s="3"/>
      <c r="AH61" s="3"/>
      <c r="AI61" s="3"/>
      <c r="AJ61" s="3"/>
      <c r="BA61" s="498"/>
      <c r="BB61" s="500"/>
      <c r="BC61" s="499"/>
      <c r="BD61" s="499"/>
      <c r="BE61" s="499"/>
      <c r="BF61" s="499"/>
      <c r="BG61" s="33"/>
      <c r="BH61" s="33"/>
      <c r="BI61" s="498"/>
      <c r="BJ61" s="498"/>
      <c r="BK61" s="499"/>
      <c r="BL61" s="499">
        <f t="shared" si="15"/>
        <v>8</v>
      </c>
      <c r="BM61" s="498"/>
      <c r="BN61" s="498"/>
      <c r="BO61" s="498"/>
      <c r="BP61" s="498"/>
      <c r="BQ61" s="498"/>
      <c r="BR61" s="498"/>
      <c r="BS61" s="498"/>
      <c r="BT61" s="498"/>
      <c r="BU61" s="19"/>
      <c r="BV61" s="19"/>
      <c r="BW61" s="19"/>
      <c r="BX61" s="19"/>
      <c r="BY61" s="19"/>
      <c r="BZ61" s="19"/>
      <c r="CA61" s="19"/>
      <c r="CB61" s="27"/>
      <c r="CC61" s="27"/>
    </row>
    <row r="62" spans="1:81" ht="38.25" hidden="1" customHeight="1">
      <c r="A62" s="24"/>
      <c r="AA62" s="24"/>
      <c r="AF62" s="3"/>
      <c r="AG62" s="3"/>
      <c r="AH62" s="3"/>
      <c r="AI62" s="3"/>
      <c r="AJ62" s="3"/>
      <c r="BA62" s="498"/>
      <c r="BB62" s="500"/>
      <c r="BC62" s="499"/>
      <c r="BD62" s="499"/>
      <c r="BE62" s="499"/>
      <c r="BF62" s="499"/>
      <c r="BG62" s="198"/>
      <c r="BH62" s="498"/>
      <c r="BI62" s="498"/>
      <c r="BJ62" s="498"/>
      <c r="BK62" s="499"/>
      <c r="BL62" s="499">
        <f t="shared" si="15"/>
        <v>9</v>
      </c>
      <c r="BM62" s="498"/>
      <c r="BN62" s="498"/>
      <c r="BO62" s="498"/>
      <c r="BP62" s="498"/>
      <c r="BQ62" s="498"/>
      <c r="BR62" s="498"/>
      <c r="BS62" s="498"/>
      <c r="BT62" s="498"/>
      <c r="BU62" s="19"/>
      <c r="BV62" s="19"/>
      <c r="BW62" s="19"/>
      <c r="BX62" s="19"/>
      <c r="BY62" s="19"/>
      <c r="BZ62" s="19"/>
      <c r="CA62" s="19"/>
      <c r="CB62" s="27"/>
      <c r="CC62" s="27"/>
    </row>
    <row r="63" spans="1:81" ht="38.25" hidden="1" customHeight="1">
      <c r="A63" s="24"/>
      <c r="AA63" s="24"/>
      <c r="AF63" s="3"/>
      <c r="AG63" s="3"/>
      <c r="AH63" s="3"/>
      <c r="AI63" s="3"/>
      <c r="AJ63" s="3"/>
      <c r="BA63" s="498"/>
      <c r="BB63" s="498"/>
      <c r="BC63" s="499"/>
      <c r="BD63" s="499"/>
      <c r="BE63" s="499"/>
      <c r="BF63" s="499"/>
      <c r="BG63" s="509"/>
      <c r="BH63" s="498"/>
      <c r="BI63" s="498"/>
      <c r="BJ63" s="498"/>
      <c r="BK63" s="499"/>
      <c r="BL63" s="499">
        <f t="shared" si="15"/>
        <v>10</v>
      </c>
      <c r="BM63" s="498"/>
      <c r="BN63" s="498"/>
      <c r="BO63" s="498"/>
      <c r="BP63" s="498"/>
      <c r="BQ63" s="498"/>
      <c r="BR63" s="498"/>
      <c r="BS63" s="498"/>
      <c r="BT63" s="498"/>
      <c r="BU63" s="19"/>
      <c r="BV63" s="19"/>
      <c r="BW63" s="19"/>
      <c r="BX63" s="19"/>
      <c r="BY63" s="19"/>
      <c r="BZ63" s="19"/>
      <c r="CA63" s="19"/>
      <c r="CB63" s="27"/>
      <c r="CC63" s="27"/>
    </row>
    <row r="64" spans="1:81" ht="38.25" hidden="1" customHeight="1">
      <c r="A64" s="24"/>
      <c r="AA64" s="24"/>
      <c r="AF64" s="3"/>
      <c r="AG64" s="3"/>
      <c r="AH64" s="3"/>
      <c r="AI64" s="3"/>
      <c r="AJ64" s="3"/>
      <c r="BA64" s="498"/>
      <c r="BB64" s="503"/>
      <c r="BC64" s="499"/>
      <c r="BD64" s="499"/>
      <c r="BE64" s="499"/>
      <c r="BF64" s="499"/>
      <c r="BG64" s="504" t="s">
        <v>331</v>
      </c>
      <c r="BH64" s="498"/>
      <c r="BI64" s="498"/>
      <c r="BJ64" s="498"/>
      <c r="BK64" s="499"/>
      <c r="BL64" s="499">
        <f t="shared" si="15"/>
        <v>11</v>
      </c>
      <c r="BM64" s="498"/>
      <c r="BN64" s="498"/>
      <c r="BO64" s="498"/>
      <c r="BP64" s="498"/>
      <c r="BQ64" s="498"/>
      <c r="BR64" s="498"/>
      <c r="BS64" s="498"/>
      <c r="BT64" s="498"/>
      <c r="BU64" s="19"/>
      <c r="BV64" s="19"/>
      <c r="BW64" s="19"/>
      <c r="BX64" s="19"/>
      <c r="BY64" s="19"/>
      <c r="BZ64" s="19"/>
      <c r="CA64" s="19"/>
      <c r="CB64" s="27"/>
      <c r="CC64" s="27"/>
    </row>
    <row r="65" spans="1:81" ht="38.25" hidden="1" customHeight="1">
      <c r="A65" s="24"/>
      <c r="AA65" s="24"/>
      <c r="AF65" s="3"/>
      <c r="AG65" s="3"/>
      <c r="AH65" s="3"/>
      <c r="AI65" s="3"/>
      <c r="AJ65" s="3"/>
      <c r="BA65" s="498"/>
      <c r="BB65" s="500"/>
      <c r="BC65" s="498"/>
      <c r="BD65" s="498"/>
      <c r="BE65" s="498"/>
      <c r="BF65" s="498"/>
      <c r="BG65" s="954" t="s">
        <v>3056</v>
      </c>
      <c r="BH65" s="498"/>
      <c r="BI65" s="498"/>
      <c r="BJ65" s="498"/>
      <c r="BK65" s="499"/>
      <c r="BL65" s="499">
        <f t="shared" si="15"/>
        <v>12</v>
      </c>
      <c r="BM65" s="498"/>
      <c r="BN65" s="498"/>
      <c r="BO65" s="498"/>
      <c r="BP65" s="498"/>
      <c r="BQ65" s="498"/>
      <c r="BR65" s="498"/>
      <c r="BS65" s="498"/>
      <c r="BT65" s="498"/>
      <c r="BU65" s="19"/>
      <c r="BV65" s="19"/>
      <c r="BW65" s="19"/>
      <c r="BX65" s="19"/>
      <c r="BY65" s="19"/>
      <c r="BZ65" s="19"/>
      <c r="CA65" s="19"/>
      <c r="CB65" s="27"/>
      <c r="CC65" s="27"/>
    </row>
    <row r="66" spans="1:81" ht="38.25" hidden="1" customHeight="1">
      <c r="A66" s="24"/>
      <c r="AA66" s="24"/>
      <c r="AF66" s="3"/>
      <c r="AG66" s="3"/>
      <c r="AH66" s="3"/>
      <c r="AI66" s="3"/>
      <c r="AJ66" s="3"/>
      <c r="BA66" s="498"/>
      <c r="BB66" s="500"/>
      <c r="BC66" s="498"/>
      <c r="BD66" s="498"/>
      <c r="BE66" s="498"/>
      <c r="BF66" s="498"/>
      <c r="BG66" s="955"/>
      <c r="BH66" s="498"/>
      <c r="BI66" s="498"/>
      <c r="BJ66" s="498"/>
      <c r="BK66" s="499"/>
      <c r="BL66" s="499">
        <f t="shared" si="15"/>
        <v>13</v>
      </c>
      <c r="BM66" s="498"/>
      <c r="BN66" s="498"/>
      <c r="BO66" s="498"/>
      <c r="BP66" s="498"/>
      <c r="BQ66" s="498"/>
      <c r="BR66" s="498"/>
      <c r="BS66" s="498"/>
      <c r="BT66" s="498"/>
      <c r="BU66" s="19"/>
      <c r="BV66" s="19"/>
      <c r="BW66" s="19"/>
      <c r="BX66" s="19"/>
      <c r="BY66" s="19"/>
      <c r="BZ66" s="19"/>
      <c r="CA66" s="19"/>
      <c r="CB66" s="27"/>
      <c r="CC66" s="27"/>
    </row>
    <row r="67" spans="1:81" ht="38.25" hidden="1" customHeight="1">
      <c r="AF67" s="3"/>
      <c r="AG67" s="3"/>
      <c r="AH67" s="3"/>
      <c r="AI67" s="3"/>
      <c r="AJ67" s="3"/>
      <c r="BA67" s="498"/>
      <c r="BB67" s="500"/>
      <c r="BC67" s="498"/>
      <c r="BD67" s="498"/>
      <c r="BE67" s="498"/>
      <c r="BF67" s="498"/>
      <c r="BG67" s="955"/>
      <c r="BH67" s="498"/>
      <c r="BI67" s="498"/>
      <c r="BJ67" s="498"/>
      <c r="BK67" s="499"/>
      <c r="BL67" s="499">
        <f t="shared" si="15"/>
        <v>14</v>
      </c>
      <c r="BM67" s="498"/>
      <c r="BN67" s="498"/>
      <c r="BO67" s="498"/>
      <c r="BP67" s="498"/>
      <c r="BQ67" s="498"/>
      <c r="BR67" s="498"/>
      <c r="BS67" s="498"/>
      <c r="BT67" s="498"/>
      <c r="BU67" s="19"/>
      <c r="BV67" s="19"/>
      <c r="BW67" s="19"/>
      <c r="BX67" s="19"/>
      <c r="BY67" s="19"/>
      <c r="BZ67" s="19"/>
      <c r="CA67" s="19"/>
      <c r="CB67" s="27"/>
      <c r="CC67" s="27"/>
    </row>
    <row r="68" spans="1:81" ht="38.25" hidden="1" customHeight="1">
      <c r="AF68" s="3"/>
      <c r="AG68" s="3"/>
      <c r="AH68" s="3"/>
      <c r="AI68" s="3"/>
      <c r="AJ68" s="3"/>
      <c r="BA68" s="498"/>
      <c r="BB68" s="500"/>
      <c r="BC68" s="498"/>
      <c r="BD68" s="498"/>
      <c r="BE68" s="498"/>
      <c r="BF68" s="498"/>
      <c r="BG68" s="955"/>
      <c r="BH68" s="498"/>
      <c r="BI68" s="498"/>
      <c r="BJ68" s="498"/>
      <c r="BK68" s="499"/>
      <c r="BL68" s="499">
        <f t="shared" si="15"/>
        <v>15</v>
      </c>
      <c r="BM68" s="498"/>
      <c r="BN68" s="498"/>
      <c r="BO68" s="498"/>
      <c r="BP68" s="498"/>
      <c r="BQ68" s="498"/>
      <c r="BR68" s="498"/>
      <c r="BS68" s="498"/>
      <c r="BT68" s="498"/>
      <c r="BU68" s="19"/>
      <c r="BV68" s="19"/>
      <c r="BW68" s="19"/>
      <c r="BX68" s="19"/>
      <c r="BY68" s="19"/>
      <c r="BZ68" s="19"/>
      <c r="CA68" s="19"/>
      <c r="CB68" s="27"/>
      <c r="CC68" s="27"/>
    </row>
    <row r="69" spans="1:81" ht="38.25" hidden="1" customHeight="1">
      <c r="AF69" s="3"/>
      <c r="AG69" s="3"/>
      <c r="AH69" s="3"/>
      <c r="AI69" s="3"/>
      <c r="AJ69" s="3"/>
      <c r="BA69" s="498"/>
      <c r="BB69" s="500"/>
      <c r="BC69" s="498"/>
      <c r="BD69" s="498"/>
      <c r="BE69" s="498"/>
      <c r="BF69" s="498"/>
      <c r="BG69" s="955"/>
      <c r="BH69" s="498"/>
      <c r="BI69" s="498"/>
      <c r="BJ69" s="498"/>
      <c r="BK69" s="499"/>
      <c r="BL69" s="499">
        <f t="shared" si="15"/>
        <v>16</v>
      </c>
      <c r="BM69" s="498"/>
      <c r="BN69" s="498"/>
      <c r="BO69" s="498"/>
      <c r="BP69" s="498"/>
      <c r="BQ69" s="498"/>
      <c r="BR69" s="498"/>
      <c r="BS69" s="498"/>
      <c r="BT69" s="498"/>
      <c r="BU69" s="19"/>
      <c r="BV69" s="19"/>
      <c r="BW69" s="19"/>
      <c r="BX69" s="19"/>
      <c r="BY69" s="19"/>
      <c r="BZ69" s="19"/>
      <c r="CA69" s="19"/>
      <c r="CB69" s="27"/>
      <c r="CC69" s="27"/>
    </row>
    <row r="70" spans="1:81" ht="38.25" hidden="1" customHeight="1">
      <c r="AF70" s="3"/>
      <c r="AG70" s="3"/>
      <c r="AH70" s="3"/>
      <c r="AI70" s="3"/>
      <c r="AJ70" s="3"/>
      <c r="BA70" s="498"/>
      <c r="BB70" s="500"/>
      <c r="BC70" s="498"/>
      <c r="BD70" s="498"/>
      <c r="BE70" s="498"/>
      <c r="BF70" s="498"/>
      <c r="BG70" s="955"/>
      <c r="BH70" s="498"/>
      <c r="BI70" s="498"/>
      <c r="BJ70" s="498"/>
      <c r="BK70" s="499"/>
      <c r="BL70" s="499">
        <f t="shared" si="15"/>
        <v>17</v>
      </c>
      <c r="BM70" s="498"/>
      <c r="BN70" s="498"/>
      <c r="BO70" s="498"/>
      <c r="BP70" s="498"/>
      <c r="BQ70" s="498"/>
      <c r="BR70" s="498"/>
      <c r="BS70" s="498"/>
      <c r="BT70" s="498"/>
      <c r="BU70" s="19"/>
      <c r="BV70" s="19"/>
      <c r="BW70" s="19"/>
      <c r="BX70" s="19"/>
      <c r="BY70" s="19"/>
      <c r="BZ70" s="19"/>
      <c r="CA70" s="19"/>
      <c r="CB70" s="27"/>
      <c r="CC70" s="27"/>
    </row>
    <row r="71" spans="1:81" ht="38.25" hidden="1" customHeight="1">
      <c r="AF71" s="3"/>
      <c r="AG71" s="3"/>
      <c r="AH71" s="3"/>
      <c r="AI71" s="3"/>
      <c r="AJ71" s="3"/>
      <c r="BA71" s="498"/>
      <c r="BB71" s="500"/>
      <c r="BC71" s="498"/>
      <c r="BD71" s="498"/>
      <c r="BE71" s="498"/>
      <c r="BF71" s="498"/>
      <c r="BG71" s="954" t="s">
        <v>3056</v>
      </c>
      <c r="BH71" s="498"/>
      <c r="BI71" s="498"/>
      <c r="BJ71" s="498"/>
      <c r="BK71" s="499"/>
      <c r="BL71" s="499">
        <f t="shared" si="15"/>
        <v>18</v>
      </c>
      <c r="BM71" s="498"/>
      <c r="BN71" s="498"/>
      <c r="BO71" s="498"/>
      <c r="BP71" s="498"/>
      <c r="BQ71" s="498"/>
      <c r="BR71" s="498"/>
      <c r="BS71" s="498"/>
      <c r="BT71" s="498"/>
      <c r="BU71" s="19"/>
      <c r="BV71" s="19"/>
      <c r="BW71" s="19"/>
      <c r="BX71" s="19"/>
      <c r="BY71" s="19"/>
      <c r="BZ71" s="19"/>
      <c r="CA71" s="19"/>
      <c r="CB71" s="27"/>
      <c r="CC71" s="27"/>
    </row>
    <row r="72" spans="1:81" ht="38.25" hidden="1" customHeight="1">
      <c r="AF72" s="3"/>
      <c r="AG72" s="3"/>
      <c r="AH72" s="3"/>
      <c r="AI72" s="3"/>
      <c r="AJ72" s="3"/>
      <c r="BA72" s="498"/>
      <c r="BB72" s="500"/>
      <c r="BC72" s="498"/>
      <c r="BD72" s="498"/>
      <c r="BE72" s="498"/>
      <c r="BF72" s="498"/>
      <c r="BG72" s="956" t="s">
        <v>3057</v>
      </c>
      <c r="BH72" s="498"/>
      <c r="BI72" s="498"/>
      <c r="BJ72" s="498"/>
      <c r="BK72" s="499"/>
      <c r="BL72" s="499">
        <f t="shared" si="15"/>
        <v>19</v>
      </c>
      <c r="BM72" s="498"/>
      <c r="BN72" s="498"/>
      <c r="BO72" s="498"/>
      <c r="BP72" s="498"/>
      <c r="BQ72" s="498"/>
      <c r="BR72" s="498"/>
      <c r="BS72" s="498"/>
      <c r="BT72" s="498"/>
      <c r="BU72" s="19"/>
      <c r="BV72" s="19"/>
      <c r="BW72" s="19"/>
      <c r="BX72" s="19"/>
      <c r="BY72" s="19"/>
      <c r="BZ72" s="19"/>
      <c r="CA72" s="19"/>
      <c r="CB72" s="27"/>
      <c r="CC72" s="27"/>
    </row>
    <row r="73" spans="1:81" ht="38.25" hidden="1" customHeight="1">
      <c r="AF73" s="3"/>
      <c r="AG73" s="3"/>
      <c r="AH73" s="3"/>
      <c r="AI73" s="3"/>
      <c r="AJ73" s="3"/>
      <c r="BA73" s="498"/>
      <c r="BB73" s="500"/>
      <c r="BC73" s="498"/>
      <c r="BD73" s="498"/>
      <c r="BE73" s="498"/>
      <c r="BF73" s="498"/>
      <c r="BG73" s="957" t="s">
        <v>3058</v>
      </c>
      <c r="BH73" s="498"/>
      <c r="BI73" s="498"/>
      <c r="BJ73" s="498"/>
      <c r="BK73" s="499"/>
      <c r="BL73" s="499">
        <f t="shared" si="15"/>
        <v>20</v>
      </c>
      <c r="BM73" s="498"/>
      <c r="BN73" s="498"/>
      <c r="BO73" s="498"/>
      <c r="BP73" s="498"/>
      <c r="BQ73" s="498"/>
      <c r="BR73" s="498"/>
      <c r="BS73" s="498"/>
      <c r="BT73" s="498"/>
      <c r="BU73" s="19"/>
      <c r="BV73" s="19"/>
      <c r="BW73" s="19"/>
      <c r="BX73" s="19"/>
      <c r="BY73" s="19"/>
      <c r="BZ73" s="19"/>
      <c r="CA73" s="19"/>
      <c r="CB73" s="27"/>
      <c r="CC73" s="27"/>
    </row>
    <row r="74" spans="1:81" ht="38.25" hidden="1" customHeight="1">
      <c r="AF74" s="3"/>
      <c r="AG74" s="3"/>
      <c r="AH74" s="3"/>
      <c r="AI74" s="3"/>
      <c r="AJ74" s="3"/>
      <c r="BA74" s="498"/>
      <c r="BB74" s="500"/>
      <c r="BC74" s="498"/>
      <c r="BD74" s="498"/>
      <c r="BE74" s="498"/>
      <c r="BF74" s="958"/>
      <c r="BG74" s="958" t="s">
        <v>3060</v>
      </c>
      <c r="BH74" s="498"/>
      <c r="BI74" s="498"/>
      <c r="BJ74" s="498"/>
      <c r="BK74" s="499"/>
      <c r="BL74" s="499">
        <f t="shared" si="15"/>
        <v>21</v>
      </c>
      <c r="BM74" s="498"/>
      <c r="BN74" s="498"/>
      <c r="BO74" s="498"/>
      <c r="BP74" s="498"/>
      <c r="BQ74" s="498"/>
      <c r="BR74" s="498"/>
      <c r="BS74" s="498"/>
      <c r="BT74" s="498"/>
      <c r="BU74" s="19"/>
      <c r="BV74" s="19"/>
      <c r="BW74" s="19"/>
      <c r="BX74" s="19"/>
      <c r="BY74" s="19"/>
      <c r="BZ74" s="19"/>
      <c r="CA74" s="19"/>
      <c r="CB74" s="27"/>
      <c r="CC74" s="27"/>
    </row>
    <row r="75" spans="1:81" ht="38.25" hidden="1" customHeight="1">
      <c r="AF75" s="3"/>
      <c r="AG75" s="3"/>
      <c r="AH75" s="3"/>
      <c r="AI75" s="3"/>
      <c r="AJ75" s="3"/>
      <c r="BA75" s="498"/>
      <c r="BB75" s="500"/>
      <c r="BC75" s="498"/>
      <c r="BD75" s="498"/>
      <c r="BE75" s="498"/>
      <c r="BF75" s="498"/>
      <c r="BG75" s="958" t="s">
        <v>3059</v>
      </c>
      <c r="BH75" s="498"/>
      <c r="BI75" s="498"/>
      <c r="BJ75" s="498"/>
      <c r="BK75" s="499"/>
      <c r="BL75" s="499">
        <f t="shared" si="15"/>
        <v>22</v>
      </c>
      <c r="BM75" s="498"/>
      <c r="BN75" s="498"/>
      <c r="BO75" s="498"/>
      <c r="BP75" s="498"/>
      <c r="BQ75" s="498"/>
      <c r="BR75" s="498"/>
      <c r="BS75" s="498"/>
      <c r="BT75" s="498"/>
      <c r="BU75" s="19"/>
      <c r="BV75" s="19"/>
      <c r="BW75" s="19"/>
      <c r="BX75" s="19"/>
      <c r="BY75" s="19"/>
      <c r="BZ75" s="19"/>
      <c r="CA75" s="19"/>
      <c r="CB75" s="27"/>
      <c r="CC75" s="27"/>
    </row>
    <row r="76" spans="1:81" ht="38.25" hidden="1" customHeight="1">
      <c r="AF76" s="3"/>
      <c r="AG76" s="3"/>
      <c r="AH76" s="3"/>
      <c r="AI76" s="3"/>
      <c r="AJ76" s="3"/>
      <c r="BA76" s="498"/>
      <c r="BB76" s="500"/>
      <c r="BC76" s="498"/>
      <c r="BD76" s="498"/>
      <c r="BE76" s="498"/>
      <c r="BF76" s="958"/>
      <c r="BG76" s="958" t="s">
        <v>3063</v>
      </c>
      <c r="BH76" s="498"/>
      <c r="BI76" s="498"/>
      <c r="BJ76" s="498"/>
      <c r="BK76" s="499"/>
      <c r="BL76" s="499">
        <f t="shared" si="15"/>
        <v>23</v>
      </c>
      <c r="BM76" s="498"/>
      <c r="BN76" s="498"/>
      <c r="BO76" s="498"/>
      <c r="BP76" s="498"/>
      <c r="BQ76" s="498"/>
      <c r="BR76" s="498"/>
      <c r="BS76" s="498"/>
      <c r="BT76" s="498"/>
      <c r="BU76" s="19"/>
      <c r="BV76" s="19"/>
      <c r="BW76" s="19"/>
      <c r="BX76" s="19"/>
      <c r="BY76" s="19"/>
      <c r="BZ76" s="19"/>
      <c r="CA76" s="19"/>
      <c r="CB76" s="27"/>
      <c r="CC76" s="27"/>
    </row>
    <row r="77" spans="1:81" ht="38.25" hidden="1" customHeight="1">
      <c r="AF77" s="3"/>
      <c r="AG77" s="3"/>
      <c r="AH77" s="3"/>
      <c r="AI77" s="3"/>
      <c r="AJ77" s="3"/>
      <c r="BA77" s="498"/>
      <c r="BB77" s="500"/>
      <c r="BC77" s="498"/>
      <c r="BD77" s="498"/>
      <c r="BE77" s="498"/>
      <c r="BF77" s="958"/>
      <c r="BG77" s="958" t="s">
        <v>3062</v>
      </c>
      <c r="BH77" s="498"/>
      <c r="BI77" s="498"/>
      <c r="BJ77" s="498"/>
      <c r="BK77" s="499"/>
      <c r="BL77" s="499">
        <f>BL76+1</f>
        <v>24</v>
      </c>
      <c r="BM77" s="498"/>
      <c r="BN77" s="498"/>
      <c r="BO77" s="498"/>
      <c r="BP77" s="498"/>
      <c r="BQ77" s="498"/>
      <c r="BR77" s="498"/>
      <c r="BS77" s="498"/>
      <c r="BT77" s="498"/>
      <c r="BU77" s="19"/>
      <c r="BV77" s="19"/>
      <c r="BW77" s="19"/>
      <c r="BX77" s="19"/>
      <c r="BY77" s="19"/>
      <c r="BZ77" s="19"/>
      <c r="CA77" s="19"/>
      <c r="CB77" s="27"/>
      <c r="CC77" s="27"/>
    </row>
    <row r="78" spans="1:81" ht="38.25" hidden="1" customHeight="1">
      <c r="AF78" s="3"/>
      <c r="AG78" s="3"/>
      <c r="AH78" s="3"/>
      <c r="AI78" s="3"/>
      <c r="AJ78" s="3"/>
      <c r="BA78" s="498"/>
      <c r="BB78" s="503"/>
      <c r="BC78" s="498"/>
      <c r="BD78" s="498"/>
      <c r="BE78" s="498"/>
      <c r="BF78" s="958"/>
      <c r="BG78" s="958" t="s">
        <v>3061</v>
      </c>
      <c r="BH78" s="498"/>
      <c r="BI78" s="498"/>
      <c r="BJ78" s="498"/>
      <c r="BK78" s="499"/>
      <c r="BL78" s="499">
        <f t="shared" si="15"/>
        <v>25</v>
      </c>
      <c r="BM78" s="498"/>
      <c r="BN78" s="498"/>
      <c r="BO78" s="498"/>
      <c r="BP78" s="498"/>
      <c r="BQ78" s="498"/>
      <c r="BR78" s="498"/>
      <c r="BS78" s="498"/>
      <c r="BT78" s="498"/>
      <c r="BU78" s="19"/>
      <c r="BV78" s="19"/>
      <c r="BW78" s="19"/>
      <c r="BX78" s="19"/>
      <c r="BY78" s="19"/>
      <c r="BZ78" s="19"/>
      <c r="CA78" s="19"/>
      <c r="CB78" s="27"/>
      <c r="CC78" s="27"/>
    </row>
    <row r="79" spans="1:81" ht="38.25" hidden="1" customHeight="1">
      <c r="AF79" s="3"/>
      <c r="AG79" s="3"/>
      <c r="AH79" s="3"/>
      <c r="AI79" s="3"/>
      <c r="AJ79" s="3"/>
      <c r="BA79" s="498"/>
      <c r="BB79" s="500"/>
      <c r="BC79" s="498"/>
      <c r="BD79" s="498"/>
      <c r="BE79" s="498"/>
      <c r="BF79" s="959"/>
      <c r="BG79" s="959" t="s">
        <v>3065</v>
      </c>
      <c r="BH79" s="498"/>
      <c r="BI79" s="498"/>
      <c r="BJ79" s="498"/>
      <c r="BK79" s="499"/>
      <c r="BL79" s="499">
        <f t="shared" si="15"/>
        <v>26</v>
      </c>
      <c r="BM79" s="498"/>
      <c r="BN79" s="498"/>
      <c r="BO79" s="498"/>
      <c r="BP79" s="498"/>
      <c r="BQ79" s="498"/>
      <c r="BR79" s="498"/>
      <c r="BS79" s="498"/>
      <c r="BT79" s="498"/>
      <c r="BU79" s="19"/>
      <c r="BV79" s="19"/>
      <c r="BW79" s="19"/>
      <c r="BX79" s="19"/>
      <c r="BY79" s="19"/>
      <c r="BZ79" s="19"/>
      <c r="CA79" s="19"/>
      <c r="CB79" s="27"/>
      <c r="CC79" s="27"/>
    </row>
    <row r="80" spans="1:81" ht="38.25" hidden="1" customHeight="1">
      <c r="AF80" s="3"/>
      <c r="AG80" s="3"/>
      <c r="AH80" s="3"/>
      <c r="AI80" s="3"/>
      <c r="AJ80" s="3"/>
      <c r="BA80" s="498"/>
      <c r="BB80" s="500"/>
      <c r="BC80" s="498"/>
      <c r="BD80" s="498"/>
      <c r="BE80" s="498"/>
      <c r="BF80" s="498"/>
      <c r="BG80" s="959" t="s">
        <v>3064</v>
      </c>
      <c r="BH80" s="498"/>
      <c r="BI80" s="498"/>
      <c r="BJ80" s="498"/>
      <c r="BK80" s="499"/>
      <c r="BL80" s="499">
        <f t="shared" si="15"/>
        <v>27</v>
      </c>
      <c r="BM80" s="498"/>
      <c r="BN80" s="498"/>
      <c r="BO80" s="498"/>
      <c r="BP80" s="498"/>
      <c r="BQ80" s="498"/>
      <c r="BR80" s="498"/>
      <c r="BS80" s="498"/>
      <c r="BT80" s="498"/>
      <c r="BU80" s="19"/>
      <c r="BV80" s="19"/>
      <c r="BW80" s="19"/>
      <c r="BX80" s="19"/>
      <c r="BY80" s="19"/>
      <c r="BZ80" s="19"/>
      <c r="CA80" s="19"/>
      <c r="CB80" s="27"/>
      <c r="CC80" s="27"/>
    </row>
    <row r="81" spans="32:81" ht="38.25" hidden="1" customHeight="1">
      <c r="AF81" s="3"/>
      <c r="AG81" s="3"/>
      <c r="AH81" s="3"/>
      <c r="AI81" s="3"/>
      <c r="AJ81" s="3"/>
      <c r="BA81" s="498"/>
      <c r="BB81" s="498"/>
      <c r="BC81" s="498"/>
      <c r="BD81" s="498"/>
      <c r="BE81" s="498"/>
      <c r="BF81" s="498"/>
      <c r="BG81" s="500"/>
      <c r="BH81" s="498"/>
      <c r="BI81" s="498"/>
      <c r="BJ81" s="498"/>
      <c r="BK81" s="499"/>
      <c r="BL81" s="499">
        <f t="shared" si="15"/>
        <v>28</v>
      </c>
      <c r="BM81" s="498"/>
      <c r="BN81" s="498"/>
      <c r="BO81" s="498"/>
      <c r="BP81" s="498"/>
      <c r="BQ81" s="498"/>
      <c r="BR81" s="498"/>
      <c r="BS81" s="498"/>
      <c r="BT81" s="498"/>
      <c r="BU81" s="19"/>
      <c r="BV81" s="19"/>
      <c r="BW81" s="19"/>
      <c r="BX81" s="19"/>
      <c r="BY81" s="19"/>
      <c r="BZ81" s="19"/>
      <c r="CA81" s="19"/>
      <c r="CB81" s="27"/>
      <c r="CC81" s="27"/>
    </row>
    <row r="82" spans="32:81" ht="38.25" hidden="1" customHeight="1">
      <c r="AF82" s="3"/>
      <c r="AG82" s="3"/>
      <c r="AH82" s="3"/>
      <c r="AI82" s="3"/>
      <c r="AJ82" s="3"/>
      <c r="BA82" s="498"/>
      <c r="BB82" s="503"/>
      <c r="BC82" s="498"/>
      <c r="BD82" s="498"/>
      <c r="BE82" s="498"/>
      <c r="BF82" s="498"/>
      <c r="BG82" s="500"/>
      <c r="BH82" s="498"/>
      <c r="BI82" s="498"/>
      <c r="BJ82" s="498"/>
      <c r="BK82" s="499"/>
      <c r="BL82" s="499">
        <f t="shared" si="15"/>
        <v>29</v>
      </c>
      <c r="BM82" s="498"/>
      <c r="BN82" s="498"/>
      <c r="BO82" s="498"/>
      <c r="BP82" s="498"/>
      <c r="BQ82" s="498"/>
      <c r="BR82" s="498"/>
      <c r="BS82" s="498"/>
      <c r="BT82" s="498"/>
      <c r="BU82" s="19"/>
      <c r="BV82" s="19"/>
      <c r="BW82" s="19"/>
      <c r="BX82" s="19"/>
      <c r="BY82" s="19"/>
      <c r="BZ82" s="19"/>
      <c r="CA82" s="19"/>
      <c r="CB82" s="27"/>
      <c r="CC82" s="27"/>
    </row>
    <row r="83" spans="32:81" ht="38.25" hidden="1" customHeight="1">
      <c r="AF83" s="3"/>
      <c r="AG83" s="3"/>
      <c r="AH83" s="3"/>
      <c r="AI83" s="3"/>
      <c r="AJ83" s="3"/>
      <c r="BA83" s="498"/>
      <c r="BB83" s="500"/>
      <c r="BC83" s="498"/>
      <c r="BD83" s="498"/>
      <c r="BE83" s="498"/>
      <c r="BF83" s="498"/>
      <c r="BG83" s="500"/>
      <c r="BH83" s="498"/>
      <c r="BI83" s="498"/>
      <c r="BJ83" s="498"/>
      <c r="BK83" s="499"/>
      <c r="BL83" s="499">
        <f t="shared" si="15"/>
        <v>30</v>
      </c>
      <c r="BM83" s="498"/>
      <c r="BN83" s="498"/>
      <c r="BO83" s="498"/>
      <c r="BP83" s="498"/>
      <c r="BQ83" s="498"/>
      <c r="BR83" s="498"/>
      <c r="BS83" s="498"/>
      <c r="BT83" s="498"/>
      <c r="BU83" s="19"/>
      <c r="BV83" s="19"/>
      <c r="BW83" s="19"/>
      <c r="BX83" s="19"/>
      <c r="BY83" s="19"/>
      <c r="BZ83" s="19"/>
      <c r="CA83" s="19"/>
      <c r="CB83" s="27"/>
      <c r="CC83" s="27"/>
    </row>
    <row r="84" spans="32:81" ht="38.25" hidden="1" customHeight="1">
      <c r="AF84" s="3"/>
      <c r="AG84" s="3"/>
      <c r="AH84" s="3"/>
      <c r="AI84" s="3"/>
      <c r="AJ84" s="3"/>
      <c r="BA84" s="498"/>
      <c r="BB84" s="500"/>
      <c r="BC84" s="498"/>
      <c r="BD84" s="498"/>
      <c r="BE84" s="498"/>
      <c r="BF84" s="498"/>
      <c r="BG84" s="503"/>
      <c r="BH84" s="498"/>
      <c r="BI84" s="498"/>
      <c r="BJ84" s="498"/>
      <c r="BK84" s="499"/>
      <c r="BL84" s="499">
        <f t="shared" si="15"/>
        <v>31</v>
      </c>
      <c r="BM84" s="498"/>
      <c r="BN84" s="498"/>
      <c r="BO84" s="498"/>
      <c r="BP84" s="498"/>
      <c r="BQ84" s="498"/>
      <c r="BR84" s="498"/>
      <c r="BS84" s="498"/>
      <c r="BT84" s="498"/>
      <c r="BU84" s="19"/>
      <c r="BV84" s="19"/>
      <c r="BW84" s="19"/>
      <c r="BX84" s="19"/>
      <c r="BY84" s="19"/>
      <c r="BZ84" s="19"/>
      <c r="CA84" s="19"/>
      <c r="CB84" s="27"/>
      <c r="CC84" s="27"/>
    </row>
    <row r="85" spans="32:81" ht="38.25" hidden="1" customHeight="1">
      <c r="AF85" s="3"/>
      <c r="AG85" s="3"/>
      <c r="AH85" s="3"/>
      <c r="AI85" s="3"/>
      <c r="AJ85" s="3"/>
      <c r="BA85" s="498"/>
      <c r="BB85" s="500"/>
      <c r="BC85" s="498"/>
      <c r="BD85" s="498"/>
      <c r="BE85" s="498"/>
      <c r="BF85" s="498"/>
      <c r="BG85" s="33"/>
      <c r="BH85" s="498"/>
      <c r="BI85" s="498"/>
      <c r="BJ85" s="498"/>
      <c r="BK85" s="498"/>
      <c r="BL85" s="498"/>
      <c r="BM85" s="498"/>
      <c r="BN85" s="498"/>
      <c r="BO85" s="498"/>
      <c r="BP85" s="498"/>
      <c r="BQ85" s="498"/>
      <c r="BR85" s="498"/>
      <c r="BS85" s="498"/>
      <c r="BT85" s="498"/>
      <c r="BU85" s="19"/>
      <c r="BV85" s="19"/>
      <c r="BW85" s="19"/>
      <c r="BX85" s="19"/>
      <c r="BY85" s="19"/>
      <c r="BZ85" s="19"/>
      <c r="CA85" s="19"/>
      <c r="CB85" s="27"/>
      <c r="CC85" s="27"/>
    </row>
    <row r="86" spans="32:81" ht="38.25" hidden="1" customHeight="1">
      <c r="AF86" s="3"/>
      <c r="AG86" s="3"/>
      <c r="AH86" s="3"/>
      <c r="AI86" s="3"/>
      <c r="AJ86" s="3"/>
      <c r="BA86" s="498"/>
      <c r="BB86" s="500"/>
      <c r="BC86" s="498"/>
      <c r="BD86" s="498"/>
      <c r="BE86" s="498"/>
      <c r="BF86" s="498"/>
      <c r="BG86" s="503" t="s">
        <v>244</v>
      </c>
      <c r="BH86" s="498"/>
      <c r="BI86" s="498"/>
      <c r="BJ86" s="498"/>
      <c r="BK86" s="498"/>
      <c r="BL86" s="498"/>
      <c r="BM86" s="498"/>
      <c r="BN86" s="498"/>
      <c r="BO86" s="498"/>
      <c r="BP86" s="498"/>
      <c r="BQ86" s="498"/>
      <c r="BR86" s="498"/>
      <c r="BS86" s="498"/>
      <c r="BT86" s="498"/>
      <c r="BU86" s="19"/>
      <c r="BV86" s="19"/>
      <c r="BW86" s="19"/>
      <c r="BX86" s="19"/>
      <c r="BY86" s="19"/>
      <c r="BZ86" s="19"/>
      <c r="CA86" s="19"/>
      <c r="CB86" s="27"/>
      <c r="CC86" s="27"/>
    </row>
    <row r="87" spans="32:81" ht="38.25" hidden="1" customHeight="1">
      <c r="AF87" s="3"/>
      <c r="AG87" s="3"/>
      <c r="AH87" s="3"/>
      <c r="AI87" s="3"/>
      <c r="AJ87" s="3"/>
      <c r="BA87" s="498"/>
      <c r="BB87" s="500"/>
      <c r="BC87" s="498"/>
      <c r="BD87" s="498"/>
      <c r="BE87" s="498"/>
      <c r="BF87" s="498"/>
      <c r="BG87" s="960" t="s">
        <v>3066</v>
      </c>
      <c r="BH87" s="498"/>
      <c r="BI87" s="498"/>
      <c r="BJ87" s="498"/>
      <c r="BK87" s="498"/>
      <c r="BL87" s="498"/>
      <c r="BM87" s="498"/>
      <c r="BN87" s="498"/>
      <c r="BO87" s="498"/>
      <c r="BP87" s="498"/>
      <c r="BQ87" s="498"/>
      <c r="BR87" s="498"/>
      <c r="BS87" s="498"/>
      <c r="BT87" s="498"/>
      <c r="BU87" s="19"/>
      <c r="BV87" s="19"/>
      <c r="BW87" s="19"/>
      <c r="BX87" s="19"/>
      <c r="BY87" s="19"/>
      <c r="BZ87" s="19"/>
      <c r="CA87" s="19"/>
      <c r="CB87" s="27"/>
      <c r="CC87" s="27"/>
    </row>
    <row r="88" spans="32:81" ht="38.25" hidden="1" customHeight="1">
      <c r="AF88" s="3"/>
      <c r="AG88" s="3"/>
      <c r="AH88" s="3"/>
      <c r="AI88" s="3"/>
      <c r="AJ88" s="3"/>
      <c r="BA88" s="498"/>
      <c r="BB88" s="500"/>
      <c r="BC88" s="498"/>
      <c r="BD88" s="498"/>
      <c r="BE88" s="498"/>
      <c r="BF88" s="498"/>
      <c r="BG88" s="954" t="s">
        <v>2972</v>
      </c>
      <c r="BH88" s="498"/>
      <c r="BI88" s="498"/>
      <c r="BJ88" s="498"/>
      <c r="BK88" s="498"/>
      <c r="BL88" s="498"/>
      <c r="BM88" s="498"/>
      <c r="BN88" s="498"/>
      <c r="BO88" s="498"/>
      <c r="BP88" s="498"/>
      <c r="BQ88" s="498"/>
      <c r="BR88" s="498"/>
      <c r="BS88" s="498"/>
      <c r="BT88" s="498"/>
      <c r="BU88" s="19"/>
      <c r="BV88" s="19"/>
      <c r="BW88" s="19"/>
      <c r="BX88" s="19"/>
      <c r="BY88" s="19"/>
      <c r="BZ88" s="19"/>
      <c r="CA88" s="19"/>
      <c r="CB88" s="27"/>
      <c r="CC88" s="27"/>
    </row>
    <row r="89" spans="32:81" ht="38.25" hidden="1" customHeight="1">
      <c r="AF89" s="3"/>
      <c r="AG89" s="3"/>
      <c r="AH89" s="3"/>
      <c r="AI89" s="3"/>
      <c r="AJ89" s="3"/>
      <c r="BA89" s="498"/>
      <c r="BB89" s="498"/>
      <c r="BC89" s="498"/>
      <c r="BD89" s="498"/>
      <c r="BE89" s="498"/>
      <c r="BF89" s="498"/>
      <c r="BG89" s="954" t="s">
        <v>3067</v>
      </c>
      <c r="BH89" s="498"/>
      <c r="BI89" s="498"/>
      <c r="BJ89" s="498"/>
      <c r="BK89" s="498"/>
      <c r="BL89" s="498"/>
      <c r="BM89" s="498"/>
      <c r="BN89" s="498"/>
      <c r="BO89" s="498"/>
      <c r="BP89" s="498"/>
      <c r="BQ89" s="498"/>
      <c r="BR89" s="498"/>
      <c r="BS89" s="498"/>
      <c r="BT89" s="498"/>
      <c r="BU89" s="19"/>
      <c r="BV89" s="19"/>
      <c r="BW89" s="19"/>
      <c r="BX89" s="19"/>
      <c r="BY89" s="19"/>
      <c r="BZ89" s="19"/>
      <c r="CA89" s="19"/>
      <c r="CB89" s="27"/>
      <c r="CC89" s="27"/>
    </row>
    <row r="90" spans="32:81" ht="38.25" hidden="1" customHeight="1">
      <c r="AF90" s="3"/>
      <c r="AG90" s="3"/>
      <c r="AH90" s="3"/>
      <c r="AI90" s="3"/>
      <c r="AJ90" s="3"/>
      <c r="BA90" s="498"/>
      <c r="BB90" s="498"/>
      <c r="BC90" s="498"/>
      <c r="BD90" s="498"/>
      <c r="BE90" s="498"/>
      <c r="BF90" s="498"/>
      <c r="BG90" s="951" t="s">
        <v>3046</v>
      </c>
      <c r="BH90" s="498"/>
      <c r="BI90" s="498"/>
      <c r="BJ90" s="498"/>
      <c r="BK90" s="498"/>
      <c r="BL90" s="498"/>
      <c r="BM90" s="498"/>
      <c r="BN90" s="498"/>
      <c r="BO90" s="498"/>
      <c r="BP90" s="498"/>
      <c r="BQ90" s="498"/>
      <c r="BR90" s="498"/>
      <c r="BS90" s="498"/>
      <c r="BT90" s="498"/>
      <c r="BU90" s="19"/>
      <c r="BV90" s="19"/>
      <c r="BW90" s="19"/>
      <c r="BX90" s="19"/>
      <c r="BY90" s="19"/>
      <c r="BZ90" s="19"/>
      <c r="CA90" s="19"/>
      <c r="CB90" s="27"/>
      <c r="CC90" s="27"/>
    </row>
    <row r="91" spans="32:81" ht="38.25" hidden="1" customHeight="1">
      <c r="AF91" s="3"/>
      <c r="AG91" s="3"/>
      <c r="AH91" s="3"/>
      <c r="AI91" s="3"/>
      <c r="AJ91" s="3"/>
      <c r="BA91" s="498"/>
      <c r="BB91" s="498"/>
      <c r="BC91" s="498"/>
      <c r="BD91" s="498"/>
      <c r="BE91" s="498"/>
      <c r="BF91" s="498"/>
      <c r="BG91" s="951" t="s">
        <v>3047</v>
      </c>
      <c r="BH91" s="498"/>
      <c r="BI91" s="498"/>
      <c r="BJ91" s="498"/>
      <c r="BK91" s="498"/>
      <c r="BL91" s="498"/>
      <c r="BM91" s="498"/>
      <c r="BN91" s="498"/>
      <c r="BO91" s="498"/>
      <c r="BP91" s="498"/>
      <c r="BQ91" s="498"/>
      <c r="BR91" s="498"/>
      <c r="BS91" s="498"/>
      <c r="BT91" s="498"/>
      <c r="BU91" s="19"/>
      <c r="BV91" s="19"/>
      <c r="BW91" s="19"/>
      <c r="BX91" s="19"/>
      <c r="BY91" s="19"/>
      <c r="BZ91" s="19"/>
      <c r="CA91" s="19"/>
      <c r="CB91" s="27"/>
      <c r="CC91" s="27"/>
    </row>
    <row r="92" spans="32:81" ht="38.25" hidden="1" customHeight="1">
      <c r="AF92" s="3"/>
      <c r="AG92" s="3"/>
      <c r="AH92" s="3"/>
      <c r="AI92" s="3"/>
      <c r="AJ92" s="3"/>
      <c r="BA92" s="498"/>
      <c r="BB92" s="498"/>
      <c r="BC92" s="498"/>
      <c r="BD92" s="498"/>
      <c r="BE92" s="498"/>
      <c r="BF92" s="498"/>
      <c r="BG92" s="951" t="s">
        <v>3048</v>
      </c>
      <c r="BH92" s="498"/>
      <c r="BI92" s="498"/>
      <c r="BJ92" s="498"/>
      <c r="BK92" s="498"/>
      <c r="BL92" s="498"/>
      <c r="BM92" s="498"/>
      <c r="BN92" s="498"/>
      <c r="BO92" s="498"/>
      <c r="BP92" s="498"/>
      <c r="BQ92" s="498"/>
      <c r="BR92" s="498"/>
      <c r="BS92" s="498"/>
      <c r="BT92" s="498"/>
      <c r="BU92" s="19"/>
      <c r="BV92" s="19"/>
      <c r="BW92" s="19"/>
      <c r="BX92" s="19"/>
      <c r="BY92" s="19"/>
      <c r="BZ92" s="19"/>
      <c r="CA92" s="19"/>
      <c r="CB92" s="27"/>
      <c r="CC92" s="27"/>
    </row>
    <row r="93" spans="32:81" ht="38.25" hidden="1" customHeight="1">
      <c r="AF93" s="3"/>
      <c r="AG93" s="3"/>
      <c r="AH93" s="3"/>
      <c r="AI93" s="3"/>
      <c r="AJ93" s="3"/>
      <c r="BA93" s="498"/>
      <c r="BB93" s="498"/>
      <c r="BC93" s="498"/>
      <c r="BD93" s="498"/>
      <c r="BE93" s="498"/>
      <c r="BF93" s="498"/>
      <c r="BG93" s="951" t="s">
        <v>3049</v>
      </c>
      <c r="BH93" s="498"/>
      <c r="BI93" s="498"/>
      <c r="BJ93" s="498"/>
      <c r="BK93" s="498"/>
      <c r="BL93" s="498"/>
      <c r="BM93" s="498"/>
      <c r="BN93" s="498"/>
      <c r="BO93" s="498"/>
      <c r="BP93" s="498"/>
      <c r="BQ93" s="498"/>
      <c r="BR93" s="498"/>
      <c r="BS93" s="498"/>
      <c r="BT93" s="498"/>
      <c r="BU93" s="19"/>
      <c r="BV93" s="19"/>
      <c r="BW93" s="19"/>
      <c r="BX93" s="19"/>
      <c r="BY93" s="19"/>
      <c r="BZ93" s="19"/>
      <c r="CA93" s="19"/>
      <c r="CB93" s="27"/>
      <c r="CC93" s="27"/>
    </row>
    <row r="94" spans="32:81" ht="38.25" hidden="1" customHeight="1">
      <c r="AF94" s="3"/>
      <c r="AG94" s="3"/>
      <c r="AH94" s="3"/>
      <c r="AI94" s="3"/>
      <c r="AJ94" s="3"/>
      <c r="BA94" s="498"/>
      <c r="BB94" s="498"/>
      <c r="BC94" s="498"/>
      <c r="BD94" s="498"/>
      <c r="BE94" s="498"/>
      <c r="BF94" s="498"/>
      <c r="BG94" s="951" t="s">
        <v>3050</v>
      </c>
      <c r="BH94" s="498"/>
      <c r="BI94" s="498"/>
      <c r="BJ94" s="498"/>
      <c r="BK94" s="498"/>
      <c r="BL94" s="498"/>
      <c r="BM94" s="498"/>
      <c r="BN94" s="498"/>
      <c r="BO94" s="498"/>
      <c r="BP94" s="498"/>
      <c r="BQ94" s="498"/>
      <c r="BR94" s="498"/>
      <c r="BS94" s="498"/>
      <c r="BT94" s="498"/>
      <c r="BU94" s="19"/>
      <c r="BV94" s="19"/>
      <c r="BW94" s="19"/>
      <c r="BX94" s="19"/>
      <c r="BY94" s="19"/>
      <c r="BZ94" s="19"/>
      <c r="CA94" s="19"/>
      <c r="CB94" s="27"/>
      <c r="CC94" s="27"/>
    </row>
    <row r="95" spans="32:81" ht="38.25" hidden="1" customHeight="1">
      <c r="AF95" s="3"/>
      <c r="AG95" s="3"/>
      <c r="AH95" s="3"/>
      <c r="AI95" s="3"/>
      <c r="AJ95" s="3"/>
      <c r="BA95" s="498"/>
      <c r="BB95" s="498"/>
      <c r="BC95" s="498"/>
      <c r="BD95" s="498"/>
      <c r="BE95" s="498"/>
      <c r="BF95" s="498"/>
      <c r="BG95" s="507" t="s">
        <v>2929</v>
      </c>
      <c r="BH95" s="498"/>
      <c r="BI95" s="498"/>
      <c r="BJ95" s="498"/>
      <c r="BK95" s="498"/>
      <c r="BL95" s="498"/>
      <c r="BM95" s="498"/>
      <c r="BN95" s="498"/>
      <c r="BO95" s="498"/>
      <c r="BP95" s="498"/>
      <c r="BQ95" s="498"/>
      <c r="BR95" s="498"/>
      <c r="BS95" s="498"/>
      <c r="BT95" s="498"/>
      <c r="BU95" s="19"/>
      <c r="BV95" s="19"/>
      <c r="BW95" s="19"/>
      <c r="BX95" s="19"/>
      <c r="BY95" s="19"/>
      <c r="BZ95" s="19"/>
      <c r="CA95" s="19"/>
      <c r="CB95" s="27"/>
      <c r="CC95" s="27"/>
    </row>
    <row r="96" spans="32:81" ht="38.25" hidden="1" customHeight="1">
      <c r="AF96" s="3"/>
      <c r="AG96" s="3"/>
      <c r="AH96" s="3"/>
      <c r="AI96" s="3"/>
      <c r="AJ96" s="3"/>
      <c r="BA96" s="498"/>
      <c r="BB96" s="498"/>
      <c r="BC96" s="498"/>
      <c r="BD96" s="498"/>
      <c r="BE96" s="498"/>
      <c r="BF96" s="498"/>
      <c r="BG96" s="507"/>
      <c r="BH96" s="498"/>
      <c r="BI96" s="498"/>
      <c r="BJ96" s="498"/>
      <c r="BK96" s="498"/>
      <c r="BL96" s="498"/>
      <c r="BM96" s="498"/>
      <c r="BN96" s="498"/>
      <c r="BO96" s="498"/>
      <c r="BP96" s="498"/>
      <c r="BQ96" s="498"/>
      <c r="BR96" s="498"/>
      <c r="BS96" s="498"/>
      <c r="BT96" s="498"/>
      <c r="BU96" s="19"/>
      <c r="BV96" s="19"/>
      <c r="BW96" s="19"/>
      <c r="BX96" s="19"/>
      <c r="BY96" s="19"/>
      <c r="BZ96" s="19"/>
      <c r="CA96" s="19"/>
      <c r="CB96" s="27"/>
      <c r="CC96" s="27"/>
    </row>
    <row r="97" spans="32:84" ht="38.25" hidden="1" customHeight="1">
      <c r="AF97" s="3"/>
      <c r="AG97" s="3"/>
      <c r="AH97" s="3"/>
      <c r="AI97" s="3"/>
      <c r="AJ97" s="3"/>
      <c r="BA97" s="498"/>
      <c r="BB97" s="498"/>
      <c r="BC97" s="498"/>
      <c r="BD97" s="498"/>
      <c r="BE97" s="498"/>
      <c r="BF97" s="498"/>
      <c r="BG97" s="507"/>
      <c r="BH97" s="498"/>
      <c r="BI97" s="498"/>
      <c r="BJ97" s="498"/>
      <c r="BK97" s="498"/>
      <c r="BL97" s="498"/>
      <c r="BM97" s="498"/>
      <c r="BN97" s="498"/>
      <c r="BO97" s="498"/>
      <c r="BP97" s="498"/>
      <c r="BQ97" s="498"/>
      <c r="BR97" s="498"/>
      <c r="BS97" s="498"/>
      <c r="BT97" s="498"/>
      <c r="BU97" s="19"/>
      <c r="BV97" s="19"/>
      <c r="BW97" s="19"/>
      <c r="BX97" s="19"/>
      <c r="BY97" s="19"/>
      <c r="BZ97" s="19"/>
      <c r="CA97" s="19"/>
      <c r="CB97" s="27"/>
      <c r="CC97" s="27"/>
    </row>
    <row r="98" spans="32:84" ht="38.25" hidden="1" customHeight="1">
      <c r="AF98" s="3"/>
      <c r="AG98" s="3"/>
      <c r="AH98" s="3"/>
      <c r="AI98" s="3"/>
      <c r="AJ98" s="3"/>
      <c r="BA98" s="498"/>
      <c r="BB98" s="498"/>
      <c r="BC98" s="498"/>
      <c r="BD98" s="498"/>
      <c r="BE98" s="498"/>
      <c r="BF98" s="498"/>
      <c r="BG98" s="507"/>
      <c r="BH98" s="498"/>
      <c r="BI98" s="498"/>
      <c r="BJ98" s="498"/>
      <c r="BK98" s="498"/>
      <c r="BL98" s="498"/>
      <c r="BM98" s="498"/>
      <c r="BN98" s="498"/>
      <c r="BO98" s="498"/>
      <c r="BP98" s="498"/>
      <c r="BQ98" s="498"/>
      <c r="BR98" s="498"/>
      <c r="BS98" s="498"/>
      <c r="BT98" s="498"/>
      <c r="BU98" s="19"/>
      <c r="BV98" s="19"/>
      <c r="BW98" s="19"/>
      <c r="BX98" s="19"/>
      <c r="BY98" s="19"/>
      <c r="BZ98" s="19"/>
      <c r="CA98" s="19"/>
      <c r="CB98" s="27"/>
      <c r="CC98" s="27"/>
    </row>
    <row r="99" spans="32:84" ht="38.25" hidden="1" customHeight="1">
      <c r="AF99" s="3"/>
      <c r="AG99" s="3"/>
      <c r="AH99" s="3"/>
      <c r="AI99" s="3"/>
      <c r="AJ99" s="3"/>
      <c r="BA99" s="498"/>
      <c r="BB99" s="498"/>
      <c r="BC99" s="498"/>
      <c r="BD99" s="498"/>
      <c r="BE99" s="498"/>
      <c r="BF99" s="498"/>
      <c r="BG99" s="498"/>
      <c r="BH99" s="498"/>
      <c r="BI99" s="498"/>
      <c r="BJ99" s="498"/>
      <c r="BK99" s="498"/>
      <c r="BL99" s="498"/>
      <c r="BM99" s="498"/>
      <c r="BN99" s="498"/>
      <c r="BO99" s="498"/>
      <c r="BP99" s="498"/>
      <c r="BQ99" s="498"/>
      <c r="BR99" s="498"/>
      <c r="BS99" s="498"/>
      <c r="BT99" s="498"/>
      <c r="BU99" s="498"/>
      <c r="BV99" s="498"/>
      <c r="BW99" s="498"/>
      <c r="BX99" s="498"/>
      <c r="BY99" s="498"/>
      <c r="BZ99" s="498"/>
      <c r="CA99" s="498"/>
      <c r="CB99" s="33"/>
      <c r="CC99" s="33"/>
      <c r="CD99" s="33"/>
      <c r="CE99" s="33"/>
      <c r="CF99" s="33"/>
    </row>
    <row r="100" spans="32:84" ht="13.5" hidden="1" customHeight="1">
      <c r="AF100" s="3"/>
      <c r="AG100" s="3"/>
      <c r="AH100" s="3"/>
      <c r="AI100" s="3"/>
      <c r="AJ100" s="3"/>
      <c r="BA100" s="498"/>
      <c r="BB100" s="498"/>
      <c r="BC100" s="498"/>
      <c r="BD100" s="498"/>
      <c r="BE100" s="498"/>
      <c r="BF100" s="498"/>
      <c r="BG100" s="498"/>
      <c r="BH100" s="498"/>
      <c r="BI100" s="498"/>
      <c r="BJ100" s="498"/>
      <c r="BK100" s="498"/>
      <c r="BL100" s="498"/>
      <c r="BM100" s="498"/>
      <c r="BN100" s="498"/>
      <c r="BO100" s="498"/>
      <c r="BP100" s="498"/>
      <c r="BQ100" s="498"/>
      <c r="BR100" s="498"/>
      <c r="BS100" s="498"/>
      <c r="BT100" s="498"/>
      <c r="BU100" s="498"/>
      <c r="BV100" s="498"/>
      <c r="BW100" s="498"/>
      <c r="BX100" s="498"/>
      <c r="BY100" s="498"/>
      <c r="BZ100" s="498"/>
      <c r="CA100" s="498"/>
      <c r="CB100" s="33"/>
      <c r="CC100" s="33"/>
      <c r="CD100" s="33"/>
      <c r="CE100" s="33"/>
      <c r="CF100" s="33"/>
    </row>
    <row r="101" spans="32:84" ht="13.5" hidden="1" customHeight="1">
      <c r="AF101" s="3"/>
      <c r="AG101" s="3"/>
      <c r="AH101" s="3"/>
      <c r="AI101" s="3"/>
      <c r="AJ101" s="3"/>
      <c r="BA101" s="498"/>
      <c r="BB101" s="498"/>
      <c r="BC101" s="498"/>
      <c r="BD101" s="498"/>
      <c r="BE101" s="498"/>
      <c r="BF101" s="498"/>
      <c r="BG101" s="498"/>
      <c r="BH101" s="498"/>
      <c r="BI101" s="498"/>
      <c r="BJ101" s="498"/>
      <c r="BK101" s="498"/>
      <c r="BL101" s="498"/>
      <c r="BM101" s="498"/>
      <c r="BN101" s="498"/>
      <c r="BO101" s="498"/>
      <c r="BP101" s="498"/>
      <c r="BQ101" s="498"/>
      <c r="BR101" s="498"/>
      <c r="BS101" s="498"/>
      <c r="BT101" s="498"/>
      <c r="BU101" s="498"/>
      <c r="BV101" s="498"/>
      <c r="BW101" s="498"/>
      <c r="BX101" s="498"/>
      <c r="BY101" s="498"/>
      <c r="BZ101" s="498"/>
      <c r="CA101" s="498"/>
      <c r="CB101" s="33"/>
      <c r="CC101" s="33"/>
      <c r="CD101" s="33"/>
      <c r="CE101" s="33"/>
      <c r="CF101" s="33"/>
    </row>
    <row r="102" spans="32:84" ht="13.5" hidden="1" customHeight="1">
      <c r="AF102" s="3"/>
      <c r="AG102" s="3"/>
      <c r="AH102" s="3"/>
      <c r="AI102" s="3"/>
      <c r="AJ102" s="3"/>
      <c r="BA102" s="498"/>
      <c r="BB102" s="498" t="s">
        <v>257</v>
      </c>
      <c r="BC102" s="498"/>
      <c r="BD102" s="498"/>
      <c r="BE102" s="498"/>
      <c r="BF102" s="498"/>
      <c r="BG102" s="498"/>
      <c r="BH102" s="498"/>
      <c r="BI102" s="498"/>
      <c r="BJ102" s="498"/>
      <c r="BK102" s="498"/>
      <c r="BL102" s="498"/>
      <c r="BM102" s="498"/>
      <c r="BN102" s="498"/>
      <c r="BO102" s="498"/>
      <c r="BP102" s="498"/>
      <c r="BQ102" s="498"/>
      <c r="BR102" s="498"/>
      <c r="BS102" s="498"/>
      <c r="BT102" s="498"/>
      <c r="BU102" s="498"/>
      <c r="BV102" s="498"/>
      <c r="BW102" s="498"/>
      <c r="BX102" s="498"/>
      <c r="BY102" s="498"/>
      <c r="BZ102" s="498"/>
      <c r="CA102" s="498"/>
      <c r="CB102" s="33"/>
      <c r="CC102" s="33"/>
      <c r="CD102" s="33"/>
      <c r="CE102" s="33"/>
      <c r="CF102" s="33"/>
    </row>
    <row r="103" spans="32:84" ht="13.5" hidden="1" customHeight="1">
      <c r="AF103" s="3"/>
      <c r="AG103" s="3"/>
      <c r="AH103" s="3"/>
      <c r="AI103" s="3"/>
      <c r="AJ103" s="3"/>
      <c r="BA103" s="498"/>
      <c r="BB103" s="498" t="s">
        <v>258</v>
      </c>
      <c r="BC103" s="498" t="s">
        <v>259</v>
      </c>
      <c r="BD103" s="498" t="s">
        <v>256</v>
      </c>
      <c r="BE103" s="498" t="s">
        <v>266</v>
      </c>
      <c r="BF103" s="498" t="s">
        <v>265</v>
      </c>
      <c r="BG103" s="498" t="s">
        <v>260</v>
      </c>
      <c r="BH103" s="498" t="s">
        <v>268</v>
      </c>
      <c r="BI103" s="498" t="s">
        <v>267</v>
      </c>
      <c r="BJ103" s="498"/>
      <c r="BK103" s="498"/>
      <c r="BL103" s="498" t="s">
        <v>258</v>
      </c>
      <c r="BM103" s="498" t="s">
        <v>259</v>
      </c>
      <c r="BN103" s="498" t="s">
        <v>256</v>
      </c>
      <c r="BO103" s="498" t="s">
        <v>278</v>
      </c>
      <c r="BP103" s="498" t="s">
        <v>279</v>
      </c>
      <c r="BQ103" s="498" t="s">
        <v>280</v>
      </c>
      <c r="BR103" s="498" t="s">
        <v>281</v>
      </c>
      <c r="BS103" s="498"/>
      <c r="BT103" s="498" t="s">
        <v>258</v>
      </c>
      <c r="BU103" s="498" t="s">
        <v>259</v>
      </c>
      <c r="BV103" s="498" t="s">
        <v>282</v>
      </c>
      <c r="BW103" s="498" t="s">
        <v>256</v>
      </c>
      <c r="BX103" s="498" t="s">
        <v>278</v>
      </c>
      <c r="BY103" s="498" t="s">
        <v>279</v>
      </c>
      <c r="BZ103" s="498" t="s">
        <v>280</v>
      </c>
      <c r="CA103" s="498"/>
      <c r="CB103" s="33"/>
      <c r="CC103" s="33"/>
      <c r="CD103" s="33"/>
      <c r="CE103" s="33"/>
      <c r="CF103" s="33"/>
    </row>
    <row r="104" spans="32:84" ht="13.5" hidden="1" customHeight="1">
      <c r="AF104" s="3"/>
      <c r="AG104" s="3"/>
      <c r="AH104" s="3"/>
      <c r="AI104" s="3"/>
      <c r="AJ104" s="3"/>
      <c r="BA104" s="498" t="s">
        <v>263</v>
      </c>
      <c r="BB104" s="498">
        <f>A29</f>
        <v>0</v>
      </c>
      <c r="BC104" s="498">
        <f>C29</f>
        <v>0</v>
      </c>
      <c r="BD104" s="498">
        <f>IF(AND(NOT($H$29="通常食"),NOT($H$29="キッズ")),$H$29,"")</f>
        <v>0</v>
      </c>
      <c r="BE104" s="498" t="e">
        <f>IF(NOT($BD104=""),VLOOKUP($BD104,$BD$157:$BF$218,2,0),"")</f>
        <v>#N/A</v>
      </c>
      <c r="BF104" s="498" t="e">
        <f>IF(NOT($BD104=""),VLOOKUP($BD104,$BD$158:$BF$218,3,0),"")</f>
        <v>#N/A</v>
      </c>
      <c r="BG104" s="498">
        <f>IF(AND(NOT($H$29="通常食"),NOT($H$29="キッズ")),$R$29,"")</f>
        <v>0</v>
      </c>
      <c r="BH104" s="498"/>
      <c r="BI104" s="498">
        <f>IF(OR(BG104="",BG104=0),0,48)</f>
        <v>0</v>
      </c>
      <c r="BJ104" s="498"/>
      <c r="BK104" s="498"/>
      <c r="BL104" s="498">
        <f>INDEX($BB$104:$BB$151,MATCH($BR104,$BI$104:$BI$151,0))</f>
        <v>0</v>
      </c>
      <c r="BM104" s="498">
        <f>INDEX($BC$104:$BC$151,MATCH($BR104,$BI$104:$BI$151,0))</f>
        <v>0</v>
      </c>
      <c r="BN104" s="498" t="e">
        <f>INDEX($BE$104:$BE$217,MATCH($BR104,$BI$104:$BI$151,0))</f>
        <v>#N/A</v>
      </c>
      <c r="BO104" s="498" t="e">
        <f>INDEX($BF$104:$BF$151,MATCH($BR104,$BI$104:$BI$151,0))</f>
        <v>#N/A</v>
      </c>
      <c r="BP104" s="498">
        <f>INDEX($BG$104:$BG$151,MATCH($BR104,$BI$104:$BI$151,0))</f>
        <v>0</v>
      </c>
      <c r="BQ104" s="498" t="e">
        <f>BO104*BP104</f>
        <v>#N/A</v>
      </c>
      <c r="BR104" s="498">
        <f t="shared" ref="BR104:BR121" si="16">LARGE($BI$104:$BI$151,ROW(A1))</f>
        <v>0</v>
      </c>
      <c r="BS104" s="498"/>
      <c r="BT104" s="498">
        <f>IF(NOT($BR104=0),BL104,0)</f>
        <v>0</v>
      </c>
      <c r="BU104" s="498">
        <f t="shared" ref="BU104:BU119" si="17">IF(NOT($BR104=0),BM104,0)</f>
        <v>0</v>
      </c>
      <c r="BV104" s="498">
        <f>IF(BU104="朝　食","朝",(IF(BU104="昼　食","昼",(IF(BU104="夕　食","夕",0)))))</f>
        <v>0</v>
      </c>
      <c r="BW104" s="498">
        <f t="shared" ref="BW104:BW121" si="18">IF(NOT($BR104=0),BN104,0)</f>
        <v>0</v>
      </c>
      <c r="BX104" s="498">
        <f t="shared" ref="BX104:BX121" si="19">IF(NOT($BR104=0),BO104,0)</f>
        <v>0</v>
      </c>
      <c r="BY104" s="498">
        <f t="shared" ref="BY104:BY121" si="20">IF(NOT($BR104=0),BP104,0)</f>
        <v>0</v>
      </c>
      <c r="BZ104" s="498">
        <f>IF(NOT($BR104=0),BQ104,0)</f>
        <v>0</v>
      </c>
      <c r="CA104" s="498"/>
      <c r="CB104" s="33"/>
      <c r="CC104" s="33"/>
      <c r="CD104" s="33"/>
      <c r="CE104" s="33"/>
      <c r="CF104" s="33"/>
    </row>
    <row r="105" spans="32:84" ht="13.5" hidden="1" customHeight="1">
      <c r="AF105" s="3"/>
      <c r="AG105" s="3"/>
      <c r="AH105" s="3"/>
      <c r="AI105" s="3"/>
      <c r="AJ105" s="3"/>
      <c r="BA105" s="498" t="s">
        <v>261</v>
      </c>
      <c r="BB105" s="498">
        <f>A29</f>
        <v>0</v>
      </c>
      <c r="BC105" s="498">
        <f>C29</f>
        <v>0</v>
      </c>
      <c r="BD105" s="498" t="str">
        <f>IF(AND(OR(($H$29="通常食"),($H$29="キッズ")),NOT(OR($L$29=0,$L$29=""))),$H$29,"")</f>
        <v/>
      </c>
      <c r="BE105" s="498" t="str">
        <f>IF($BG105="","",VLOOKUP($BH105,$BD$158:$BF$186,2,0))</f>
        <v/>
      </c>
      <c r="BF105" s="498" t="str">
        <f>IF($BG105="","",VLOOKUP($BH105,$BD$158:$BF$186,3,0))</f>
        <v/>
      </c>
      <c r="BG105" s="498" t="str">
        <f>IF(AND(OR(($H$29="通常食"),($H$29="キッズ")),NOT(OR($L$29=0,$L$29=""))),$L$29,"")</f>
        <v/>
      </c>
      <c r="BH105" s="498" t="str">
        <f>BC105&amp;BD105&amp;BA105</f>
        <v>0幼児</v>
      </c>
      <c r="BI105" s="498">
        <f>IF(OR(BG105="",BG105=0),0,47)</f>
        <v>0</v>
      </c>
      <c r="BJ105" s="498"/>
      <c r="BK105" s="498"/>
      <c r="BL105" s="498">
        <f t="shared" ref="BL105:BL121" si="21">INDEX($BB$104:$BB$151,MATCH($BR105,$BI$104:$BI$151,0))</f>
        <v>0</v>
      </c>
      <c r="BM105" s="498">
        <f t="shared" ref="BM105:BM121" si="22">INDEX($BC$104:$BC$151,MATCH($BR105,$BI$104:$BI$151,0))</f>
        <v>0</v>
      </c>
      <c r="BN105" s="498" t="e">
        <f>INDEX($BE$104:$BE$151,MATCH($BR105,$BI$104:$BI$151,0))</f>
        <v>#N/A</v>
      </c>
      <c r="BO105" s="498" t="e">
        <f t="shared" ref="BO105:BO121" si="23">INDEX($BF$104:$BF$151,MATCH($BR105,$BI$104:$BI$151,0))</f>
        <v>#N/A</v>
      </c>
      <c r="BP105" s="498">
        <f t="shared" ref="BP105:BP121" si="24">INDEX($BG$104:$BG$151,MATCH($BR105,$BI$104:$BI$151,0))</f>
        <v>0</v>
      </c>
      <c r="BQ105" s="498" t="e">
        <f t="shared" ref="BQ105:BQ121" si="25">BO105*BP105</f>
        <v>#N/A</v>
      </c>
      <c r="BR105" s="498">
        <f t="shared" si="16"/>
        <v>0</v>
      </c>
      <c r="BS105" s="498"/>
      <c r="BT105" s="498">
        <f t="shared" ref="BT105:BU121" si="26">IF(NOT($BR105=0),BL105,0)</f>
        <v>0</v>
      </c>
      <c r="BU105" s="498">
        <f t="shared" si="17"/>
        <v>0</v>
      </c>
      <c r="BV105" s="498">
        <f t="shared" ref="BV105:BV121" si="27">IF(BU105="朝　食","朝",(IF(BU105="昼　食","昼",(IF(BU105="夕　食","夕",0)))))</f>
        <v>0</v>
      </c>
      <c r="BW105" s="498">
        <f t="shared" si="18"/>
        <v>0</v>
      </c>
      <c r="BX105" s="498">
        <f t="shared" si="19"/>
        <v>0</v>
      </c>
      <c r="BY105" s="498">
        <f t="shared" si="20"/>
        <v>0</v>
      </c>
      <c r="BZ105" s="498">
        <f t="shared" ref="BZ105:BZ121" si="28">IF(NOT($BR105=0),BQ105,0)</f>
        <v>0</v>
      </c>
      <c r="CA105" s="498"/>
      <c r="CB105" s="33"/>
      <c r="CC105" s="33"/>
      <c r="CD105" s="33"/>
      <c r="CE105" s="33"/>
      <c r="CF105" s="33"/>
    </row>
    <row r="106" spans="32:84" ht="13.5" hidden="1" customHeight="1">
      <c r="AF106" s="3"/>
      <c r="AG106" s="3"/>
      <c r="AH106" s="3"/>
      <c r="AI106" s="3"/>
      <c r="AJ106" s="3"/>
      <c r="BA106" s="498" t="s">
        <v>262</v>
      </c>
      <c r="BB106" s="498">
        <f>A29</f>
        <v>0</v>
      </c>
      <c r="BC106" s="498">
        <f>C29</f>
        <v>0</v>
      </c>
      <c r="BD106" s="498" t="str">
        <f>IF(AND(OR(($H$29="通常食"),($H$29="キッズ")),NOT(OR($N$29=0,$N$29=""))),$H$29,"")</f>
        <v/>
      </c>
      <c r="BE106" s="498" t="str">
        <f>IF($BG106="","",VLOOKUP($BH106,$BD$158:$BF$186,2,0))</f>
        <v/>
      </c>
      <c r="BF106" s="498" t="str">
        <f>IF($BG106="","",VLOOKUP($BH106,$BD$158:$BF$186,3,0))</f>
        <v/>
      </c>
      <c r="BG106" s="498" t="str">
        <f>IF(AND(OR(($H$29="通常食"),($H$29="キッズ")),NOT(OR($N$29=0,$N$29=""))),$N$29,"")</f>
        <v/>
      </c>
      <c r="BH106" s="498" t="str">
        <f t="shared" ref="BH106:BH151" si="29">BC106&amp;BD106&amp;BA106</f>
        <v>0小学生</v>
      </c>
      <c r="BI106" s="498">
        <f>IF(OR(BG106="",BG106=0),0,46)</f>
        <v>0</v>
      </c>
      <c r="BJ106" s="498"/>
      <c r="BK106" s="498"/>
      <c r="BL106" s="498">
        <f t="shared" si="21"/>
        <v>0</v>
      </c>
      <c r="BM106" s="498">
        <f t="shared" si="22"/>
        <v>0</v>
      </c>
      <c r="BN106" s="498" t="e">
        <f>INDEX($BE$104:$BE$151,MATCH($BR106,$BI$104:$BI$151,0))</f>
        <v>#N/A</v>
      </c>
      <c r="BO106" s="498" t="e">
        <f t="shared" si="23"/>
        <v>#N/A</v>
      </c>
      <c r="BP106" s="498">
        <f t="shared" si="24"/>
        <v>0</v>
      </c>
      <c r="BQ106" s="498" t="e">
        <f t="shared" si="25"/>
        <v>#N/A</v>
      </c>
      <c r="BR106" s="498">
        <f t="shared" si="16"/>
        <v>0</v>
      </c>
      <c r="BS106" s="498"/>
      <c r="BT106" s="498">
        <f t="shared" si="26"/>
        <v>0</v>
      </c>
      <c r="BU106" s="498">
        <f t="shared" si="17"/>
        <v>0</v>
      </c>
      <c r="BV106" s="498">
        <f t="shared" si="27"/>
        <v>0</v>
      </c>
      <c r="BW106" s="498">
        <f t="shared" si="18"/>
        <v>0</v>
      </c>
      <c r="BX106" s="498">
        <f t="shared" si="19"/>
        <v>0</v>
      </c>
      <c r="BY106" s="498">
        <f t="shared" si="20"/>
        <v>0</v>
      </c>
      <c r="BZ106" s="498">
        <f t="shared" si="28"/>
        <v>0</v>
      </c>
      <c r="CA106" s="498"/>
      <c r="CB106" s="33"/>
      <c r="CC106" s="33"/>
      <c r="CD106" s="33"/>
      <c r="CE106" s="33"/>
      <c r="CF106" s="33"/>
    </row>
    <row r="107" spans="32:84" ht="13.5" hidden="1" customHeight="1">
      <c r="AF107" s="3"/>
      <c r="AG107" s="3"/>
      <c r="AH107" s="3"/>
      <c r="AI107" s="3"/>
      <c r="AJ107" s="3"/>
      <c r="BA107" s="498" t="s">
        <v>264</v>
      </c>
      <c r="BB107" s="498">
        <f>A29</f>
        <v>0</v>
      </c>
      <c r="BC107" s="498">
        <f>C29</f>
        <v>0</v>
      </c>
      <c r="BD107" s="498" t="str">
        <f>IF(AND(OR(($H$29="通常食"),($H$29="キッズ")),NOT(OR($P$29=0,$P$29=""))),$H$29,"")</f>
        <v/>
      </c>
      <c r="BE107" s="498" t="str">
        <f>IF($BG107="","",VLOOKUP($BH107,$BD$158:$BF$186,2,0))</f>
        <v/>
      </c>
      <c r="BF107" s="498" t="str">
        <f>IF($BG107="","",VLOOKUP($BH107,$BD$158:$BF$186,3,0))</f>
        <v/>
      </c>
      <c r="BG107" s="498" t="str">
        <f>IF(AND(OR(($H$29="通常食"),($H$29="キッズ")),NOT(OR($P$29=0,$P$29=""))),$P$29,"")</f>
        <v/>
      </c>
      <c r="BH107" s="498" t="str">
        <f t="shared" si="29"/>
        <v>0中学生以上</v>
      </c>
      <c r="BI107" s="498">
        <f>IF(OR(BG107="",BG107=0),0,45)</f>
        <v>0</v>
      </c>
      <c r="BJ107" s="498"/>
      <c r="BK107" s="498"/>
      <c r="BL107" s="498">
        <f t="shared" si="21"/>
        <v>0</v>
      </c>
      <c r="BM107" s="498">
        <f t="shared" si="22"/>
        <v>0</v>
      </c>
      <c r="BN107" s="498" t="e">
        <f t="shared" ref="BN107:BN121" si="30">INDEX($BE$104:$BE$151,MATCH($BR107,$BI$104:$BI$151,0))</f>
        <v>#N/A</v>
      </c>
      <c r="BO107" s="498" t="e">
        <f>INDEX($BF$104:$BF$151,MATCH($BR107,$BI$104:$BI$151,0))</f>
        <v>#N/A</v>
      </c>
      <c r="BP107" s="498">
        <f t="shared" si="24"/>
        <v>0</v>
      </c>
      <c r="BQ107" s="498" t="e">
        <f t="shared" si="25"/>
        <v>#N/A</v>
      </c>
      <c r="BR107" s="498">
        <f t="shared" si="16"/>
        <v>0</v>
      </c>
      <c r="BS107" s="498"/>
      <c r="BT107" s="498">
        <f t="shared" si="26"/>
        <v>0</v>
      </c>
      <c r="BU107" s="498">
        <f t="shared" si="17"/>
        <v>0</v>
      </c>
      <c r="BV107" s="498">
        <f t="shared" si="27"/>
        <v>0</v>
      </c>
      <c r="BW107" s="498">
        <f t="shared" si="18"/>
        <v>0</v>
      </c>
      <c r="BX107" s="498">
        <f t="shared" si="19"/>
        <v>0</v>
      </c>
      <c r="BY107" s="498">
        <f t="shared" si="20"/>
        <v>0</v>
      </c>
      <c r="BZ107" s="498">
        <f t="shared" si="28"/>
        <v>0</v>
      </c>
      <c r="CA107" s="498"/>
      <c r="CB107" s="33"/>
      <c r="CC107" s="33"/>
      <c r="CD107" s="33"/>
      <c r="CE107" s="33"/>
      <c r="CF107" s="33"/>
    </row>
    <row r="108" spans="32:84" ht="13.5" hidden="1" customHeight="1">
      <c r="AF108" s="3"/>
      <c r="AG108" s="3"/>
      <c r="AH108" s="3"/>
      <c r="AI108" s="3"/>
      <c r="AJ108" s="3"/>
      <c r="BA108" s="498" t="s">
        <v>263</v>
      </c>
      <c r="BB108" s="498">
        <f>A30</f>
        <v>0</v>
      </c>
      <c r="BC108" s="498">
        <f>C30</f>
        <v>0</v>
      </c>
      <c r="BD108" s="498">
        <f>IF(AND(NOT($H$30="通常食"),NOT($H$30="キッズ")),$H$30,"")</f>
        <v>0</v>
      </c>
      <c r="BE108" s="498" t="e">
        <f>IF(NOT($BD108=""),VLOOKUP($BD108,$BD$157:$BF$218,2,0),"")</f>
        <v>#N/A</v>
      </c>
      <c r="BF108" s="498" t="e">
        <f>IF(NOT($BD108=""),VLOOKUP($BD108,$BD$158:$BF$218,3,0),"")</f>
        <v>#N/A</v>
      </c>
      <c r="BG108" s="498">
        <f>IF(AND(NOT($H$30="通常食"),NOT($H$30="キッズ")),$R$30,"")</f>
        <v>0</v>
      </c>
      <c r="BH108" s="498"/>
      <c r="BI108" s="498">
        <f>IF(OR(BG108="",BG108=0),0,44)</f>
        <v>0</v>
      </c>
      <c r="BJ108" s="498"/>
      <c r="BK108" s="498"/>
      <c r="BL108" s="498">
        <f t="shared" si="21"/>
        <v>0</v>
      </c>
      <c r="BM108" s="498">
        <f t="shared" si="22"/>
        <v>0</v>
      </c>
      <c r="BN108" s="498" t="e">
        <f t="shared" si="30"/>
        <v>#N/A</v>
      </c>
      <c r="BO108" s="498" t="e">
        <f t="shared" si="23"/>
        <v>#N/A</v>
      </c>
      <c r="BP108" s="498">
        <f t="shared" si="24"/>
        <v>0</v>
      </c>
      <c r="BQ108" s="498" t="e">
        <f t="shared" si="25"/>
        <v>#N/A</v>
      </c>
      <c r="BR108" s="498">
        <f t="shared" si="16"/>
        <v>0</v>
      </c>
      <c r="BS108" s="498"/>
      <c r="BT108" s="498">
        <f t="shared" si="26"/>
        <v>0</v>
      </c>
      <c r="BU108" s="498">
        <f t="shared" si="17"/>
        <v>0</v>
      </c>
      <c r="BV108" s="498">
        <f t="shared" si="27"/>
        <v>0</v>
      </c>
      <c r="BW108" s="498">
        <f t="shared" si="18"/>
        <v>0</v>
      </c>
      <c r="BX108" s="498">
        <f t="shared" si="19"/>
        <v>0</v>
      </c>
      <c r="BY108" s="498">
        <f t="shared" si="20"/>
        <v>0</v>
      </c>
      <c r="BZ108" s="498">
        <f t="shared" si="28"/>
        <v>0</v>
      </c>
      <c r="CA108" s="498"/>
      <c r="CB108" s="33"/>
      <c r="CC108" s="33"/>
      <c r="CD108" s="33"/>
      <c r="CE108" s="33"/>
      <c r="CF108" s="33"/>
    </row>
    <row r="109" spans="32:84" ht="13.5" hidden="1" customHeight="1">
      <c r="AF109" s="3"/>
      <c r="AG109" s="3"/>
      <c r="AH109" s="3"/>
      <c r="AI109" s="3"/>
      <c r="AJ109" s="3"/>
      <c r="BA109" s="498" t="s">
        <v>261</v>
      </c>
      <c r="BB109" s="498">
        <f>A30</f>
        <v>0</v>
      </c>
      <c r="BC109" s="498">
        <f>C30</f>
        <v>0</v>
      </c>
      <c r="BD109" s="498" t="str">
        <f>IF(AND(OR(($H$30="通常食"),($H$30="キッズ")),NOT(OR($L$30=0,$L$30=""))),$H$30,"")</f>
        <v/>
      </c>
      <c r="BE109" s="498" t="str">
        <f>IF($BG109="","",VLOOKUP($BH109,$BD$158:$BF$186,2,0))</f>
        <v/>
      </c>
      <c r="BF109" s="498" t="str">
        <f>IF($BG109="","",VLOOKUP($BH109,$BD$158:$BF$186,3,0))</f>
        <v/>
      </c>
      <c r="BG109" s="498" t="str">
        <f>IF(AND(OR(($H$30="通常食"),($H$30="キッズ")),NOT(OR($L$30=0,$L$30=""))),$L$30,"")</f>
        <v/>
      </c>
      <c r="BH109" s="498" t="str">
        <f t="shared" si="29"/>
        <v>0幼児</v>
      </c>
      <c r="BI109" s="498">
        <f>IF(OR(BG109="",BG109=0),0,43)</f>
        <v>0</v>
      </c>
      <c r="BJ109" s="498"/>
      <c r="BK109" s="498"/>
      <c r="BL109" s="498">
        <f t="shared" si="21"/>
        <v>0</v>
      </c>
      <c r="BM109" s="498">
        <f t="shared" si="22"/>
        <v>0</v>
      </c>
      <c r="BN109" s="498" t="e">
        <f t="shared" si="30"/>
        <v>#N/A</v>
      </c>
      <c r="BO109" s="498" t="e">
        <f t="shared" si="23"/>
        <v>#N/A</v>
      </c>
      <c r="BP109" s="498">
        <f t="shared" si="24"/>
        <v>0</v>
      </c>
      <c r="BQ109" s="498" t="e">
        <f t="shared" si="25"/>
        <v>#N/A</v>
      </c>
      <c r="BR109" s="498">
        <f t="shared" si="16"/>
        <v>0</v>
      </c>
      <c r="BS109" s="498"/>
      <c r="BT109" s="498">
        <f t="shared" si="26"/>
        <v>0</v>
      </c>
      <c r="BU109" s="498">
        <f t="shared" si="17"/>
        <v>0</v>
      </c>
      <c r="BV109" s="498">
        <f t="shared" si="27"/>
        <v>0</v>
      </c>
      <c r="BW109" s="498">
        <f t="shared" si="18"/>
        <v>0</v>
      </c>
      <c r="BX109" s="498">
        <f t="shared" si="19"/>
        <v>0</v>
      </c>
      <c r="BY109" s="498">
        <f t="shared" si="20"/>
        <v>0</v>
      </c>
      <c r="BZ109" s="498">
        <f t="shared" si="28"/>
        <v>0</v>
      </c>
      <c r="CA109" s="498"/>
      <c r="CB109" s="33"/>
      <c r="CC109" s="33"/>
      <c r="CD109" s="33"/>
      <c r="CE109" s="33"/>
      <c r="CF109" s="33"/>
    </row>
    <row r="110" spans="32:84" ht="13.5" hidden="1" customHeight="1">
      <c r="AF110" s="3"/>
      <c r="AG110" s="3"/>
      <c r="AH110" s="3"/>
      <c r="AI110" s="3"/>
      <c r="AJ110" s="3"/>
      <c r="BA110" s="498" t="s">
        <v>262</v>
      </c>
      <c r="BB110" s="498">
        <f>A30</f>
        <v>0</v>
      </c>
      <c r="BC110" s="498">
        <f>C30</f>
        <v>0</v>
      </c>
      <c r="BD110" s="498" t="str">
        <f>IF(AND(OR(($H$30="通常食"),($H$30="キッズ")),NOT(OR($N$30=0,$N$30=""))),$H$30,"")</f>
        <v/>
      </c>
      <c r="BE110" s="498" t="str">
        <f>IF($BG110="","",VLOOKUP($BH110,$BD$158:$BF$186,2,0))</f>
        <v/>
      </c>
      <c r="BF110" s="498" t="str">
        <f>IF($BG110="","",VLOOKUP($BH110,$BD$158:$BF$186,3,0))</f>
        <v/>
      </c>
      <c r="BG110" s="498" t="str">
        <f>IF(AND(OR(($H$30="通常食"),($H$30="キッズ")),NOT(OR($N$30=0,$N$30=""))),$N$30,"")</f>
        <v/>
      </c>
      <c r="BH110" s="498" t="str">
        <f t="shared" si="29"/>
        <v>0小学生</v>
      </c>
      <c r="BI110" s="498">
        <f>IF(OR(BG110="",BG110=0),0,42)</f>
        <v>0</v>
      </c>
      <c r="BJ110" s="498"/>
      <c r="BK110" s="498"/>
      <c r="BL110" s="498">
        <f t="shared" si="21"/>
        <v>0</v>
      </c>
      <c r="BM110" s="498">
        <f t="shared" si="22"/>
        <v>0</v>
      </c>
      <c r="BN110" s="498" t="e">
        <f>INDEX($BE$104:$BE$151,MATCH($BR110,$BI$104:$BI$151,0))</f>
        <v>#N/A</v>
      </c>
      <c r="BO110" s="498" t="e">
        <f t="shared" si="23"/>
        <v>#N/A</v>
      </c>
      <c r="BP110" s="498">
        <f t="shared" si="24"/>
        <v>0</v>
      </c>
      <c r="BQ110" s="498" t="e">
        <f t="shared" si="25"/>
        <v>#N/A</v>
      </c>
      <c r="BR110" s="498">
        <f t="shared" si="16"/>
        <v>0</v>
      </c>
      <c r="BS110" s="498"/>
      <c r="BT110" s="498">
        <f t="shared" si="26"/>
        <v>0</v>
      </c>
      <c r="BU110" s="498">
        <f t="shared" si="17"/>
        <v>0</v>
      </c>
      <c r="BV110" s="498">
        <f>IF(BU110="朝　食","朝",(IF(BU110="昼　食","昼",(IF(BU110="夕　食","夕",0)))))</f>
        <v>0</v>
      </c>
      <c r="BW110" s="498">
        <f t="shared" si="18"/>
        <v>0</v>
      </c>
      <c r="BX110" s="498">
        <f t="shared" si="19"/>
        <v>0</v>
      </c>
      <c r="BY110" s="498">
        <f t="shared" si="20"/>
        <v>0</v>
      </c>
      <c r="BZ110" s="498">
        <f t="shared" si="28"/>
        <v>0</v>
      </c>
      <c r="CA110" s="498"/>
      <c r="CB110" s="33"/>
      <c r="CC110" s="33"/>
      <c r="CD110" s="33"/>
      <c r="CE110" s="33"/>
      <c r="CF110" s="33"/>
    </row>
    <row r="111" spans="32:84" ht="13.5" hidden="1" customHeight="1">
      <c r="AF111" s="3"/>
      <c r="AG111" s="3"/>
      <c r="AH111" s="3"/>
      <c r="AI111" s="3"/>
      <c r="AJ111" s="3"/>
      <c r="BA111" s="498" t="s">
        <v>264</v>
      </c>
      <c r="BB111" s="498">
        <f>A30</f>
        <v>0</v>
      </c>
      <c r="BC111" s="498">
        <f>C30</f>
        <v>0</v>
      </c>
      <c r="BD111" s="498" t="str">
        <f>IF(AND(OR(($H$30="通常食"),($H$30="キッズ")),NOT(OR($P$30=0,$P$30=""))),$H$30,"")</f>
        <v/>
      </c>
      <c r="BE111" s="498" t="str">
        <f>IF($BG111="","",VLOOKUP($BH111,$BD$158:$BF$186,2,0))</f>
        <v/>
      </c>
      <c r="BF111" s="498" t="str">
        <f>IF($BG111="","",VLOOKUP($BH111,$BD$158:$BF$186,3,0))</f>
        <v/>
      </c>
      <c r="BG111" s="498" t="str">
        <f>IF(AND(OR(($H$30="通常食"),($H$30="キッズ")),NOT(OR($P$30=0,$P$30=""))),$P$30,"")</f>
        <v/>
      </c>
      <c r="BH111" s="498" t="str">
        <f t="shared" si="29"/>
        <v>0中学生以上</v>
      </c>
      <c r="BI111" s="498">
        <f>IF(OR(BG111="",BG111=0),0,41)</f>
        <v>0</v>
      </c>
      <c r="BJ111" s="498"/>
      <c r="BK111" s="498"/>
      <c r="BL111" s="498">
        <f t="shared" si="21"/>
        <v>0</v>
      </c>
      <c r="BM111" s="498">
        <f t="shared" si="22"/>
        <v>0</v>
      </c>
      <c r="BN111" s="498" t="e">
        <f>INDEX($BE$104:$BE$151,MATCH($BR111,$BI$104:$BI$151,0))</f>
        <v>#N/A</v>
      </c>
      <c r="BO111" s="498" t="e">
        <f t="shared" si="23"/>
        <v>#N/A</v>
      </c>
      <c r="BP111" s="498">
        <f t="shared" si="24"/>
        <v>0</v>
      </c>
      <c r="BQ111" s="498" t="e">
        <f t="shared" si="25"/>
        <v>#N/A</v>
      </c>
      <c r="BR111" s="498">
        <f t="shared" si="16"/>
        <v>0</v>
      </c>
      <c r="BS111" s="498"/>
      <c r="BT111" s="498">
        <f t="shared" si="26"/>
        <v>0</v>
      </c>
      <c r="BU111" s="498">
        <f t="shared" si="17"/>
        <v>0</v>
      </c>
      <c r="BV111" s="498">
        <f t="shared" si="27"/>
        <v>0</v>
      </c>
      <c r="BW111" s="498">
        <f t="shared" si="18"/>
        <v>0</v>
      </c>
      <c r="BX111" s="498">
        <f t="shared" si="19"/>
        <v>0</v>
      </c>
      <c r="BY111" s="498">
        <f t="shared" si="20"/>
        <v>0</v>
      </c>
      <c r="BZ111" s="498">
        <f t="shared" si="28"/>
        <v>0</v>
      </c>
      <c r="CA111" s="498"/>
      <c r="CB111" s="33"/>
      <c r="CC111" s="33"/>
      <c r="CD111" s="33"/>
      <c r="CE111" s="33"/>
      <c r="CF111" s="33"/>
    </row>
    <row r="112" spans="32:84" ht="13.5" hidden="1" customHeight="1">
      <c r="AF112" s="3"/>
      <c r="AG112" s="3"/>
      <c r="AH112" s="3"/>
      <c r="AI112" s="3"/>
      <c r="AJ112" s="3"/>
      <c r="BA112" s="498" t="s">
        <v>263</v>
      </c>
      <c r="BB112" s="498">
        <f>A31</f>
        <v>0</v>
      </c>
      <c r="BC112" s="498">
        <f>C31</f>
        <v>0</v>
      </c>
      <c r="BD112" s="498">
        <f>IF(AND(NOT($H$31="通常食"),NOT($H$31="キッズ")),$H$31,"")</f>
        <v>0</v>
      </c>
      <c r="BE112" s="498" t="e">
        <f>IF(NOT($BD112=""),VLOOKUP($BD112,$BD$157:$BF$218,2,0),"")</f>
        <v>#N/A</v>
      </c>
      <c r="BF112" s="498" t="e">
        <f>IF(NOT($BD112=""),VLOOKUP($BD112,$BD$186:$BF$218,3,0),"")</f>
        <v>#N/A</v>
      </c>
      <c r="BG112" s="498">
        <f>IF(AND(NOT($H$31="通常食"),NOT($H$31="キッズ")),$R$31,"")</f>
        <v>0</v>
      </c>
      <c r="BH112" s="498"/>
      <c r="BI112" s="498">
        <f>IF(OR(BG112="",BG112=0),0,40)</f>
        <v>0</v>
      </c>
      <c r="BJ112" s="498"/>
      <c r="BK112" s="498"/>
      <c r="BL112" s="498">
        <f t="shared" si="21"/>
        <v>0</v>
      </c>
      <c r="BM112" s="498">
        <f t="shared" si="22"/>
        <v>0</v>
      </c>
      <c r="BN112" s="498" t="e">
        <f t="shared" si="30"/>
        <v>#N/A</v>
      </c>
      <c r="BO112" s="498" t="e">
        <f t="shared" si="23"/>
        <v>#N/A</v>
      </c>
      <c r="BP112" s="498">
        <f t="shared" si="24"/>
        <v>0</v>
      </c>
      <c r="BQ112" s="498" t="e">
        <f t="shared" si="25"/>
        <v>#N/A</v>
      </c>
      <c r="BR112" s="498">
        <f t="shared" si="16"/>
        <v>0</v>
      </c>
      <c r="BS112" s="498"/>
      <c r="BT112" s="498">
        <f t="shared" si="26"/>
        <v>0</v>
      </c>
      <c r="BU112" s="498">
        <f t="shared" si="17"/>
        <v>0</v>
      </c>
      <c r="BV112" s="498">
        <f t="shared" si="27"/>
        <v>0</v>
      </c>
      <c r="BW112" s="498">
        <f t="shared" si="18"/>
        <v>0</v>
      </c>
      <c r="BX112" s="498">
        <f t="shared" si="19"/>
        <v>0</v>
      </c>
      <c r="BY112" s="498">
        <f t="shared" si="20"/>
        <v>0</v>
      </c>
      <c r="BZ112" s="498">
        <f t="shared" si="28"/>
        <v>0</v>
      </c>
      <c r="CA112" s="498"/>
      <c r="CB112" s="33"/>
      <c r="CC112" s="33"/>
      <c r="CD112" s="33"/>
      <c r="CE112" s="33"/>
      <c r="CF112" s="33"/>
    </row>
    <row r="113" spans="32:84" ht="13.5" hidden="1" customHeight="1">
      <c r="AF113" s="3"/>
      <c r="AG113" s="3"/>
      <c r="AH113" s="3"/>
      <c r="AI113" s="3"/>
      <c r="AJ113" s="3"/>
      <c r="BA113" s="498" t="s">
        <v>261</v>
      </c>
      <c r="BB113" s="498">
        <f>A31</f>
        <v>0</v>
      </c>
      <c r="BC113" s="498">
        <f>C31</f>
        <v>0</v>
      </c>
      <c r="BD113" s="498" t="str">
        <f>IF(AND(OR(($H$31="通常食"),($H$31="キッズ")),NOT(OR($L$31=0,$L$31=""))),$H$31,"")</f>
        <v/>
      </c>
      <c r="BE113" s="498" t="str">
        <f>IF($BG113="","",VLOOKUP($BH113,$BD$158:$BF$186,2,0))</f>
        <v/>
      </c>
      <c r="BF113" s="498" t="str">
        <f>IF($BG113="","",VLOOKUP($BH113,$BD$158:$BF$186,3,0))</f>
        <v/>
      </c>
      <c r="BG113" s="498" t="str">
        <f>IF(AND(OR(($H$31="通常食"),($H$31="キッズ")),NOT(OR($L$31=0,$L$31=""))),$L$31,"")</f>
        <v/>
      </c>
      <c r="BH113" s="498" t="str">
        <f t="shared" si="29"/>
        <v>0幼児</v>
      </c>
      <c r="BI113" s="498">
        <f>IF(OR(BG113="",BG113=0),0,39)</f>
        <v>0</v>
      </c>
      <c r="BJ113" s="498"/>
      <c r="BK113" s="498"/>
      <c r="BL113" s="498">
        <f t="shared" si="21"/>
        <v>0</v>
      </c>
      <c r="BM113" s="498">
        <f t="shared" si="22"/>
        <v>0</v>
      </c>
      <c r="BN113" s="498" t="e">
        <f t="shared" si="30"/>
        <v>#N/A</v>
      </c>
      <c r="BO113" s="498" t="e">
        <f t="shared" si="23"/>
        <v>#N/A</v>
      </c>
      <c r="BP113" s="498">
        <f t="shared" si="24"/>
        <v>0</v>
      </c>
      <c r="BQ113" s="498" t="e">
        <f t="shared" si="25"/>
        <v>#N/A</v>
      </c>
      <c r="BR113" s="498">
        <f t="shared" si="16"/>
        <v>0</v>
      </c>
      <c r="BS113" s="498"/>
      <c r="BT113" s="498">
        <f t="shared" si="26"/>
        <v>0</v>
      </c>
      <c r="BU113" s="498">
        <f t="shared" si="17"/>
        <v>0</v>
      </c>
      <c r="BV113" s="498">
        <f t="shared" si="27"/>
        <v>0</v>
      </c>
      <c r="BW113" s="498">
        <f t="shared" si="18"/>
        <v>0</v>
      </c>
      <c r="BX113" s="498">
        <f t="shared" si="19"/>
        <v>0</v>
      </c>
      <c r="BY113" s="498">
        <f t="shared" si="20"/>
        <v>0</v>
      </c>
      <c r="BZ113" s="498">
        <f t="shared" si="28"/>
        <v>0</v>
      </c>
      <c r="CA113" s="498"/>
      <c r="CB113" s="33"/>
      <c r="CC113" s="33"/>
      <c r="CD113" s="33"/>
      <c r="CE113" s="33"/>
      <c r="CF113" s="33"/>
    </row>
    <row r="114" spans="32:84" ht="13.5" hidden="1" customHeight="1">
      <c r="AF114" s="3"/>
      <c r="AG114" s="3"/>
      <c r="AH114" s="3"/>
      <c r="AI114" s="3"/>
      <c r="AJ114" s="3"/>
      <c r="BA114" s="498" t="s">
        <v>262</v>
      </c>
      <c r="BB114" s="498">
        <f>A31</f>
        <v>0</v>
      </c>
      <c r="BC114" s="498">
        <f>C31</f>
        <v>0</v>
      </c>
      <c r="BD114" s="498" t="str">
        <f>IF(AND(OR(($H$31="通常食"),($H$31="キッズ")),NOT(OR($N$31=0,$N$31=""))),$H$31,"")</f>
        <v/>
      </c>
      <c r="BE114" s="498" t="str">
        <f>IF($BG114="","",VLOOKUP($BH114,$BD$158:$BF$186,2,0))</f>
        <v/>
      </c>
      <c r="BF114" s="498" t="str">
        <f>IF($BG114="","",VLOOKUP($BH114,$BD$158:$BF$186,3,0))</f>
        <v/>
      </c>
      <c r="BG114" s="498" t="str">
        <f>IF(AND(OR(($H$31="通常食"),($H$31="キッズ")),NOT(OR($N$31=0,$N$31=""))),$N$31,"")</f>
        <v/>
      </c>
      <c r="BH114" s="498" t="str">
        <f t="shared" si="29"/>
        <v>0小学生</v>
      </c>
      <c r="BI114" s="498">
        <f>IF(OR(BG114="",BG114=0),0,38)</f>
        <v>0</v>
      </c>
      <c r="BJ114" s="498"/>
      <c r="BK114" s="498"/>
      <c r="BL114" s="498">
        <f t="shared" si="21"/>
        <v>0</v>
      </c>
      <c r="BM114" s="498">
        <f t="shared" si="22"/>
        <v>0</v>
      </c>
      <c r="BN114" s="498" t="e">
        <f t="shared" si="30"/>
        <v>#N/A</v>
      </c>
      <c r="BO114" s="498" t="e">
        <f t="shared" si="23"/>
        <v>#N/A</v>
      </c>
      <c r="BP114" s="498">
        <f t="shared" si="24"/>
        <v>0</v>
      </c>
      <c r="BQ114" s="498" t="e">
        <f t="shared" si="25"/>
        <v>#N/A</v>
      </c>
      <c r="BR114" s="498">
        <f t="shared" si="16"/>
        <v>0</v>
      </c>
      <c r="BS114" s="498"/>
      <c r="BT114" s="498">
        <f t="shared" si="26"/>
        <v>0</v>
      </c>
      <c r="BU114" s="498">
        <f t="shared" si="17"/>
        <v>0</v>
      </c>
      <c r="BV114" s="498">
        <f t="shared" si="27"/>
        <v>0</v>
      </c>
      <c r="BW114" s="498">
        <f t="shared" si="18"/>
        <v>0</v>
      </c>
      <c r="BX114" s="498">
        <f t="shared" si="19"/>
        <v>0</v>
      </c>
      <c r="BY114" s="498">
        <f t="shared" si="20"/>
        <v>0</v>
      </c>
      <c r="BZ114" s="498">
        <f t="shared" si="28"/>
        <v>0</v>
      </c>
      <c r="CA114" s="498"/>
      <c r="CB114" s="33"/>
      <c r="CC114" s="33"/>
      <c r="CD114" s="33"/>
      <c r="CE114" s="33"/>
      <c r="CF114" s="33"/>
    </row>
    <row r="115" spans="32:84" ht="13.5" hidden="1" customHeight="1">
      <c r="AF115" s="3"/>
      <c r="AG115" s="3"/>
      <c r="AH115" s="3"/>
      <c r="AI115" s="3"/>
      <c r="AJ115" s="3"/>
      <c r="BA115" s="498" t="s">
        <v>264</v>
      </c>
      <c r="BB115" s="498">
        <f>A31</f>
        <v>0</v>
      </c>
      <c r="BC115" s="498">
        <f>C31</f>
        <v>0</v>
      </c>
      <c r="BD115" s="498" t="str">
        <f>IF(AND(OR(($H$31="通常食"),($H$31="キッズ")),NOT(OR($P$31=0,$P$31=""))),$H$31,"")</f>
        <v/>
      </c>
      <c r="BE115" s="498" t="str">
        <f>IF($BG115="","",VLOOKUP($BH115,$BD$158:$BF$186,2,0))</f>
        <v/>
      </c>
      <c r="BF115" s="498" t="str">
        <f>IF($BG115="","",VLOOKUP($BH115,$BD$158:$BF$186,3,0))</f>
        <v/>
      </c>
      <c r="BG115" s="498" t="str">
        <f>IF(AND(OR(($H$31="通常食"),($H$31="キッズ")),NOT(OR($P$31=0,$P$31=""))),$P$31,"")</f>
        <v/>
      </c>
      <c r="BH115" s="498" t="str">
        <f t="shared" si="29"/>
        <v>0中学生以上</v>
      </c>
      <c r="BI115" s="498">
        <f>IF(OR(BG115="",BG115=0),0,37)</f>
        <v>0</v>
      </c>
      <c r="BJ115" s="498"/>
      <c r="BK115" s="498"/>
      <c r="BL115" s="498">
        <f t="shared" si="21"/>
        <v>0</v>
      </c>
      <c r="BM115" s="498">
        <f t="shared" si="22"/>
        <v>0</v>
      </c>
      <c r="BN115" s="498" t="e">
        <f>INDEX($BE$104:$BE$151,MATCH($BR115,$BI$104:$BI$151,0))</f>
        <v>#N/A</v>
      </c>
      <c r="BO115" s="498" t="e">
        <f t="shared" si="23"/>
        <v>#N/A</v>
      </c>
      <c r="BP115" s="498">
        <f t="shared" si="24"/>
        <v>0</v>
      </c>
      <c r="BQ115" s="498" t="e">
        <f t="shared" si="25"/>
        <v>#N/A</v>
      </c>
      <c r="BR115" s="498">
        <f t="shared" si="16"/>
        <v>0</v>
      </c>
      <c r="BS115" s="498"/>
      <c r="BT115" s="498">
        <f t="shared" si="26"/>
        <v>0</v>
      </c>
      <c r="BU115" s="498">
        <f t="shared" si="17"/>
        <v>0</v>
      </c>
      <c r="BV115" s="498">
        <f t="shared" si="27"/>
        <v>0</v>
      </c>
      <c r="BW115" s="498">
        <f t="shared" si="18"/>
        <v>0</v>
      </c>
      <c r="BX115" s="498">
        <f t="shared" si="19"/>
        <v>0</v>
      </c>
      <c r="BY115" s="498">
        <f t="shared" si="20"/>
        <v>0</v>
      </c>
      <c r="BZ115" s="498">
        <f t="shared" si="28"/>
        <v>0</v>
      </c>
      <c r="CA115" s="498"/>
      <c r="CB115" s="33"/>
      <c r="CC115" s="33"/>
      <c r="CD115" s="33"/>
      <c r="CE115" s="33"/>
      <c r="CF115" s="33"/>
    </row>
    <row r="116" spans="32:84" ht="13.5" hidden="1" customHeight="1">
      <c r="AF116" s="3"/>
      <c r="AG116" s="3"/>
      <c r="AH116" s="3"/>
      <c r="AI116" s="3"/>
      <c r="AJ116" s="3"/>
      <c r="BA116" s="498" t="s">
        <v>263</v>
      </c>
      <c r="BB116" s="498">
        <f>A32</f>
        <v>0</v>
      </c>
      <c r="BC116" s="498">
        <f>C32</f>
        <v>0</v>
      </c>
      <c r="BD116" s="498">
        <f>IF(AND(NOT($H$32="通常食"),NOT($H$32="キッズ")),$H$32,"")</f>
        <v>0</v>
      </c>
      <c r="BE116" s="498" t="e">
        <f>IF(NOT($BD116=""),VLOOKUP($BD116,$BD$186:$BF$218,2,0),"")</f>
        <v>#N/A</v>
      </c>
      <c r="BF116" s="498" t="e">
        <f>IF(NOT($BD116=""),VLOOKUP($BD116,$BD$186:$BF$218,3,0),"")</f>
        <v>#N/A</v>
      </c>
      <c r="BG116" s="498">
        <f>IF(AND(NOT($H$32="通常食"),NOT($H$32="キッズ")),$R$32,"")</f>
        <v>0</v>
      </c>
      <c r="BH116" s="498"/>
      <c r="BI116" s="498">
        <f>IF(OR(BG116="",BG116=0),0,36)</f>
        <v>0</v>
      </c>
      <c r="BJ116" s="498"/>
      <c r="BK116" s="498"/>
      <c r="BL116" s="498">
        <f t="shared" si="21"/>
        <v>0</v>
      </c>
      <c r="BM116" s="498">
        <f t="shared" si="22"/>
        <v>0</v>
      </c>
      <c r="BN116" s="498" t="e">
        <f t="shared" si="30"/>
        <v>#N/A</v>
      </c>
      <c r="BO116" s="498" t="e">
        <f t="shared" si="23"/>
        <v>#N/A</v>
      </c>
      <c r="BP116" s="498">
        <f t="shared" si="24"/>
        <v>0</v>
      </c>
      <c r="BQ116" s="498" t="e">
        <f t="shared" si="25"/>
        <v>#N/A</v>
      </c>
      <c r="BR116" s="498">
        <f t="shared" si="16"/>
        <v>0</v>
      </c>
      <c r="BS116" s="498"/>
      <c r="BT116" s="498">
        <f t="shared" si="26"/>
        <v>0</v>
      </c>
      <c r="BU116" s="498">
        <f t="shared" si="17"/>
        <v>0</v>
      </c>
      <c r="BV116" s="498">
        <f t="shared" si="27"/>
        <v>0</v>
      </c>
      <c r="BW116" s="498">
        <f t="shared" si="18"/>
        <v>0</v>
      </c>
      <c r="BX116" s="498">
        <f t="shared" si="19"/>
        <v>0</v>
      </c>
      <c r="BY116" s="498">
        <f t="shared" si="20"/>
        <v>0</v>
      </c>
      <c r="BZ116" s="498">
        <f t="shared" si="28"/>
        <v>0</v>
      </c>
      <c r="CA116" s="498"/>
      <c r="CB116" s="33"/>
      <c r="CC116" s="33"/>
      <c r="CD116" s="33"/>
      <c r="CE116" s="33"/>
      <c r="CF116" s="33"/>
    </row>
    <row r="117" spans="32:84" ht="13.5" hidden="1" customHeight="1">
      <c r="AF117" s="3"/>
      <c r="AG117" s="3"/>
      <c r="AH117" s="3"/>
      <c r="AI117" s="3"/>
      <c r="AJ117" s="3"/>
      <c r="BA117" s="498" t="s">
        <v>261</v>
      </c>
      <c r="BB117" s="498">
        <f>A32</f>
        <v>0</v>
      </c>
      <c r="BC117" s="498">
        <f>C32</f>
        <v>0</v>
      </c>
      <c r="BD117" s="498" t="str">
        <f>IF(AND(OR(($H$32="通常食"),($H$32="キッズ")),NOT(OR($L$32=0,$L$32=""))),$H$32,"")</f>
        <v/>
      </c>
      <c r="BE117" s="498" t="str">
        <f>IF($BG117="","",VLOOKUP($BH117,$BD$158:$BF$186,2,0))</f>
        <v/>
      </c>
      <c r="BF117" s="498" t="str">
        <f>IF($BG117="","",VLOOKUP($BH117,$BD$158:$BF$186,3,0))</f>
        <v/>
      </c>
      <c r="BG117" s="498" t="str">
        <f>IF(AND(OR(($H$32="通常食"),($H$32="キッズ")),NOT(OR($L$32=0,$L$32=""))),$L$32,"")</f>
        <v/>
      </c>
      <c r="BH117" s="498" t="str">
        <f t="shared" si="29"/>
        <v>0幼児</v>
      </c>
      <c r="BI117" s="498">
        <f>IF(OR(BG117="",BG117=0),0,35)</f>
        <v>0</v>
      </c>
      <c r="BJ117" s="498"/>
      <c r="BK117" s="498"/>
      <c r="BL117" s="498">
        <f t="shared" si="21"/>
        <v>0</v>
      </c>
      <c r="BM117" s="498">
        <f t="shared" si="22"/>
        <v>0</v>
      </c>
      <c r="BN117" s="498" t="e">
        <f t="shared" si="30"/>
        <v>#N/A</v>
      </c>
      <c r="BO117" s="498" t="e">
        <f t="shared" si="23"/>
        <v>#N/A</v>
      </c>
      <c r="BP117" s="498">
        <f t="shared" si="24"/>
        <v>0</v>
      </c>
      <c r="BQ117" s="498" t="e">
        <f t="shared" si="25"/>
        <v>#N/A</v>
      </c>
      <c r="BR117" s="498">
        <f t="shared" si="16"/>
        <v>0</v>
      </c>
      <c r="BS117" s="498"/>
      <c r="BT117" s="498">
        <f t="shared" si="26"/>
        <v>0</v>
      </c>
      <c r="BU117" s="498">
        <f t="shared" si="17"/>
        <v>0</v>
      </c>
      <c r="BV117" s="498">
        <f t="shared" si="27"/>
        <v>0</v>
      </c>
      <c r="BW117" s="498">
        <f t="shared" si="18"/>
        <v>0</v>
      </c>
      <c r="BX117" s="498">
        <f t="shared" si="19"/>
        <v>0</v>
      </c>
      <c r="BY117" s="498">
        <f t="shared" si="20"/>
        <v>0</v>
      </c>
      <c r="BZ117" s="498">
        <f t="shared" si="28"/>
        <v>0</v>
      </c>
      <c r="CA117" s="498"/>
      <c r="CB117" s="33"/>
      <c r="CC117" s="33"/>
      <c r="CD117" s="33"/>
      <c r="CE117" s="33"/>
      <c r="CF117" s="33"/>
    </row>
    <row r="118" spans="32:84" ht="13.5" hidden="1" customHeight="1">
      <c r="AF118" s="3"/>
      <c r="AG118" s="3"/>
      <c r="AH118" s="3"/>
      <c r="AI118" s="3"/>
      <c r="AJ118" s="3"/>
      <c r="BA118" s="498" t="s">
        <v>262</v>
      </c>
      <c r="BB118" s="498">
        <f>A32</f>
        <v>0</v>
      </c>
      <c r="BC118" s="498">
        <f>C32</f>
        <v>0</v>
      </c>
      <c r="BD118" s="498" t="str">
        <f>IF(AND(OR(($H$32="通常食"),($H$32="キッズ")),NOT(OR($N$32=0,$N$32=""))),$H$32,"")</f>
        <v/>
      </c>
      <c r="BE118" s="498" t="str">
        <f>IF($BG118="","",VLOOKUP($BH118,$BD$157:$BF$218,2,0))</f>
        <v/>
      </c>
      <c r="BF118" s="498" t="str">
        <f>IF($BG118="","",VLOOKUP($BH118,$BD$158:$BF$186,3,0))</f>
        <v/>
      </c>
      <c r="BG118" s="498" t="str">
        <f>IF(AND(OR(($H$32="通常食"),($H$32="キッズ")),NOT(OR($N$32=0,$N$32=""))),$N$32,"")</f>
        <v/>
      </c>
      <c r="BH118" s="498" t="str">
        <f t="shared" si="29"/>
        <v>0小学生</v>
      </c>
      <c r="BI118" s="498">
        <f>IF(OR(BG118="",BG118=0),0,34)</f>
        <v>0</v>
      </c>
      <c r="BJ118" s="498"/>
      <c r="BK118" s="498"/>
      <c r="BL118" s="498">
        <f t="shared" si="21"/>
        <v>0</v>
      </c>
      <c r="BM118" s="498">
        <f t="shared" si="22"/>
        <v>0</v>
      </c>
      <c r="BN118" s="498" t="e">
        <f t="shared" si="30"/>
        <v>#N/A</v>
      </c>
      <c r="BO118" s="498" t="e">
        <f t="shared" si="23"/>
        <v>#N/A</v>
      </c>
      <c r="BP118" s="498">
        <f t="shared" si="24"/>
        <v>0</v>
      </c>
      <c r="BQ118" s="498" t="e">
        <f t="shared" si="25"/>
        <v>#N/A</v>
      </c>
      <c r="BR118" s="498">
        <f t="shared" si="16"/>
        <v>0</v>
      </c>
      <c r="BS118" s="498"/>
      <c r="BT118" s="498">
        <f t="shared" si="26"/>
        <v>0</v>
      </c>
      <c r="BU118" s="498">
        <f t="shared" si="17"/>
        <v>0</v>
      </c>
      <c r="BV118" s="498">
        <f t="shared" si="27"/>
        <v>0</v>
      </c>
      <c r="BW118" s="498">
        <f t="shared" si="18"/>
        <v>0</v>
      </c>
      <c r="BX118" s="498">
        <f t="shared" si="19"/>
        <v>0</v>
      </c>
      <c r="BY118" s="498">
        <f t="shared" si="20"/>
        <v>0</v>
      </c>
      <c r="BZ118" s="498">
        <f t="shared" si="28"/>
        <v>0</v>
      </c>
      <c r="CA118" s="498"/>
      <c r="CB118" s="33"/>
      <c r="CC118" s="33"/>
      <c r="CD118" s="33"/>
      <c r="CE118" s="33"/>
      <c r="CF118" s="33"/>
    </row>
    <row r="119" spans="32:84" ht="13.5" hidden="1" customHeight="1">
      <c r="AF119" s="3"/>
      <c r="AG119" s="3"/>
      <c r="AH119" s="3"/>
      <c r="AI119" s="3"/>
      <c r="AJ119" s="3"/>
      <c r="BA119" s="498" t="s">
        <v>264</v>
      </c>
      <c r="BB119" s="498">
        <f>A32</f>
        <v>0</v>
      </c>
      <c r="BC119" s="498">
        <f>C32</f>
        <v>0</v>
      </c>
      <c r="BD119" s="498" t="str">
        <f>IF(AND(OR(($H$32="通常食"),($H$32="キッズ")),NOT(OR($P$32=0,$P$32=""))),$H$32,"")</f>
        <v/>
      </c>
      <c r="BE119" s="498" t="str">
        <f>IF($BG119="","",VLOOKUP($BH119,$BD$157:$BF$218,2,0))</f>
        <v/>
      </c>
      <c r="BF119" s="498" t="str">
        <f>IF($BG119="","",VLOOKUP($BH119,$BD$158:$BF$186,3,0))</f>
        <v/>
      </c>
      <c r="BG119" s="498" t="str">
        <f>IF(AND(OR(($H$32="通常食"),($H$32="キッズ")),NOT(OR($P$32=0,$P$32=""))),$P$32,"")</f>
        <v/>
      </c>
      <c r="BH119" s="498" t="str">
        <f t="shared" si="29"/>
        <v>0中学生以上</v>
      </c>
      <c r="BI119" s="498">
        <f>IF(OR(BG119="",BG119=0),0,33)</f>
        <v>0</v>
      </c>
      <c r="BJ119" s="498"/>
      <c r="BK119" s="498"/>
      <c r="BL119" s="498">
        <f t="shared" si="21"/>
        <v>0</v>
      </c>
      <c r="BM119" s="498">
        <f t="shared" si="22"/>
        <v>0</v>
      </c>
      <c r="BN119" s="498" t="e">
        <f t="shared" si="30"/>
        <v>#N/A</v>
      </c>
      <c r="BO119" s="498" t="e">
        <f t="shared" si="23"/>
        <v>#N/A</v>
      </c>
      <c r="BP119" s="498">
        <f t="shared" si="24"/>
        <v>0</v>
      </c>
      <c r="BQ119" s="498" t="e">
        <f t="shared" si="25"/>
        <v>#N/A</v>
      </c>
      <c r="BR119" s="498">
        <f t="shared" si="16"/>
        <v>0</v>
      </c>
      <c r="BS119" s="498"/>
      <c r="BT119" s="498">
        <f t="shared" si="26"/>
        <v>0</v>
      </c>
      <c r="BU119" s="498">
        <f t="shared" si="17"/>
        <v>0</v>
      </c>
      <c r="BV119" s="498">
        <f t="shared" si="27"/>
        <v>0</v>
      </c>
      <c r="BW119" s="498">
        <f t="shared" si="18"/>
        <v>0</v>
      </c>
      <c r="BX119" s="498">
        <f t="shared" si="19"/>
        <v>0</v>
      </c>
      <c r="BY119" s="498">
        <f t="shared" si="20"/>
        <v>0</v>
      </c>
      <c r="BZ119" s="498">
        <f t="shared" si="28"/>
        <v>0</v>
      </c>
      <c r="CA119" s="498"/>
      <c r="CB119" s="33"/>
      <c r="CC119" s="33"/>
      <c r="CD119" s="33"/>
      <c r="CE119" s="33"/>
      <c r="CF119" s="33"/>
    </row>
    <row r="120" spans="32:84" ht="13.5" hidden="1" customHeight="1">
      <c r="AF120" s="3"/>
      <c r="AG120" s="3"/>
      <c r="AH120" s="3"/>
      <c r="AI120" s="3"/>
      <c r="AJ120" s="3"/>
      <c r="BA120" s="498" t="s">
        <v>263</v>
      </c>
      <c r="BB120" s="498">
        <f>A33</f>
        <v>0</v>
      </c>
      <c r="BC120" s="498">
        <f>C33</f>
        <v>0</v>
      </c>
      <c r="BD120" s="498">
        <f>IF(AND(NOT($H$33="通常食"),NOT($H$33="キッズ")),$H$33,"")</f>
        <v>0</v>
      </c>
      <c r="BE120" s="498" t="e">
        <f>IF(NOT($BD120=""),VLOOKUP($BD120,$BD$157:$BF$218,2,0),"")</f>
        <v>#N/A</v>
      </c>
      <c r="BF120" s="498" t="e">
        <f>IF(NOT($BD120=""),VLOOKUP($BD120,$BD$186:$BF$218,3,0),"")</f>
        <v>#N/A</v>
      </c>
      <c r="BG120" s="498">
        <f>IF(AND(NOT($H$33="通常食"),NOT($H$33="キッズ")),$R$33,"")</f>
        <v>0</v>
      </c>
      <c r="BH120" s="498"/>
      <c r="BI120" s="498">
        <f>IF(OR(BG120="",BG120=0),0,32)</f>
        <v>0</v>
      </c>
      <c r="BJ120" s="498"/>
      <c r="BK120" s="498"/>
      <c r="BL120" s="498">
        <f t="shared" si="21"/>
        <v>0</v>
      </c>
      <c r="BM120" s="498">
        <f t="shared" si="22"/>
        <v>0</v>
      </c>
      <c r="BN120" s="498" t="e">
        <f t="shared" si="30"/>
        <v>#N/A</v>
      </c>
      <c r="BO120" s="498" t="e">
        <f t="shared" si="23"/>
        <v>#N/A</v>
      </c>
      <c r="BP120" s="498">
        <f t="shared" si="24"/>
        <v>0</v>
      </c>
      <c r="BQ120" s="498" t="e">
        <f t="shared" si="25"/>
        <v>#N/A</v>
      </c>
      <c r="BR120" s="498">
        <f t="shared" si="16"/>
        <v>0</v>
      </c>
      <c r="BS120" s="498"/>
      <c r="BT120" s="498">
        <f t="shared" si="26"/>
        <v>0</v>
      </c>
      <c r="BU120" s="498">
        <f t="shared" si="26"/>
        <v>0</v>
      </c>
      <c r="BV120" s="498">
        <f t="shared" si="27"/>
        <v>0</v>
      </c>
      <c r="BW120" s="498">
        <f t="shared" si="18"/>
        <v>0</v>
      </c>
      <c r="BX120" s="498">
        <f t="shared" si="19"/>
        <v>0</v>
      </c>
      <c r="BY120" s="498">
        <f t="shared" si="20"/>
        <v>0</v>
      </c>
      <c r="BZ120" s="498">
        <f t="shared" si="28"/>
        <v>0</v>
      </c>
      <c r="CA120" s="498"/>
      <c r="CB120" s="33"/>
      <c r="CC120" s="33"/>
      <c r="CD120" s="33"/>
      <c r="CE120" s="33"/>
      <c r="CF120" s="33"/>
    </row>
    <row r="121" spans="32:84" ht="13.5" hidden="1" customHeight="1">
      <c r="AF121" s="3"/>
      <c r="AG121" s="3"/>
      <c r="AH121" s="3"/>
      <c r="AI121" s="3"/>
      <c r="AJ121" s="3"/>
      <c r="BA121" s="498" t="s">
        <v>261</v>
      </c>
      <c r="BB121" s="498">
        <f>A33</f>
        <v>0</v>
      </c>
      <c r="BC121" s="498">
        <f>C33</f>
        <v>0</v>
      </c>
      <c r="BD121" s="498" t="str">
        <f>IF(AND(OR(($H$33="通常食"),($H$33="キッズ")),NOT(OR($L$33=0,$L$33=""))),$H$33,"")</f>
        <v/>
      </c>
      <c r="BE121" s="498" t="str">
        <f>IF($BG121="","",VLOOKUP($BH121,$BD$158:$BF$186,2,0))</f>
        <v/>
      </c>
      <c r="BF121" s="498" t="str">
        <f>IF($BG121="","",VLOOKUP($BH121,$BD$158:$BF$186,3,0))</f>
        <v/>
      </c>
      <c r="BG121" s="498" t="str">
        <f>IF(AND(OR(($H$33="通常食"),($H$33="キッズ")),NOT(OR($L$33=0,$L$33=""))),$L$33,"")</f>
        <v/>
      </c>
      <c r="BH121" s="498" t="str">
        <f t="shared" si="29"/>
        <v>0幼児</v>
      </c>
      <c r="BI121" s="498">
        <f>IF(OR(BG121="",BG121=0),0,31)</f>
        <v>0</v>
      </c>
      <c r="BJ121" s="498"/>
      <c r="BK121" s="498"/>
      <c r="BL121" s="498">
        <f t="shared" si="21"/>
        <v>0</v>
      </c>
      <c r="BM121" s="498">
        <f t="shared" si="22"/>
        <v>0</v>
      </c>
      <c r="BN121" s="498" t="e">
        <f t="shared" si="30"/>
        <v>#N/A</v>
      </c>
      <c r="BO121" s="498" t="e">
        <f t="shared" si="23"/>
        <v>#N/A</v>
      </c>
      <c r="BP121" s="498">
        <f t="shared" si="24"/>
        <v>0</v>
      </c>
      <c r="BQ121" s="498" t="e">
        <f t="shared" si="25"/>
        <v>#N/A</v>
      </c>
      <c r="BR121" s="498">
        <f t="shared" si="16"/>
        <v>0</v>
      </c>
      <c r="BS121" s="498"/>
      <c r="BT121" s="498">
        <f t="shared" si="26"/>
        <v>0</v>
      </c>
      <c r="BU121" s="498">
        <f t="shared" si="26"/>
        <v>0</v>
      </c>
      <c r="BV121" s="498">
        <f t="shared" si="27"/>
        <v>0</v>
      </c>
      <c r="BW121" s="498">
        <f t="shared" si="18"/>
        <v>0</v>
      </c>
      <c r="BX121" s="498">
        <f t="shared" si="19"/>
        <v>0</v>
      </c>
      <c r="BY121" s="498">
        <f t="shared" si="20"/>
        <v>0</v>
      </c>
      <c r="BZ121" s="498">
        <f t="shared" si="28"/>
        <v>0</v>
      </c>
      <c r="CA121" s="498">
        <f>LARGE($BI$104:$BI$151,ROW(I18))</f>
        <v>0</v>
      </c>
      <c r="CB121" s="33"/>
      <c r="CC121" s="33"/>
      <c r="CD121" s="33"/>
      <c r="CE121" s="33"/>
      <c r="CF121" s="33"/>
    </row>
    <row r="122" spans="32:84" ht="13.5" hidden="1" customHeight="1">
      <c r="AF122" s="1580"/>
      <c r="AG122" s="1580"/>
      <c r="AH122" s="1580"/>
      <c r="AI122" s="1580"/>
      <c r="AJ122" s="1580"/>
      <c r="BA122" s="498" t="s">
        <v>262</v>
      </c>
      <c r="BB122" s="498">
        <f>A33</f>
        <v>0</v>
      </c>
      <c r="BC122" s="498">
        <f>C33</f>
        <v>0</v>
      </c>
      <c r="BD122" s="498" t="str">
        <f>IF(AND(OR(($H$33="通常食"),($H$33="キッズ")),NOT(OR($N$33=0,$N$33=""))),$H$33,"")</f>
        <v/>
      </c>
      <c r="BE122" s="498" t="str">
        <f>IF($BG122="","",VLOOKUP($BH122,$BD$158:$BF$186,2,0))</f>
        <v/>
      </c>
      <c r="BF122" s="498" t="str">
        <f>IF($BG122="","",VLOOKUP($BH122,$BD$158:$BF$186,3,0))</f>
        <v/>
      </c>
      <c r="BG122" s="498" t="str">
        <f>IF(AND(OR(($H$33="通常食"),($H$33="キッズ")),NOT(OR($N$33=0,$N$33=""))),$N$33,"")</f>
        <v/>
      </c>
      <c r="BH122" s="498" t="str">
        <f t="shared" si="29"/>
        <v>0小学生</v>
      </c>
      <c r="BI122" s="498">
        <f>IF(OR(BG122="",BG122=0),0,30)</f>
        <v>0</v>
      </c>
      <c r="BJ122" s="498"/>
      <c r="BK122" s="498"/>
      <c r="BL122" s="498"/>
      <c r="BM122" s="498"/>
      <c r="BN122" s="498"/>
      <c r="BO122" s="498"/>
      <c r="BP122" s="498"/>
      <c r="BQ122" s="498"/>
      <c r="BR122" s="498"/>
      <c r="BS122" s="498"/>
      <c r="BT122" s="498"/>
      <c r="BU122" s="498"/>
      <c r="BV122" s="498"/>
      <c r="BW122" s="498"/>
      <c r="BX122" s="498"/>
      <c r="BY122" s="498"/>
      <c r="BZ122" s="498"/>
      <c r="CA122" s="498"/>
      <c r="CB122" s="33"/>
      <c r="CC122" s="33"/>
      <c r="CD122" s="33"/>
      <c r="CE122" s="33"/>
      <c r="CF122" s="33"/>
    </row>
    <row r="123" spans="32:84" ht="13.5" hidden="1" customHeight="1">
      <c r="AF123" s="1580"/>
      <c r="AG123" s="1580"/>
      <c r="AH123" s="1580"/>
      <c r="AI123" s="1580"/>
      <c r="AJ123" s="1580"/>
      <c r="BA123" s="498" t="s">
        <v>264</v>
      </c>
      <c r="BB123" s="498">
        <f>A33</f>
        <v>0</v>
      </c>
      <c r="BC123" s="498">
        <f>C33</f>
        <v>0</v>
      </c>
      <c r="BD123" s="498" t="str">
        <f>IF(AND(OR(($H$33="通常食"),($H$33="キッズ")),NOT(OR($P$33=0,$P$33=""))),$H$33,"")</f>
        <v/>
      </c>
      <c r="BE123" s="498" t="str">
        <f>IF($BG123="","",VLOOKUP($BH123,$BD$158:$BF$186,2,0))</f>
        <v/>
      </c>
      <c r="BF123" s="498" t="str">
        <f>IF($BG123="","",VLOOKUP($BH123,$BD$158:$BF$186,3,0))</f>
        <v/>
      </c>
      <c r="BG123" s="498" t="str">
        <f>IF(AND(OR(($H$33="通常食"),($H$33="キッズ")),NOT(OR($P$33=0,$P$33=""))),$P$33,"")</f>
        <v/>
      </c>
      <c r="BH123" s="498" t="str">
        <f t="shared" si="29"/>
        <v>0中学生以上</v>
      </c>
      <c r="BI123" s="498">
        <f>IF(OR(BG123="",BG123=0),0,29)</f>
        <v>0</v>
      </c>
      <c r="BJ123" s="498"/>
      <c r="BK123" s="498"/>
      <c r="BL123" s="498"/>
      <c r="BM123" s="498"/>
      <c r="BN123" s="498"/>
      <c r="BO123" s="498"/>
      <c r="BP123" s="498"/>
      <c r="BQ123" s="498"/>
      <c r="BR123" s="498"/>
      <c r="BS123" s="498"/>
      <c r="BT123" s="498"/>
      <c r="BU123" s="498"/>
      <c r="BV123" s="498"/>
      <c r="BW123" s="498"/>
      <c r="BX123" s="498"/>
      <c r="BY123" s="498"/>
      <c r="BZ123" s="498"/>
      <c r="CA123" s="498"/>
      <c r="CB123" s="33"/>
      <c r="CC123" s="33"/>
      <c r="CD123" s="33"/>
      <c r="CE123" s="33"/>
      <c r="CF123" s="33"/>
    </row>
    <row r="124" spans="32:84" ht="13.5" hidden="1" customHeight="1">
      <c r="AF124" s="1580"/>
      <c r="AG124" s="1580"/>
      <c r="AH124" s="1580"/>
      <c r="AI124" s="1580"/>
      <c r="AJ124" s="1580"/>
      <c r="BA124" s="498" t="s">
        <v>263</v>
      </c>
      <c r="BB124" s="498">
        <f>A34</f>
        <v>0</v>
      </c>
      <c r="BC124" s="498">
        <f>C34</f>
        <v>0</v>
      </c>
      <c r="BD124" s="498">
        <f>IF(AND(NOT($H$34="通常食"),NOT($H$34="キッズ")),$H$34,"")</f>
        <v>0</v>
      </c>
      <c r="BE124" s="498" t="e">
        <f>IF(NOT($BD124=""),VLOOKUP($BD124,$BD$157:$BF$218,2,0),"")</f>
        <v>#N/A</v>
      </c>
      <c r="BF124" s="498" t="e">
        <f>IF(NOT($BD124=""),VLOOKUP($BD124,$BD$186:$BF$218,3,0),"")</f>
        <v>#N/A</v>
      </c>
      <c r="BG124" s="498">
        <f>IF(AND(NOT($H$34="通常食"),NOT($H$34="キッズ")),$R$34,"")</f>
        <v>0</v>
      </c>
      <c r="BH124" s="498"/>
      <c r="BI124" s="498">
        <f>IF(OR(BG124="",BG124=0),0,28)</f>
        <v>0</v>
      </c>
      <c r="BJ124" s="498"/>
      <c r="BK124" s="498"/>
      <c r="BL124" s="498"/>
      <c r="BM124" s="498"/>
      <c r="BN124" s="498"/>
      <c r="BO124" s="498"/>
      <c r="BP124" s="498"/>
      <c r="BQ124" s="498"/>
      <c r="BR124" s="498"/>
      <c r="BS124" s="498"/>
      <c r="BT124" s="498"/>
      <c r="BU124" s="498"/>
      <c r="BV124" s="498"/>
      <c r="BW124" s="498"/>
      <c r="BX124" s="498"/>
      <c r="BY124" s="498"/>
      <c r="BZ124" s="498"/>
      <c r="CA124" s="498"/>
      <c r="CB124" s="33"/>
      <c r="CC124" s="33"/>
      <c r="CD124" s="33"/>
      <c r="CE124" s="33"/>
      <c r="CF124" s="33"/>
    </row>
    <row r="125" spans="32:84" ht="13.5" hidden="1" customHeight="1">
      <c r="AF125" s="1580"/>
      <c r="AG125" s="1580"/>
      <c r="AH125" s="1580"/>
      <c r="AI125" s="1580"/>
      <c r="AJ125" s="1580"/>
      <c r="BA125" s="498" t="s">
        <v>261</v>
      </c>
      <c r="BB125" s="498">
        <f>A34</f>
        <v>0</v>
      </c>
      <c r="BC125" s="498">
        <f>C34</f>
        <v>0</v>
      </c>
      <c r="BD125" s="498" t="str">
        <f>IF(AND(OR(($H$34="通常食"),($H$34="キッズ")),NOT(OR($L$34=0,$L$34=""))),$H$34,"")</f>
        <v/>
      </c>
      <c r="BE125" s="498" t="str">
        <f>IF($BG125="","",VLOOKUP($BH125,$BD$158:$BF$186,2,0))</f>
        <v/>
      </c>
      <c r="BF125" s="498" t="str">
        <f>IF($BG125="","",VLOOKUP($BH125,$BD$158:$BF$186,3,0))</f>
        <v/>
      </c>
      <c r="BG125" s="498" t="str">
        <f>IF(AND(OR(($H$34="通常食"),($H$34="キッズ")),NOT(OR($L$34=0,$L$34=""))),$L$34,"")</f>
        <v/>
      </c>
      <c r="BH125" s="498" t="str">
        <f t="shared" si="29"/>
        <v>0幼児</v>
      </c>
      <c r="BI125" s="498">
        <f>IF(OR(BG125="",BG125=0),0,27)</f>
        <v>0</v>
      </c>
      <c r="BJ125" s="498"/>
      <c r="BK125" s="498"/>
      <c r="BL125" s="498"/>
      <c r="BM125" s="498"/>
      <c r="BN125" s="498"/>
      <c r="BO125" s="498"/>
      <c r="BP125" s="498"/>
      <c r="BQ125" s="498"/>
      <c r="BR125" s="498"/>
      <c r="BS125" s="498"/>
      <c r="BT125" s="498"/>
      <c r="BU125" s="498"/>
      <c r="BV125" s="498"/>
      <c r="BW125" s="498"/>
      <c r="BX125" s="498"/>
      <c r="BY125" s="498"/>
      <c r="BZ125" s="498"/>
      <c r="CA125" s="498"/>
      <c r="CB125" s="33"/>
      <c r="CC125" s="33"/>
      <c r="CD125" s="33"/>
      <c r="CE125" s="33"/>
      <c r="CF125" s="33"/>
    </row>
    <row r="126" spans="32:84" ht="13.5" hidden="1" customHeight="1">
      <c r="AF126" s="1580"/>
      <c r="AG126" s="1580"/>
      <c r="AH126" s="1580"/>
      <c r="AI126" s="1580"/>
      <c r="AJ126" s="1580"/>
      <c r="BA126" s="498" t="s">
        <v>262</v>
      </c>
      <c r="BB126" s="498">
        <f>A34</f>
        <v>0</v>
      </c>
      <c r="BC126" s="498">
        <f>C34</f>
        <v>0</v>
      </c>
      <c r="BD126" s="498" t="str">
        <f>IF(AND(OR(($H$34="通常食"),($H$34="キッズ")),NOT(OR($N$34=0,$N$34=""))),$H$34,"")</f>
        <v/>
      </c>
      <c r="BE126" s="498" t="str">
        <f>IF($BG126="","",VLOOKUP($BH126,$BD$158:$BF$186,2,0))</f>
        <v/>
      </c>
      <c r="BF126" s="498" t="str">
        <f>IF($BG126="","",VLOOKUP($BH126,$BD$158:$BF$186,3,0))</f>
        <v/>
      </c>
      <c r="BG126" s="498" t="str">
        <f>IF(AND(OR(($H$34="通常食"),($H$34="キッズ")),NOT(OR($N$34=0,$N$34=""))),$N$34,"")</f>
        <v/>
      </c>
      <c r="BH126" s="498" t="str">
        <f t="shared" si="29"/>
        <v>0小学生</v>
      </c>
      <c r="BI126" s="498">
        <f>IF(OR(BG126="",BG126=0),0,26)</f>
        <v>0</v>
      </c>
      <c r="BJ126" s="498"/>
      <c r="BK126" s="498"/>
      <c r="BL126" s="498"/>
      <c r="BM126" s="498"/>
      <c r="BN126" s="498"/>
      <c r="BO126" s="498"/>
      <c r="BP126" s="498"/>
      <c r="BQ126" s="498"/>
      <c r="BR126" s="498"/>
      <c r="BS126" s="498"/>
      <c r="BT126" s="498"/>
      <c r="BU126" s="498"/>
      <c r="BV126" s="498"/>
      <c r="BW126" s="498"/>
      <c r="BX126" s="498"/>
      <c r="BY126" s="498"/>
      <c r="BZ126" s="498"/>
      <c r="CA126" s="498"/>
      <c r="CB126" s="33"/>
      <c r="CC126" s="33"/>
      <c r="CD126" s="33"/>
      <c r="CE126" s="33"/>
      <c r="CF126" s="33"/>
    </row>
    <row r="127" spans="32:84" ht="13.5" hidden="1" customHeight="1">
      <c r="AF127" s="1580"/>
      <c r="AG127" s="1580"/>
      <c r="AH127" s="1580"/>
      <c r="AI127" s="1580"/>
      <c r="AJ127" s="1580"/>
      <c r="BA127" s="498" t="s">
        <v>264</v>
      </c>
      <c r="BB127" s="498">
        <f>A34</f>
        <v>0</v>
      </c>
      <c r="BC127" s="498">
        <f>C34</f>
        <v>0</v>
      </c>
      <c r="BD127" s="498" t="str">
        <f>IF(AND(OR(($H$34="通常食"),($H$34="キッズ")),NOT(OR($P$34=0,$P$34=""))),$H$34,"")</f>
        <v/>
      </c>
      <c r="BE127" s="498" t="str">
        <f>IF($BG127="","",VLOOKUP($BH127,$BD$158:$BF$186,2,0))</f>
        <v/>
      </c>
      <c r="BF127" s="498" t="str">
        <f>IF($BG127="","",VLOOKUP($BH127,$BD$158:$BF$186,3,0))</f>
        <v/>
      </c>
      <c r="BG127" s="498" t="str">
        <f>IF(AND(OR(($H$34="通常食"),($H$34="キッズ")),NOT(OR($P$34=0,$P$34=""))),$P$34,"")</f>
        <v/>
      </c>
      <c r="BH127" s="498" t="str">
        <f t="shared" si="29"/>
        <v>0中学生以上</v>
      </c>
      <c r="BI127" s="498">
        <f>IF(OR(BG127="",BG127=0),0,25)</f>
        <v>0</v>
      </c>
      <c r="BJ127" s="498"/>
      <c r="BK127" s="498"/>
      <c r="BL127" s="498"/>
      <c r="BM127" s="498"/>
      <c r="BN127" s="498"/>
      <c r="BO127" s="498"/>
      <c r="BP127" s="498"/>
      <c r="BQ127" s="498"/>
      <c r="BR127" s="498"/>
      <c r="BS127" s="498"/>
      <c r="BT127" s="498"/>
      <c r="BU127" s="498"/>
      <c r="BV127" s="498"/>
      <c r="BW127" s="498"/>
      <c r="BX127" s="498"/>
      <c r="BY127" s="498"/>
      <c r="BZ127" s="498"/>
      <c r="CA127" s="498"/>
      <c r="CB127" s="33"/>
      <c r="CC127" s="33"/>
      <c r="CD127" s="33"/>
      <c r="CE127" s="33"/>
      <c r="CF127" s="33"/>
    </row>
    <row r="128" spans="32:84" ht="13.5" hidden="1" customHeight="1">
      <c r="AF128" s="1580"/>
      <c r="AG128" s="1580"/>
      <c r="AH128" s="1580"/>
      <c r="AI128" s="1580"/>
      <c r="AJ128" s="1580"/>
      <c r="BA128" s="498" t="s">
        <v>263</v>
      </c>
      <c r="BB128" s="498">
        <f>A35</f>
        <v>0</v>
      </c>
      <c r="BC128" s="498">
        <f>C35</f>
        <v>0</v>
      </c>
      <c r="BD128" s="498">
        <f>IF(AND(NOT($H$35="通常食"),NOT($H$35="キッズ")),$H$35,"")</f>
        <v>0</v>
      </c>
      <c r="BE128" s="498" t="e">
        <f>IF(NOT($BD128=""),VLOOKUP($BD128,$BD$157:$BF$218,2,0),"")</f>
        <v>#N/A</v>
      </c>
      <c r="BF128" s="498" t="e">
        <f>IF(NOT($BD128=""),VLOOKUP($BD128,$BD$186:$BF$218,3,0),"")</f>
        <v>#N/A</v>
      </c>
      <c r="BG128" s="498">
        <f>IF(AND(NOT($H$35="通常食"),NOT($H$35="キッズ")),$R$35,"")</f>
        <v>0</v>
      </c>
      <c r="BH128" s="498"/>
      <c r="BI128" s="498">
        <f>IF(OR(BG128="",BG128=0),0,24)</f>
        <v>0</v>
      </c>
      <c r="BJ128" s="498"/>
      <c r="BK128" s="498"/>
      <c r="BL128" s="498"/>
      <c r="BM128" s="498"/>
      <c r="BN128" s="498"/>
      <c r="BO128" s="498"/>
      <c r="BP128" s="498"/>
      <c r="BQ128" s="498"/>
      <c r="BR128" s="498"/>
      <c r="BS128" s="498"/>
      <c r="BT128" s="498"/>
      <c r="BU128" s="498"/>
      <c r="BV128" s="498"/>
      <c r="BW128" s="498"/>
      <c r="BX128" s="498"/>
      <c r="BY128" s="498"/>
      <c r="BZ128" s="498"/>
      <c r="CA128" s="498"/>
      <c r="CB128" s="33"/>
      <c r="CC128" s="33"/>
      <c r="CD128" s="33"/>
      <c r="CE128" s="33"/>
      <c r="CF128" s="33"/>
    </row>
    <row r="129" spans="32:84" ht="13.5" hidden="1" customHeight="1">
      <c r="AF129" s="1580"/>
      <c r="AG129" s="1580"/>
      <c r="AH129" s="1580"/>
      <c r="AI129" s="1580"/>
      <c r="AJ129" s="1580"/>
      <c r="BA129" s="498" t="s">
        <v>261</v>
      </c>
      <c r="BB129" s="498">
        <f>A35</f>
        <v>0</v>
      </c>
      <c r="BC129" s="498">
        <f>C35</f>
        <v>0</v>
      </c>
      <c r="BD129" s="498" t="str">
        <f>IF(AND(OR(($H$35="通常食"),($H$35="キッズ")),NOT(OR($L$35=0,$L$35=""))),$H$35,"")</f>
        <v/>
      </c>
      <c r="BE129" s="498" t="str">
        <f>IF($BG129="","",VLOOKUP($BH129,$BD$158:$BF$186,2,0))</f>
        <v/>
      </c>
      <c r="BF129" s="498" t="str">
        <f>IF($BG129="","",VLOOKUP($BH129,$BD$158:$BF$186,3,0))</f>
        <v/>
      </c>
      <c r="BG129" s="498" t="str">
        <f>IF(AND(OR(($H$35="通常食"),($H$35="キッズ")),NOT(OR($L$35=0,$L$35=""))),$L$35,"")</f>
        <v/>
      </c>
      <c r="BH129" s="498" t="str">
        <f t="shared" si="29"/>
        <v>0幼児</v>
      </c>
      <c r="BI129" s="498">
        <f>IF(OR(BG129="",BG129=0),0,23)</f>
        <v>0</v>
      </c>
      <c r="BJ129" s="498"/>
      <c r="BK129" s="498"/>
      <c r="BL129" s="498"/>
      <c r="BM129" s="498"/>
      <c r="BN129" s="498"/>
      <c r="BO129" s="498"/>
      <c r="BP129" s="498"/>
      <c r="BQ129" s="498"/>
      <c r="BR129" s="498"/>
      <c r="BS129" s="498"/>
      <c r="BT129" s="498"/>
      <c r="BU129" s="498"/>
      <c r="BV129" s="498"/>
      <c r="BW129" s="498"/>
      <c r="BX129" s="498"/>
      <c r="BY129" s="498"/>
      <c r="BZ129" s="498"/>
      <c r="CA129" s="498"/>
      <c r="CB129" s="33"/>
      <c r="CC129" s="33"/>
      <c r="CD129" s="33"/>
      <c r="CE129" s="33"/>
      <c r="CF129" s="33"/>
    </row>
    <row r="130" spans="32:84" ht="13.5" hidden="1" customHeight="1">
      <c r="AF130" s="1580"/>
      <c r="AG130" s="1580"/>
      <c r="AH130" s="1580"/>
      <c r="AI130" s="1580"/>
      <c r="AJ130" s="1580"/>
      <c r="BA130" s="498" t="s">
        <v>262</v>
      </c>
      <c r="BB130" s="498">
        <f>A35</f>
        <v>0</v>
      </c>
      <c r="BC130" s="498">
        <f>C35</f>
        <v>0</v>
      </c>
      <c r="BD130" s="498" t="str">
        <f>IF(AND(OR(($H$35="通常食"),($H$35="キッズ")),NOT(OR($N$35=0,$N$35=""))),$H$35,"")</f>
        <v/>
      </c>
      <c r="BE130" s="498" t="str">
        <f>IF($BG130="","",VLOOKUP($BH130,$BD$158:$BF$186,2,0))</f>
        <v/>
      </c>
      <c r="BF130" s="498" t="str">
        <f>IF($BG130="","",VLOOKUP($BH130,$BD$158:$BF$186,3,0))</f>
        <v/>
      </c>
      <c r="BG130" s="498" t="str">
        <f>IF(AND(OR(($H$35="通常食"),($H$35="キッズ")),NOT(OR($N$35=0,$N$35=""))),$N$35,"")</f>
        <v/>
      </c>
      <c r="BH130" s="498" t="str">
        <f t="shared" si="29"/>
        <v>0小学生</v>
      </c>
      <c r="BI130" s="498">
        <f>IF(OR(BG130="",BG130=0),0,22)</f>
        <v>0</v>
      </c>
      <c r="BJ130" s="498"/>
      <c r="BK130" s="498"/>
      <c r="BL130" s="498"/>
      <c r="BM130" s="498"/>
      <c r="BN130" s="498"/>
      <c r="BO130" s="498"/>
      <c r="BP130" s="498"/>
      <c r="BQ130" s="498"/>
      <c r="BR130" s="498"/>
      <c r="BS130" s="498"/>
      <c r="BT130" s="498"/>
      <c r="BU130" s="498"/>
      <c r="BV130" s="498"/>
      <c r="BW130" s="498"/>
      <c r="BX130" s="498"/>
      <c r="BY130" s="498"/>
      <c r="BZ130" s="498"/>
      <c r="CA130" s="498"/>
      <c r="CB130" s="33"/>
      <c r="CC130" s="33"/>
      <c r="CD130" s="33"/>
      <c r="CE130" s="33"/>
      <c r="CF130" s="33"/>
    </row>
    <row r="131" spans="32:84" ht="13.5" hidden="1" customHeight="1">
      <c r="AF131" s="1580"/>
      <c r="AG131" s="1580"/>
      <c r="AH131" s="1580"/>
      <c r="AI131" s="1580"/>
      <c r="AJ131" s="1580"/>
      <c r="BA131" s="498" t="s">
        <v>264</v>
      </c>
      <c r="BB131" s="498">
        <f>A35</f>
        <v>0</v>
      </c>
      <c r="BC131" s="498">
        <f>C35</f>
        <v>0</v>
      </c>
      <c r="BD131" s="498" t="str">
        <f>IF(AND(OR(($H$35="通常食"),($H$35="キッズ")),NOT(OR($P$35=0,$P$35=""))),$H$35,"")</f>
        <v/>
      </c>
      <c r="BE131" s="498" t="str">
        <f>IF($BG131="","",VLOOKUP($BH131,$BD$158:$BF$186,2,0))</f>
        <v/>
      </c>
      <c r="BF131" s="498" t="str">
        <f>IF($BG131="","",VLOOKUP($BH131,$BD$158:$BF$186,3,0))</f>
        <v/>
      </c>
      <c r="BG131" s="498" t="str">
        <f>IF(AND(OR(($H$35="通常食"),($H$35="キッズ")),NOT(OR($P$35=0,$P$35=""))),$P$35,"")</f>
        <v/>
      </c>
      <c r="BH131" s="498" t="str">
        <f t="shared" si="29"/>
        <v>0中学生以上</v>
      </c>
      <c r="BI131" s="498">
        <f>IF(OR(BG131="",BG131=0),0,21)</f>
        <v>0</v>
      </c>
      <c r="BJ131" s="498"/>
      <c r="BK131" s="498"/>
      <c r="BL131" s="498"/>
      <c r="BM131" s="498"/>
      <c r="BN131" s="498"/>
      <c r="BO131" s="498"/>
      <c r="BP131" s="498"/>
      <c r="BQ131" s="498"/>
      <c r="BR131" s="498"/>
      <c r="BS131" s="498"/>
      <c r="BT131" s="498"/>
      <c r="BU131" s="19"/>
      <c r="BV131" s="19"/>
      <c r="BW131" s="19"/>
      <c r="BX131" s="19"/>
      <c r="BY131" s="19"/>
      <c r="BZ131" s="19"/>
      <c r="CA131" s="19"/>
      <c r="CB131" s="27"/>
      <c r="CC131" s="27"/>
    </row>
    <row r="132" spans="32:84" ht="13.5" hidden="1" customHeight="1">
      <c r="AF132" s="1580"/>
      <c r="AG132" s="1580"/>
      <c r="AH132" s="1580"/>
      <c r="AI132" s="1580"/>
      <c r="AJ132" s="1580"/>
      <c r="BA132" s="498" t="s">
        <v>263</v>
      </c>
      <c r="BB132" s="498">
        <f>A36</f>
        <v>0</v>
      </c>
      <c r="BC132" s="498">
        <f>C36</f>
        <v>0</v>
      </c>
      <c r="BD132" s="498">
        <f>IF(AND(NOT($H$36="通常食"),NOT($H$36="キッズ")),$H$36,"")</f>
        <v>0</v>
      </c>
      <c r="BE132" s="498" t="e">
        <f>IF(NOT($BD132=""),VLOOKUP($BD132,$BD$157:$BF$218,2,0),"")</f>
        <v>#N/A</v>
      </c>
      <c r="BF132" s="498" t="e">
        <f>IF(NOT($BD132=""),VLOOKUP($BD132,$BD$186:$BF$218,3,0),"")</f>
        <v>#N/A</v>
      </c>
      <c r="BG132" s="498">
        <f>IF(AND(NOT($H$36="通常食"),NOT($H$36="キッズ")),$R$36,"")</f>
        <v>0</v>
      </c>
      <c r="BH132" s="498"/>
      <c r="BI132" s="498">
        <f>IF(OR(BG132="",BG132=0),0,20)</f>
        <v>0</v>
      </c>
      <c r="BJ132" s="498"/>
      <c r="BK132" s="498"/>
      <c r="BL132" s="498"/>
      <c r="BM132" s="498"/>
      <c r="BN132" s="498"/>
      <c r="BO132" s="498"/>
      <c r="BP132" s="498"/>
      <c r="BQ132" s="498"/>
      <c r="BR132" s="498"/>
      <c r="BS132" s="498"/>
      <c r="BT132" s="498"/>
      <c r="BU132" s="19"/>
      <c r="BV132" s="19"/>
      <c r="BW132" s="19"/>
      <c r="BX132" s="19"/>
      <c r="BY132" s="19"/>
      <c r="BZ132" s="19"/>
      <c r="CA132" s="19"/>
      <c r="CB132" s="27"/>
      <c r="CC132" s="27"/>
    </row>
    <row r="133" spans="32:84" ht="13.5" hidden="1" customHeight="1">
      <c r="AF133" s="1580"/>
      <c r="AG133" s="1580"/>
      <c r="AH133" s="1580"/>
      <c r="AI133" s="1580"/>
      <c r="AJ133" s="1580"/>
      <c r="BA133" s="498" t="s">
        <v>261</v>
      </c>
      <c r="BB133" s="498">
        <f>A36</f>
        <v>0</v>
      </c>
      <c r="BC133" s="498">
        <f>C36</f>
        <v>0</v>
      </c>
      <c r="BD133" s="498" t="str">
        <f>IF(AND(OR(($H$36="通常食"),($H$36="キッズ")),NOT(OR($L$36=0,$L$36=""))),$H$36,"")</f>
        <v/>
      </c>
      <c r="BE133" s="498" t="str">
        <f>IF($BG133="","",VLOOKUP($BH133,$BD$158:$BF$186,2,0))</f>
        <v/>
      </c>
      <c r="BF133" s="498" t="str">
        <f>IF($BG133="","",VLOOKUP($BH133,$BD$158:$BF$186,3,0))</f>
        <v/>
      </c>
      <c r="BG133" s="498" t="str">
        <f>IF(AND(OR(($H$36="通常食"),($H$36="キッズ")),NOT(OR($L$36=0,$L$36=""))),$L$36,"")</f>
        <v/>
      </c>
      <c r="BH133" s="498" t="str">
        <f t="shared" si="29"/>
        <v>0幼児</v>
      </c>
      <c r="BI133" s="498">
        <f>IF(OR(BG133="",BG133=0),0,19)</f>
        <v>0</v>
      </c>
      <c r="BJ133" s="498"/>
      <c r="BK133" s="498"/>
      <c r="BL133" s="498"/>
      <c r="BM133" s="498"/>
      <c r="BN133" s="498"/>
      <c r="BO133" s="498"/>
      <c r="BP133" s="498"/>
      <c r="BQ133" s="498"/>
      <c r="BR133" s="498"/>
      <c r="BS133" s="498"/>
      <c r="BT133" s="498"/>
      <c r="BU133" s="19"/>
      <c r="BV133" s="19"/>
      <c r="BW133" s="19"/>
      <c r="BX133" s="19"/>
      <c r="BY133" s="19"/>
      <c r="BZ133" s="19"/>
      <c r="CA133" s="19"/>
      <c r="CB133" s="27"/>
      <c r="CC133" s="27"/>
    </row>
    <row r="134" spans="32:84" ht="13.5" hidden="1" customHeight="1">
      <c r="AF134" s="1580"/>
      <c r="AG134" s="1580"/>
      <c r="AH134" s="1580"/>
      <c r="AI134" s="1580"/>
      <c r="AJ134" s="1580"/>
      <c r="BA134" s="498" t="s">
        <v>262</v>
      </c>
      <c r="BB134" s="498">
        <f>A36</f>
        <v>0</v>
      </c>
      <c r="BC134" s="498">
        <f>C36</f>
        <v>0</v>
      </c>
      <c r="BD134" s="498" t="str">
        <f>IF(AND(OR(($H$36="通常食"),($H$36="キッズ")),NOT(OR($N$36=0,$N$36=""))),$H$36,"")</f>
        <v/>
      </c>
      <c r="BE134" s="498" t="str">
        <f>IF($BG134="","",VLOOKUP($BH134,$BD$158:$BF$186,2,0))</f>
        <v/>
      </c>
      <c r="BF134" s="498" t="str">
        <f>IF($BG134="","",VLOOKUP($BH134,$BD$158:$BF$186,3,0))</f>
        <v/>
      </c>
      <c r="BG134" s="498" t="str">
        <f>IF(AND(OR(($H$36="通常食"),($H$36="キッズ")),NOT(OR($N$36=0,$N$36=""))),$N$36,"")</f>
        <v/>
      </c>
      <c r="BH134" s="498" t="str">
        <f t="shared" si="29"/>
        <v>0小学生</v>
      </c>
      <c r="BI134" s="498">
        <f>IF(OR(BG134="",BG134=0),0,18)</f>
        <v>0</v>
      </c>
      <c r="BJ134" s="498"/>
      <c r="BK134" s="498"/>
      <c r="BL134" s="498"/>
      <c r="BM134" s="498"/>
      <c r="BN134" s="498"/>
      <c r="BO134" s="498"/>
      <c r="BP134" s="498"/>
      <c r="BQ134" s="498"/>
      <c r="BR134" s="498"/>
      <c r="BS134" s="498"/>
      <c r="BT134" s="498"/>
      <c r="BU134" s="19"/>
      <c r="BV134" s="19"/>
      <c r="BW134" s="19"/>
      <c r="BX134" s="19"/>
      <c r="BY134" s="19"/>
      <c r="BZ134" s="19"/>
      <c r="CA134" s="19"/>
      <c r="CB134" s="27"/>
      <c r="CC134" s="27"/>
    </row>
    <row r="135" spans="32:84" ht="13.5" hidden="1" customHeight="1">
      <c r="AF135" s="1580"/>
      <c r="AG135" s="1580"/>
      <c r="AH135" s="1580"/>
      <c r="AI135" s="1580"/>
      <c r="AJ135" s="1580"/>
      <c r="BA135" s="498" t="s">
        <v>264</v>
      </c>
      <c r="BB135" s="498">
        <f>A36</f>
        <v>0</v>
      </c>
      <c r="BC135" s="498">
        <f>C36</f>
        <v>0</v>
      </c>
      <c r="BD135" s="498" t="str">
        <f>IF(AND(OR(($H$36="通常食"),($H$36="キッズ")),NOT(OR($P$36=0,$P$36=""))),$H$36,"")</f>
        <v/>
      </c>
      <c r="BE135" s="498" t="str">
        <f>IF($BG135="","",VLOOKUP($BH135,$BD$158:$BF$186,2,0))</f>
        <v/>
      </c>
      <c r="BF135" s="498" t="str">
        <f>IF($BG135="","",VLOOKUP($BH135,$BD$158:$BF$186,3,0))</f>
        <v/>
      </c>
      <c r="BG135" s="498" t="str">
        <f>IF(AND(OR(($H$36="通常食"),($H$36="キッズ")),NOT(OR($P$36=0,$P$36=""))),$P$36,"")</f>
        <v/>
      </c>
      <c r="BH135" s="498" t="str">
        <f t="shared" si="29"/>
        <v>0中学生以上</v>
      </c>
      <c r="BI135" s="498">
        <f>IF(OR(BG135="",BG135=0),0,17)</f>
        <v>0</v>
      </c>
      <c r="BJ135" s="498"/>
      <c r="BK135" s="498"/>
      <c r="BL135" s="498"/>
      <c r="BM135" s="498"/>
      <c r="BN135" s="498"/>
      <c r="BO135" s="498"/>
      <c r="BP135" s="498"/>
      <c r="BQ135" s="498"/>
      <c r="BR135" s="498"/>
      <c r="BS135" s="498"/>
      <c r="BT135" s="498"/>
      <c r="BU135" s="19"/>
      <c r="BV135" s="19"/>
      <c r="BW135" s="19"/>
      <c r="BX135" s="19"/>
      <c r="BY135" s="19"/>
      <c r="BZ135" s="19"/>
      <c r="CA135" s="19"/>
      <c r="CB135" s="27"/>
      <c r="CC135" s="27"/>
    </row>
    <row r="136" spans="32:84" ht="13.5" hidden="1" customHeight="1">
      <c r="AF136" s="1580"/>
      <c r="AG136" s="1580"/>
      <c r="AH136" s="1580"/>
      <c r="AI136" s="1580"/>
      <c r="AJ136" s="1580"/>
      <c r="BA136" s="498" t="s">
        <v>263</v>
      </c>
      <c r="BB136" s="498">
        <f>A37</f>
        <v>0</v>
      </c>
      <c r="BC136" s="498">
        <f>C37</f>
        <v>0</v>
      </c>
      <c r="BD136" s="498">
        <f>IF(AND(NOT($H$37="通常食"),NOT($H$37="キッズ")),$H$37,"")</f>
        <v>0</v>
      </c>
      <c r="BE136" s="498" t="e">
        <f>IF(NOT($BD136=""),VLOOKUP($BD136,$BD$157:$BF$218,2,0),"")</f>
        <v>#N/A</v>
      </c>
      <c r="BF136" s="498" t="e">
        <f>IF(NOT($BD136=""),VLOOKUP($BD136,$BD$186:$BF$218,3,0),"")</f>
        <v>#N/A</v>
      </c>
      <c r="BG136" s="498">
        <f>IF(AND(NOT($H$37="通常食"),NOT($H$37="キッズ")),$R$37,"")</f>
        <v>0</v>
      </c>
      <c r="BH136" s="498"/>
      <c r="BI136" s="498">
        <f>IF(OR(BG136="",BG136=0),0,16)</f>
        <v>0</v>
      </c>
      <c r="BJ136" s="498"/>
      <c r="BK136" s="498"/>
      <c r="BL136" s="498"/>
      <c r="BM136" s="498"/>
      <c r="BN136" s="498"/>
      <c r="BO136" s="498"/>
      <c r="BP136" s="498"/>
      <c r="BQ136" s="498"/>
      <c r="BR136" s="498"/>
      <c r="BS136" s="498"/>
      <c r="BT136" s="498"/>
      <c r="BU136" s="19"/>
      <c r="BV136" s="19"/>
      <c r="BW136" s="19"/>
      <c r="BX136" s="19"/>
      <c r="BY136" s="19"/>
      <c r="BZ136" s="19"/>
      <c r="CA136" s="19"/>
      <c r="CB136" s="27"/>
      <c r="CC136" s="27"/>
    </row>
    <row r="137" spans="32:84" ht="13.5" hidden="1" customHeight="1">
      <c r="AF137" s="1580"/>
      <c r="AG137" s="1580"/>
      <c r="AH137" s="1580"/>
      <c r="AI137" s="1580"/>
      <c r="AJ137" s="1580"/>
      <c r="BA137" s="498" t="s">
        <v>261</v>
      </c>
      <c r="BB137" s="498">
        <f>A37</f>
        <v>0</v>
      </c>
      <c r="BC137" s="498">
        <f>C37</f>
        <v>0</v>
      </c>
      <c r="BD137" s="498" t="str">
        <f>IF(AND(OR(($H$37="通常食"),($H$37="キッズ")),NOT(OR($L$37=0,$L$37=""))),$H$37,"")</f>
        <v/>
      </c>
      <c r="BE137" s="498" t="str">
        <f>IF($BG137="","",VLOOKUP($BH137,$BD$158:$BF$186,2,0))</f>
        <v/>
      </c>
      <c r="BF137" s="498" t="str">
        <f>IF($BG137="","",VLOOKUP($BH137,$BD$158:$BF$186,3,0))</f>
        <v/>
      </c>
      <c r="BG137" s="498" t="str">
        <f>IF(AND(OR(($H$37="通常食"),($H$37="キッズ")),NOT(OR($L$37=0,$L$37=""))),$L$37,"")</f>
        <v/>
      </c>
      <c r="BH137" s="498" t="str">
        <f t="shared" si="29"/>
        <v>0幼児</v>
      </c>
      <c r="BI137" s="498">
        <f>IF(OR(BG137="",BG137=0),0,15)</f>
        <v>0</v>
      </c>
      <c r="BJ137" s="498"/>
      <c r="BK137" s="498"/>
      <c r="BL137" s="498"/>
      <c r="BM137" s="498"/>
      <c r="BN137" s="498"/>
      <c r="BO137" s="498"/>
      <c r="BP137" s="498"/>
      <c r="BQ137" s="498"/>
      <c r="BR137" s="498"/>
      <c r="BS137" s="498"/>
      <c r="BT137" s="498"/>
      <c r="BU137" s="19"/>
      <c r="BV137" s="19"/>
      <c r="BW137" s="19"/>
      <c r="BX137" s="19"/>
      <c r="BY137" s="19"/>
      <c r="BZ137" s="19"/>
      <c r="CA137" s="19"/>
      <c r="CB137" s="27"/>
      <c r="CC137" s="27"/>
    </row>
    <row r="138" spans="32:84" ht="13.5" hidden="1" customHeight="1">
      <c r="AF138" s="1580"/>
      <c r="AG138" s="1580"/>
      <c r="AH138" s="1580"/>
      <c r="AI138" s="1580"/>
      <c r="AJ138" s="1580"/>
      <c r="BA138" s="498" t="s">
        <v>262</v>
      </c>
      <c r="BB138" s="498">
        <f>A37</f>
        <v>0</v>
      </c>
      <c r="BC138" s="498">
        <f>C37</f>
        <v>0</v>
      </c>
      <c r="BD138" s="498" t="str">
        <f>IF(AND(OR(($H$37="通常食"),($H$37="キッズ")),NOT(OR($N$37=0,$N$37=""))),$H$37,"")</f>
        <v/>
      </c>
      <c r="BE138" s="498" t="str">
        <f>IF($BG138="","",VLOOKUP($BH138,$BD$158:$BF$186,2,0))</f>
        <v/>
      </c>
      <c r="BF138" s="498" t="str">
        <f>IF($BG138="","",VLOOKUP($BH138,$BD$158:$BF$186,3,0))</f>
        <v/>
      </c>
      <c r="BG138" s="498" t="str">
        <f>IF(AND(OR(($H$37="通常食"),($H$37="キッズ")),NOT(OR($N$37=0,$N$37=""))),$N$37,"")</f>
        <v/>
      </c>
      <c r="BH138" s="498" t="str">
        <f t="shared" si="29"/>
        <v>0小学生</v>
      </c>
      <c r="BI138" s="498">
        <f>IF(OR(BG138="",BG138=0),0,14)</f>
        <v>0</v>
      </c>
      <c r="BJ138" s="498"/>
      <c r="BK138" s="498"/>
      <c r="BL138" s="498"/>
      <c r="BM138" s="498"/>
      <c r="BN138" s="498"/>
      <c r="BO138" s="498"/>
      <c r="BP138" s="498"/>
      <c r="BQ138" s="498"/>
      <c r="BR138" s="498"/>
      <c r="BS138" s="498"/>
      <c r="BT138" s="498"/>
      <c r="BU138" s="19"/>
      <c r="BV138" s="19"/>
      <c r="BW138" s="19"/>
      <c r="BX138" s="19"/>
      <c r="BY138" s="19"/>
      <c r="BZ138" s="19"/>
      <c r="CA138" s="19"/>
      <c r="CB138" s="27"/>
      <c r="CC138" s="27"/>
    </row>
    <row r="139" spans="32:84" ht="13.5" hidden="1" customHeight="1">
      <c r="AF139" s="1580"/>
      <c r="AG139" s="1580"/>
      <c r="AH139" s="1580"/>
      <c r="AI139" s="1580"/>
      <c r="AJ139" s="1580"/>
      <c r="BA139" s="498" t="s">
        <v>264</v>
      </c>
      <c r="BB139" s="498">
        <f>A37</f>
        <v>0</v>
      </c>
      <c r="BC139" s="498">
        <f>C37</f>
        <v>0</v>
      </c>
      <c r="BD139" s="498" t="str">
        <f>IF(AND(OR(($H$37="通常食"),($H$37="キッズ")),NOT(OR($P$37=0,$P$37=""))),$H$37,"")</f>
        <v/>
      </c>
      <c r="BE139" s="498" t="str">
        <f>IF($BG139="","",VLOOKUP($BH139,$BD$158:$BF$186,2,0))</f>
        <v/>
      </c>
      <c r="BF139" s="498" t="str">
        <f>IF($BG139="","",VLOOKUP($BH139,$BD$158:$BF$186,3,0))</f>
        <v/>
      </c>
      <c r="BG139" s="498" t="str">
        <f>IF(AND(OR(($H$37="通常食"),($H$37="キッズ")),NOT(OR($P$37=0,$P$37=""))),$P$37,"")</f>
        <v/>
      </c>
      <c r="BH139" s="498" t="str">
        <f t="shared" si="29"/>
        <v>0中学生以上</v>
      </c>
      <c r="BI139" s="498">
        <f>IF(OR(BG139="",BG139=0),0,13)</f>
        <v>0</v>
      </c>
      <c r="BJ139" s="498"/>
      <c r="BK139" s="498"/>
      <c r="BL139" s="498"/>
      <c r="BM139" s="498"/>
      <c r="BN139" s="498"/>
      <c r="BO139" s="498"/>
      <c r="BP139" s="498"/>
      <c r="BQ139" s="498"/>
      <c r="BR139" s="498"/>
      <c r="BS139" s="498"/>
      <c r="BT139" s="498"/>
      <c r="BU139" s="19"/>
      <c r="BV139" s="19"/>
      <c r="BW139" s="19"/>
      <c r="BX139" s="19"/>
      <c r="BY139" s="19"/>
      <c r="BZ139" s="19"/>
      <c r="CA139" s="19"/>
      <c r="CB139" s="27"/>
      <c r="CC139" s="27"/>
    </row>
    <row r="140" spans="32:84" ht="13.5" hidden="1" customHeight="1">
      <c r="AF140" s="1580"/>
      <c r="AG140" s="1580"/>
      <c r="AH140" s="1580"/>
      <c r="AI140" s="1580"/>
      <c r="AJ140" s="1580"/>
      <c r="BA140" s="498" t="s">
        <v>263</v>
      </c>
      <c r="BB140" s="498">
        <f>A38</f>
        <v>0</v>
      </c>
      <c r="BC140" s="498">
        <f>C38</f>
        <v>0</v>
      </c>
      <c r="BD140" s="498">
        <f>IF(AND(NOT($H$38="通常食"),NOT($H$38="キッズ")),$H$38,"")</f>
        <v>0</v>
      </c>
      <c r="BE140" s="498" t="e">
        <f>IF(NOT($BD140=""),VLOOKUP($BD140,$BD$157:$BF$218,2,0),"")</f>
        <v>#N/A</v>
      </c>
      <c r="BF140" s="498" t="e">
        <f>IF(NOT($BD140=""),VLOOKUP($BD140,$BD$158:$BF$218,3,0),"")</f>
        <v>#N/A</v>
      </c>
      <c r="BG140" s="498">
        <f>IF(AND(NOT($H$38="通常食"),NOT($H$38="キッズ")),$R$38,"")</f>
        <v>0</v>
      </c>
      <c r="BH140" s="498"/>
      <c r="BI140" s="498">
        <f>IF(OR(BG140="",BG140=0),0,12)</f>
        <v>0</v>
      </c>
      <c r="BJ140" s="498"/>
      <c r="BK140" s="498"/>
      <c r="BL140" s="498"/>
      <c r="BM140" s="498"/>
      <c r="BN140" s="498"/>
      <c r="BO140" s="498"/>
      <c r="BP140" s="498"/>
      <c r="BQ140" s="498"/>
      <c r="BR140" s="498"/>
      <c r="BS140" s="498"/>
      <c r="BT140" s="498"/>
      <c r="BU140" s="19"/>
      <c r="BV140" s="19"/>
      <c r="BW140" s="19"/>
      <c r="BX140" s="19"/>
      <c r="BY140" s="19"/>
      <c r="BZ140" s="19"/>
      <c r="CA140" s="19"/>
      <c r="CB140" s="27"/>
      <c r="CC140" s="27"/>
    </row>
    <row r="141" spans="32:84" ht="13.5" hidden="1" customHeight="1">
      <c r="AF141" s="1580"/>
      <c r="AG141" s="1580"/>
      <c r="AH141" s="1580"/>
      <c r="AI141" s="1580"/>
      <c r="AJ141" s="1580"/>
      <c r="BA141" s="498" t="s">
        <v>261</v>
      </c>
      <c r="BB141" s="498">
        <f>A38</f>
        <v>0</v>
      </c>
      <c r="BC141" s="498">
        <f>C38</f>
        <v>0</v>
      </c>
      <c r="BD141" s="498" t="str">
        <f>IF(AND(OR(($H$38="通常食"),($H$38="キッズ")),NOT(OR($L$38=0,$L$38=""))),$H$38,"")</f>
        <v/>
      </c>
      <c r="BE141" s="498" t="str">
        <f>IF($BG141="","",VLOOKUP($BH141,$BD$158:$BF$186,2,0))</f>
        <v/>
      </c>
      <c r="BF141" s="498" t="str">
        <f>IF($BG141="","",VLOOKUP($BH141,$BD$158:$BF$186,3,0))</f>
        <v/>
      </c>
      <c r="BG141" s="498" t="str">
        <f>IF(AND(OR(($H$38="通常食"),($H$38="キッズ")),NOT(OR($L$38=0,$L$38=""))),$L$38,"")</f>
        <v/>
      </c>
      <c r="BH141" s="498" t="str">
        <f t="shared" si="29"/>
        <v>0幼児</v>
      </c>
      <c r="BI141" s="498">
        <f>IF(OR(BG141="",BG141=0),0,11)</f>
        <v>0</v>
      </c>
      <c r="BJ141" s="498"/>
      <c r="BK141" s="498"/>
      <c r="BL141" s="498"/>
      <c r="BM141" s="498"/>
      <c r="BN141" s="498"/>
      <c r="BO141" s="498"/>
      <c r="BP141" s="498"/>
      <c r="BQ141" s="498"/>
      <c r="BR141" s="498"/>
      <c r="BS141" s="498"/>
      <c r="BT141" s="498"/>
      <c r="BU141" s="19"/>
      <c r="BV141" s="19"/>
      <c r="BW141" s="19"/>
      <c r="BX141" s="19"/>
      <c r="BY141" s="19"/>
      <c r="BZ141" s="19"/>
      <c r="CA141" s="19"/>
      <c r="CB141" s="27"/>
      <c r="CC141" s="27"/>
    </row>
    <row r="142" spans="32:84" ht="13.5" hidden="1" customHeight="1">
      <c r="AF142" s="1580"/>
      <c r="AG142" s="1580"/>
      <c r="AH142" s="1580"/>
      <c r="AI142" s="1580"/>
      <c r="AJ142" s="1580"/>
      <c r="BA142" s="498" t="s">
        <v>262</v>
      </c>
      <c r="BB142" s="498">
        <f>A38</f>
        <v>0</v>
      </c>
      <c r="BC142" s="498">
        <f>C38</f>
        <v>0</v>
      </c>
      <c r="BD142" s="498" t="str">
        <f>IF(AND(OR(($H$38="通常食"),($H$38="キッズ")),NOT(OR($N$38=0,$N$38=""))),$H$38,"")</f>
        <v/>
      </c>
      <c r="BE142" s="498" t="str">
        <f>IF($BG142="","",VLOOKUP($BH142,$BD$158:$BF$186,2,0))</f>
        <v/>
      </c>
      <c r="BF142" s="498" t="str">
        <f>IF($BG142="","",VLOOKUP($BH142,$BD$158:$BF$186,3,0))</f>
        <v/>
      </c>
      <c r="BG142" s="498" t="str">
        <f>IF(AND(OR(($H$38="通常食"),($H$38="キッズ")),NOT(OR($N$38=0,$N$38=""))),$N$38,"")</f>
        <v/>
      </c>
      <c r="BH142" s="498" t="str">
        <f t="shared" si="29"/>
        <v>0小学生</v>
      </c>
      <c r="BI142" s="498">
        <f>IF(OR(BG142="",BG142=0),0,10)</f>
        <v>0</v>
      </c>
      <c r="BJ142" s="498"/>
      <c r="BK142" s="498"/>
      <c r="BL142" s="498"/>
      <c r="BM142" s="498"/>
      <c r="BN142" s="498"/>
      <c r="BO142" s="498"/>
      <c r="BP142" s="498"/>
      <c r="BQ142" s="498"/>
      <c r="BR142" s="498"/>
      <c r="BS142" s="498"/>
      <c r="BT142" s="498"/>
      <c r="BU142" s="19"/>
      <c r="BV142" s="19"/>
      <c r="BW142" s="19"/>
      <c r="BX142" s="19"/>
      <c r="BY142" s="19"/>
      <c r="BZ142" s="19"/>
      <c r="CA142" s="19"/>
      <c r="CB142" s="27"/>
      <c r="CC142" s="27"/>
    </row>
    <row r="143" spans="32:84" ht="13.5" hidden="1" customHeight="1">
      <c r="AF143" s="1580"/>
      <c r="AG143" s="1580"/>
      <c r="AH143" s="1580"/>
      <c r="AI143" s="1580"/>
      <c r="AJ143" s="1580"/>
      <c r="BA143" s="498" t="s">
        <v>264</v>
      </c>
      <c r="BB143" s="498">
        <f>A38</f>
        <v>0</v>
      </c>
      <c r="BC143" s="498">
        <f>C38</f>
        <v>0</v>
      </c>
      <c r="BD143" s="498" t="str">
        <f>IF(AND(OR(($H$38="通常食"),($H$38="キッズ")),NOT(OR($P$38=0,$P$38=""))),$H$38,"")</f>
        <v/>
      </c>
      <c r="BE143" s="498" t="str">
        <f>IF($BG143="","",VLOOKUP($BH143,$BD$158:$BF$186,2,0))</f>
        <v/>
      </c>
      <c r="BF143" s="498" t="str">
        <f>IF($BG143="","",VLOOKUP($BH143,$BD$158:$BF$186,3,0))</f>
        <v/>
      </c>
      <c r="BG143" s="498" t="str">
        <f>IF(AND(OR(($H$38="通常食"),($H$38="キッズ")),NOT(OR($P$38=0,$P$38=""))),$P$38,"")</f>
        <v/>
      </c>
      <c r="BH143" s="498" t="str">
        <f t="shared" si="29"/>
        <v>0中学生以上</v>
      </c>
      <c r="BI143" s="498">
        <f>IF(OR(BG143="",BG143=0),0,9)</f>
        <v>0</v>
      </c>
      <c r="BJ143" s="498"/>
      <c r="BK143" s="498"/>
      <c r="BL143" s="498"/>
      <c r="BM143" s="498"/>
      <c r="BN143" s="498"/>
      <c r="BO143" s="498"/>
      <c r="BP143" s="498"/>
      <c r="BQ143" s="498"/>
      <c r="BR143" s="498"/>
      <c r="BS143" s="498"/>
      <c r="BT143" s="498"/>
      <c r="BU143" s="19"/>
      <c r="BV143" s="19"/>
      <c r="BW143" s="19"/>
      <c r="BX143" s="19"/>
      <c r="BY143" s="19"/>
      <c r="BZ143" s="19"/>
      <c r="CA143" s="19"/>
      <c r="CB143" s="27"/>
      <c r="CC143" s="27"/>
    </row>
    <row r="144" spans="32:84" ht="13.5" hidden="1" customHeight="1">
      <c r="AF144" s="1580"/>
      <c r="AG144" s="1580"/>
      <c r="AH144" s="1580"/>
      <c r="AI144" s="1580"/>
      <c r="AJ144" s="1580"/>
      <c r="BA144" s="498" t="s">
        <v>263</v>
      </c>
      <c r="BB144" s="498">
        <f>A39</f>
        <v>0</v>
      </c>
      <c r="BC144" s="498">
        <f>C39</f>
        <v>0</v>
      </c>
      <c r="BD144" s="498">
        <f>IF(AND(NOT($H$39="通常食"),NOT($H$39="キッズ")),$H$39,"")</f>
        <v>0</v>
      </c>
      <c r="BE144" s="498" t="e">
        <f>IF(NOT($BD144=""),VLOOKUP($BD144,$BD$157:$BF$218,2,0),"")</f>
        <v>#N/A</v>
      </c>
      <c r="BF144" s="498" t="e">
        <f>IF(NOT($BD144=""),VLOOKUP($BD144,$BD$186:$BF$218,3,0),"")</f>
        <v>#N/A</v>
      </c>
      <c r="BG144" s="498">
        <f>IF(AND(NOT($H$39="通常食"),NOT($H$39="キッズ")),$R$39,"")</f>
        <v>0</v>
      </c>
      <c r="BH144" s="498"/>
      <c r="BI144" s="498">
        <f>IF(OR(BG144="",BG144=0),0,8)</f>
        <v>0</v>
      </c>
      <c r="BJ144" s="498"/>
      <c r="BK144" s="498"/>
      <c r="BL144" s="498"/>
      <c r="BM144" s="498"/>
      <c r="BN144" s="498"/>
      <c r="BO144" s="498"/>
      <c r="BP144" s="498"/>
      <c r="BQ144" s="498"/>
      <c r="BR144" s="498"/>
      <c r="BS144" s="498"/>
      <c r="BT144" s="498"/>
      <c r="BU144" s="19"/>
      <c r="BV144" s="19"/>
      <c r="BW144" s="19"/>
      <c r="BX144" s="19"/>
      <c r="BY144" s="19"/>
      <c r="BZ144" s="19"/>
      <c r="CA144" s="19"/>
      <c r="CB144" s="27"/>
      <c r="CC144" s="27"/>
    </row>
    <row r="145" spans="32:81" ht="13.5" hidden="1" customHeight="1">
      <c r="AF145" s="1580"/>
      <c r="AG145" s="1580"/>
      <c r="AH145" s="1580"/>
      <c r="AI145" s="1580"/>
      <c r="AJ145" s="1580"/>
      <c r="BA145" s="498" t="s">
        <v>261</v>
      </c>
      <c r="BB145" s="498">
        <f>A39</f>
        <v>0</v>
      </c>
      <c r="BC145" s="498">
        <f>C39</f>
        <v>0</v>
      </c>
      <c r="BD145" s="498" t="str">
        <f>IF(AND(OR(($H$39="通常食"),($H$39="キッズ")),NOT(OR($L$39=0,$L$39=""))),$H$39,"")</f>
        <v/>
      </c>
      <c r="BE145" s="498" t="str">
        <f>IF($BG145="","",VLOOKUP($BH145,$BD$158:$BF$186,2,0))</f>
        <v/>
      </c>
      <c r="BF145" s="498" t="str">
        <f>IF($BG145="","",VLOOKUP($BH145,$BD$158:$BF$186,3,0))</f>
        <v/>
      </c>
      <c r="BG145" s="498" t="str">
        <f>IF(AND(OR(($H$39="通常食"),($H$39="キッズ")),NOT(OR($L$39=0,$L$39=""))),$L$39,"")</f>
        <v/>
      </c>
      <c r="BH145" s="498" t="str">
        <f t="shared" si="29"/>
        <v>0幼児</v>
      </c>
      <c r="BI145" s="498">
        <f>IF(OR(BG145="",BG145=0),0,7)</f>
        <v>0</v>
      </c>
      <c r="BJ145" s="498"/>
      <c r="BK145" s="498"/>
      <c r="BL145" s="498"/>
      <c r="BM145" s="498"/>
      <c r="BN145" s="498"/>
      <c r="BO145" s="498"/>
      <c r="BP145" s="498"/>
      <c r="BQ145" s="498"/>
      <c r="BR145" s="498"/>
      <c r="BS145" s="498"/>
      <c r="BT145" s="498"/>
      <c r="BU145" s="19"/>
      <c r="BV145" s="19"/>
      <c r="BW145" s="19"/>
      <c r="BX145" s="19"/>
      <c r="BY145" s="19"/>
      <c r="BZ145" s="19"/>
      <c r="CA145" s="19"/>
      <c r="CB145" s="27"/>
      <c r="CC145" s="27"/>
    </row>
    <row r="146" spans="32:81" ht="13.5" hidden="1" customHeight="1">
      <c r="AF146" s="1580"/>
      <c r="AG146" s="1580"/>
      <c r="AH146" s="1580"/>
      <c r="AI146" s="1580"/>
      <c r="AJ146" s="1580"/>
      <c r="BA146" s="498" t="s">
        <v>262</v>
      </c>
      <c r="BB146" s="498">
        <f>A39</f>
        <v>0</v>
      </c>
      <c r="BC146" s="498">
        <f>C39</f>
        <v>0</v>
      </c>
      <c r="BD146" s="498" t="str">
        <f>IF(AND(OR(($H$39="通常食"),($H$39="キッズ")),NOT(OR($N$39=0,$N$39=""))),$H$39,"")</f>
        <v/>
      </c>
      <c r="BE146" s="498" t="str">
        <f>IF($BG146="","",VLOOKUP($BH146,$BD$158:$BF$186,2,0))</f>
        <v/>
      </c>
      <c r="BF146" s="498" t="str">
        <f>IF($BG146="","",VLOOKUP($BH146,$BD$158:$BF$186,3,0))</f>
        <v/>
      </c>
      <c r="BG146" s="498" t="str">
        <f>IF(AND(OR(($H$39="通常食"),($H$39="キッズ")),NOT(OR($N$39=0,$N$39=""))),$N$39,"")</f>
        <v/>
      </c>
      <c r="BH146" s="498" t="str">
        <f t="shared" si="29"/>
        <v>0小学生</v>
      </c>
      <c r="BI146" s="498">
        <f>IF(OR(BG146="",BG146=0),0,6)</f>
        <v>0</v>
      </c>
      <c r="BJ146" s="498"/>
      <c r="BK146" s="498"/>
      <c r="BL146" s="498"/>
      <c r="BM146" s="498"/>
      <c r="BN146" s="498"/>
      <c r="BO146" s="498"/>
      <c r="BP146" s="498"/>
      <c r="BQ146" s="498"/>
      <c r="BR146" s="498"/>
      <c r="BS146" s="498"/>
      <c r="BT146" s="498"/>
      <c r="BU146" s="19"/>
      <c r="BV146" s="19"/>
      <c r="BW146" s="19"/>
      <c r="BX146" s="19"/>
      <c r="BY146" s="19"/>
      <c r="BZ146" s="19"/>
      <c r="CA146" s="19"/>
      <c r="CB146" s="27"/>
      <c r="CC146" s="27"/>
    </row>
    <row r="147" spans="32:81" ht="13.5" hidden="1" customHeight="1">
      <c r="AF147" s="1580"/>
      <c r="AG147" s="1580"/>
      <c r="AH147" s="1580"/>
      <c r="AI147" s="1580"/>
      <c r="AJ147" s="1580"/>
      <c r="BA147" s="498" t="s">
        <v>264</v>
      </c>
      <c r="BB147" s="498">
        <f>A39</f>
        <v>0</v>
      </c>
      <c r="BC147" s="498">
        <f>C39</f>
        <v>0</v>
      </c>
      <c r="BD147" s="498" t="str">
        <f>IF(AND(OR(($H$39="通常食"),($H$39="キッズ")),NOT(OR($P$39=0,$P$39=""))),$H$39,"")</f>
        <v/>
      </c>
      <c r="BE147" s="498" t="str">
        <f>IF($BG147="","",VLOOKUP($BH147,$BD$158:$BF$186,2,0))</f>
        <v/>
      </c>
      <c r="BF147" s="498" t="str">
        <f>IF($BG147="","",VLOOKUP($BH147,$BD$158:$BF$186,3,0))</f>
        <v/>
      </c>
      <c r="BG147" s="498" t="str">
        <f>IF(AND(OR(($H$39="通常食"),($H$39="キッズ")),NOT(OR($P$39=0,$P$39=""))),$P$39,"")</f>
        <v/>
      </c>
      <c r="BH147" s="498" t="str">
        <f t="shared" si="29"/>
        <v>0中学生以上</v>
      </c>
      <c r="BI147" s="498">
        <f>IF(OR(BG147="",BG147=0),0,5)</f>
        <v>0</v>
      </c>
      <c r="BJ147" s="498"/>
      <c r="BK147" s="498"/>
      <c r="BL147" s="498"/>
      <c r="BM147" s="498"/>
      <c r="BN147" s="498"/>
      <c r="BO147" s="498"/>
      <c r="BP147" s="498"/>
      <c r="BQ147" s="498"/>
      <c r="BR147" s="498"/>
      <c r="BS147" s="498"/>
      <c r="BT147" s="498"/>
      <c r="BU147" s="19"/>
      <c r="BV147" s="19"/>
      <c r="BW147" s="19"/>
      <c r="BX147" s="19"/>
      <c r="BY147" s="19"/>
      <c r="BZ147" s="19"/>
      <c r="CA147" s="19"/>
      <c r="CB147" s="27"/>
      <c r="CC147" s="27"/>
    </row>
    <row r="148" spans="32:81" ht="13.5" hidden="1" customHeight="1">
      <c r="AF148" s="1580"/>
      <c r="AG148" s="1580"/>
      <c r="AH148" s="1580"/>
      <c r="AI148" s="1580"/>
      <c r="AJ148" s="1580"/>
      <c r="BA148" s="498" t="s">
        <v>263</v>
      </c>
      <c r="BB148" s="498">
        <f>A40</f>
        <v>0</v>
      </c>
      <c r="BC148" s="498">
        <f>C40</f>
        <v>0</v>
      </c>
      <c r="BD148" s="498">
        <f>IF(AND(NOT($H$40="通常食"),NOT($H$40="キッズ")),$H$40,"")</f>
        <v>0</v>
      </c>
      <c r="BE148" s="498" t="e">
        <f>IF(NOT($BD148=""),VLOOKUP($BD148,$BD$157:$BF$218,2,0),"")</f>
        <v>#N/A</v>
      </c>
      <c r="BF148" s="498" t="e">
        <f>IF(NOT($BD148=""),VLOOKUP($BD148,$BD$157:$BF$218,3,0),"")</f>
        <v>#N/A</v>
      </c>
      <c r="BG148" s="498">
        <f>IF(AND(NOT($H$40="通常食"),NOT($H$40="キッズ")),$R$40,"")</f>
        <v>0</v>
      </c>
      <c r="BH148" s="498"/>
      <c r="BI148" s="498">
        <f>IF(OR(BG148="",BG148=0),0,4)</f>
        <v>0</v>
      </c>
      <c r="BJ148" s="498"/>
      <c r="BK148" s="498"/>
      <c r="BL148" s="498"/>
      <c r="BM148" s="498"/>
      <c r="BN148" s="498"/>
      <c r="BO148" s="498"/>
      <c r="BP148" s="498"/>
      <c r="BQ148" s="498"/>
      <c r="BR148" s="498"/>
      <c r="BS148" s="498"/>
      <c r="BT148" s="498"/>
      <c r="BU148" s="19"/>
      <c r="BV148" s="19"/>
      <c r="BW148" s="19"/>
      <c r="BX148" s="19"/>
      <c r="BY148" s="19"/>
      <c r="BZ148" s="19"/>
      <c r="CA148" s="19"/>
      <c r="CB148" s="27"/>
      <c r="CC148" s="27"/>
    </row>
    <row r="149" spans="32:81" ht="13.5" hidden="1" customHeight="1">
      <c r="AF149" s="1580"/>
      <c r="AG149" s="1580"/>
      <c r="AH149" s="1580"/>
      <c r="AI149" s="1580"/>
      <c r="AJ149" s="1580"/>
      <c r="BA149" s="498" t="s">
        <v>261</v>
      </c>
      <c r="BB149" s="498">
        <f>A40</f>
        <v>0</v>
      </c>
      <c r="BC149" s="498">
        <f>C40</f>
        <v>0</v>
      </c>
      <c r="BD149" s="498" t="str">
        <f>IF(AND(OR(($H$40="通常食"),($H$40="キッズ")),NOT(OR($L$40=0,$L$40=""))),$H$40,"")</f>
        <v/>
      </c>
      <c r="BE149" s="498" t="str">
        <f>IF($BG149="","",VLOOKUP($BH149,$BD$158:$BF$186,2,0))</f>
        <v/>
      </c>
      <c r="BF149" s="498" t="str">
        <f>IF($BG149="","",VLOOKUP($BH149,$BD$158:$BF$186,3,0))</f>
        <v/>
      </c>
      <c r="BG149" s="498" t="str">
        <f>IF(AND(OR(($H$40="通常食"),($H$40="キッズ")),NOT(OR($L$40=0,$L$40=""))),$L$40,"")</f>
        <v/>
      </c>
      <c r="BH149" s="498" t="str">
        <f t="shared" si="29"/>
        <v>0幼児</v>
      </c>
      <c r="BI149" s="498">
        <f>IF(OR(BG149="",BG149=0),0,3)</f>
        <v>0</v>
      </c>
      <c r="BJ149" s="498"/>
      <c r="BK149" s="498"/>
      <c r="BL149" s="498"/>
      <c r="BM149" s="498"/>
      <c r="BN149" s="498"/>
      <c r="BO149" s="498"/>
      <c r="BP149" s="498"/>
      <c r="BQ149" s="498"/>
      <c r="BR149" s="498"/>
      <c r="BS149" s="498"/>
      <c r="BT149" s="498"/>
      <c r="BU149" s="19"/>
      <c r="BV149" s="19"/>
      <c r="BW149" s="19"/>
      <c r="BX149" s="19"/>
      <c r="BY149" s="19"/>
      <c r="BZ149" s="19"/>
      <c r="CA149" s="19"/>
      <c r="CB149" s="27"/>
      <c r="CC149" s="27"/>
    </row>
    <row r="150" spans="32:81" ht="13.5" hidden="1" customHeight="1">
      <c r="AF150" s="1580"/>
      <c r="AG150" s="1580"/>
      <c r="AH150" s="1580"/>
      <c r="AI150" s="1580"/>
      <c r="AJ150" s="1580"/>
      <c r="BA150" s="498" t="s">
        <v>262</v>
      </c>
      <c r="BB150" s="498">
        <f>A40</f>
        <v>0</v>
      </c>
      <c r="BC150" s="498">
        <f>C40</f>
        <v>0</v>
      </c>
      <c r="BD150" s="498" t="str">
        <f>IF(AND(OR(($H$40="通常食"),($H$40="キッズ")),NOT(OR($N$40=0,$N$40=""))),$H$40,"")</f>
        <v/>
      </c>
      <c r="BE150" s="498" t="str">
        <f>IF($BG150="","",VLOOKUP($BH150,$BD$158:$BF$186,2,0))</f>
        <v/>
      </c>
      <c r="BF150" s="498" t="str">
        <f>IF($BG150="","",VLOOKUP($BH150,$BD$158:$BF$186,3,0))</f>
        <v/>
      </c>
      <c r="BG150" s="498" t="str">
        <f>IF(AND(OR(($H$40="通常食"),($H$40="キッズ")),NOT(OR($N$40=0,$N$40=""))),$N$40,"")</f>
        <v/>
      </c>
      <c r="BH150" s="498" t="str">
        <f t="shared" si="29"/>
        <v>0小学生</v>
      </c>
      <c r="BI150" s="498">
        <f>IF(OR(BG150="",BG150=0),0,2)</f>
        <v>0</v>
      </c>
      <c r="BJ150" s="498"/>
      <c r="BK150" s="498"/>
      <c r="BL150" s="498"/>
      <c r="BM150" s="498"/>
      <c r="BN150" s="498"/>
      <c r="BO150" s="498"/>
      <c r="BP150" s="498"/>
      <c r="BQ150" s="498"/>
      <c r="BR150" s="498"/>
      <c r="BS150" s="498"/>
      <c r="BT150" s="498"/>
      <c r="BU150" s="19"/>
      <c r="BV150" s="19"/>
      <c r="BW150" s="19"/>
      <c r="BX150" s="19"/>
      <c r="BY150" s="19"/>
      <c r="BZ150" s="19"/>
      <c r="CA150" s="19"/>
      <c r="CB150" s="27"/>
      <c r="CC150" s="27"/>
    </row>
    <row r="151" spans="32:81" ht="13.5" hidden="1" customHeight="1">
      <c r="AF151" s="1580"/>
      <c r="AG151" s="1580"/>
      <c r="AH151" s="1580"/>
      <c r="AI151" s="1580"/>
      <c r="AJ151" s="1580"/>
      <c r="BA151" s="498" t="s">
        <v>264</v>
      </c>
      <c r="BB151" s="498">
        <f>A40</f>
        <v>0</v>
      </c>
      <c r="BC151" s="498">
        <f>C40</f>
        <v>0</v>
      </c>
      <c r="BD151" s="498" t="str">
        <f>IF(AND(OR(($H$40="通常食"),($H$40="キッズ")),NOT(OR($P$40=0,$P$40=""))),$H$40,"")</f>
        <v/>
      </c>
      <c r="BE151" s="498" t="str">
        <f>IF($BG151="","",VLOOKUP($BH151,$BD$158:$BF$186,2,0))</f>
        <v/>
      </c>
      <c r="BF151" s="498" t="str">
        <f>IF($BG151="","",VLOOKUP($BH151,$BD$158:$BF$186,3,0))</f>
        <v/>
      </c>
      <c r="BG151" s="498" t="str">
        <f>IF(AND(OR(($H$40="通常食"),($H$40="キッズ")),NOT(OR($P$40=0,$P$40=""))),$P$40,"")</f>
        <v/>
      </c>
      <c r="BH151" s="498" t="str">
        <f t="shared" si="29"/>
        <v>0中学生以上</v>
      </c>
      <c r="BI151" s="498">
        <f>IF(OR(BG151="",BG151=0),0,1)</f>
        <v>0</v>
      </c>
      <c r="BJ151" s="498"/>
      <c r="BK151" s="498"/>
      <c r="BL151" s="498"/>
      <c r="BM151" s="498"/>
      <c r="BN151" s="498"/>
      <c r="BO151" s="498"/>
      <c r="BP151" s="498"/>
      <c r="BQ151" s="498"/>
      <c r="BR151" s="498"/>
      <c r="BS151" s="498"/>
      <c r="BT151" s="498"/>
      <c r="BU151" s="19"/>
      <c r="BV151" s="19"/>
      <c r="BW151" s="19"/>
      <c r="BX151" s="19"/>
      <c r="BY151" s="19"/>
      <c r="BZ151" s="19"/>
      <c r="CA151" s="19"/>
      <c r="CB151" s="27"/>
      <c r="CC151" s="27"/>
    </row>
    <row r="152" spans="32:81" ht="13.5" hidden="1" customHeight="1">
      <c r="AF152" s="1580"/>
      <c r="AG152" s="1580"/>
      <c r="AH152" s="1580"/>
      <c r="AI152" s="1580"/>
      <c r="AJ152" s="1580"/>
      <c r="BA152" s="498"/>
      <c r="BB152" s="498"/>
      <c r="BC152" s="498"/>
      <c r="BD152" s="498"/>
      <c r="BE152" s="498"/>
      <c r="BF152" s="498"/>
      <c r="BG152" s="498"/>
      <c r="BH152" s="498"/>
      <c r="BI152" s="498"/>
      <c r="BJ152" s="498"/>
      <c r="BK152" s="498"/>
      <c r="BL152" s="498"/>
      <c r="BM152" s="498"/>
      <c r="BN152" s="498"/>
      <c r="BO152" s="498"/>
      <c r="BP152" s="498"/>
      <c r="BQ152" s="498"/>
      <c r="BR152" s="498"/>
      <c r="BS152" s="498"/>
      <c r="BT152" s="498"/>
      <c r="BU152" s="19"/>
      <c r="BV152" s="19"/>
      <c r="BW152" s="19"/>
      <c r="BX152" s="19"/>
      <c r="BY152" s="19"/>
      <c r="BZ152" s="19"/>
      <c r="CA152" s="19"/>
      <c r="CB152" s="27"/>
      <c r="CC152" s="27"/>
    </row>
    <row r="153" spans="32:81" ht="13.5" hidden="1" customHeight="1">
      <c r="AF153" s="1580"/>
      <c r="AG153" s="1580"/>
      <c r="AH153" s="1580"/>
      <c r="AI153" s="1580"/>
      <c r="AJ153" s="1580"/>
      <c r="BA153" s="498"/>
      <c r="BB153" s="498"/>
      <c r="BC153" s="498"/>
      <c r="BD153" s="498"/>
      <c r="BE153" s="498"/>
      <c r="BF153" s="498"/>
      <c r="BG153" s="498"/>
      <c r="BH153" s="498"/>
      <c r="BI153" s="498"/>
      <c r="BJ153" s="498"/>
      <c r="BK153" s="498"/>
      <c r="BL153" s="498"/>
      <c r="BM153" s="498"/>
      <c r="BN153" s="498"/>
      <c r="BO153" s="498"/>
      <c r="BP153" s="498"/>
      <c r="BQ153" s="498"/>
      <c r="BR153" s="498"/>
      <c r="BS153" s="498"/>
      <c r="BT153" s="498"/>
      <c r="BU153" s="19"/>
      <c r="BV153" s="19"/>
      <c r="BW153" s="19"/>
      <c r="BX153" s="19"/>
      <c r="BY153" s="19"/>
      <c r="BZ153" s="19"/>
      <c r="CA153" s="19"/>
      <c r="CB153" s="27"/>
      <c r="CC153" s="27"/>
    </row>
    <row r="154" spans="32:81" ht="13.5" hidden="1" customHeight="1">
      <c r="AF154" s="1580"/>
      <c r="AG154" s="1580"/>
      <c r="AH154" s="1580"/>
      <c r="AI154" s="1580"/>
      <c r="AJ154" s="1580"/>
      <c r="BA154" s="498"/>
      <c r="BB154" s="498"/>
      <c r="BC154" s="498"/>
      <c r="BD154" s="498"/>
      <c r="BE154" s="498"/>
      <c r="BF154" s="498"/>
      <c r="BG154" s="498"/>
      <c r="BH154" s="498"/>
      <c r="BI154" s="498"/>
      <c r="BJ154" s="498"/>
      <c r="BK154" s="498"/>
      <c r="BL154" s="498"/>
      <c r="BM154" s="498"/>
      <c r="BN154" s="498"/>
      <c r="BO154" s="498"/>
      <c r="BP154" s="498"/>
      <c r="BQ154" s="498"/>
      <c r="BR154" s="498"/>
      <c r="BS154" s="498"/>
      <c r="BT154" s="498"/>
      <c r="BU154" s="19"/>
      <c r="BV154" s="19"/>
      <c r="BW154" s="19"/>
      <c r="BX154" s="19"/>
      <c r="BY154" s="19"/>
      <c r="BZ154" s="19"/>
      <c r="CA154" s="19"/>
      <c r="CB154" s="27"/>
      <c r="CC154" s="27"/>
    </row>
    <row r="155" spans="32:81" ht="13.5" hidden="1" customHeight="1">
      <c r="AF155" s="1580"/>
      <c r="AG155" s="1580"/>
      <c r="AH155" s="1580"/>
      <c r="AI155" s="1580"/>
      <c r="AJ155" s="1580"/>
      <c r="BA155" s="498"/>
      <c r="BB155" s="498"/>
      <c r="BC155" s="498"/>
      <c r="BD155" s="498"/>
      <c r="BE155" s="510" t="s">
        <v>118</v>
      </c>
      <c r="BF155" s="511"/>
      <c r="BG155" s="498"/>
      <c r="BH155" s="498"/>
      <c r="BI155" s="498"/>
      <c r="BJ155" s="498"/>
      <c r="BK155" s="498"/>
      <c r="BL155" s="498"/>
      <c r="BM155" s="498"/>
      <c r="BN155" s="498"/>
      <c r="BO155" s="498"/>
      <c r="BP155" s="498"/>
      <c r="BQ155" s="498"/>
      <c r="BR155" s="498"/>
      <c r="BS155" s="498"/>
      <c r="BT155" s="498"/>
      <c r="BU155" s="19"/>
      <c r="BV155" s="19"/>
      <c r="BW155" s="19"/>
      <c r="BX155" s="19"/>
      <c r="BY155" s="19"/>
      <c r="BZ155" s="19"/>
      <c r="CA155" s="19"/>
      <c r="CB155" s="27"/>
      <c r="CC155" s="27"/>
    </row>
    <row r="156" spans="32:81" ht="13.5" hidden="1" customHeight="1">
      <c r="AF156" s="1580"/>
      <c r="AG156" s="1580"/>
      <c r="AH156" s="1580"/>
      <c r="AI156" s="1580"/>
      <c r="AJ156" s="1580"/>
      <c r="BA156" s="498"/>
      <c r="BB156" s="498"/>
      <c r="BC156" s="498"/>
      <c r="BD156" s="498"/>
      <c r="BE156" s="512"/>
      <c r="BF156" s="511"/>
      <c r="BG156" s="498"/>
      <c r="BH156" s="498"/>
      <c r="BI156" s="498"/>
      <c r="BJ156" s="498"/>
      <c r="BK156" s="498"/>
      <c r="BL156" s="498"/>
      <c r="BM156" s="498"/>
      <c r="BN156" s="498"/>
      <c r="BO156" s="498"/>
      <c r="BP156" s="498"/>
      <c r="BQ156" s="498"/>
      <c r="BR156" s="498"/>
      <c r="BS156" s="498"/>
      <c r="BT156" s="498"/>
      <c r="BU156" s="19"/>
      <c r="BV156" s="19"/>
      <c r="BW156" s="19"/>
      <c r="BX156" s="19"/>
      <c r="BY156" s="19"/>
      <c r="BZ156" s="19"/>
      <c r="CA156" s="19"/>
      <c r="CB156" s="27"/>
      <c r="CC156" s="27"/>
    </row>
    <row r="157" spans="32:81" ht="13.5" hidden="1" customHeight="1">
      <c r="AF157" s="1580"/>
      <c r="AG157" s="1580"/>
      <c r="AH157" s="1580"/>
      <c r="AI157" s="1580"/>
      <c r="AJ157" s="1580"/>
      <c r="BA157" s="498"/>
      <c r="BB157" s="498"/>
      <c r="BC157" s="498"/>
      <c r="BD157" s="513"/>
      <c r="BE157" s="512" t="s">
        <v>137</v>
      </c>
      <c r="BF157" s="511"/>
      <c r="BG157" s="498"/>
      <c r="BH157" s="498"/>
      <c r="BI157" s="498"/>
      <c r="BJ157" s="498"/>
      <c r="BK157" s="498"/>
      <c r="BL157" s="498"/>
      <c r="BM157" s="498"/>
      <c r="BN157" s="498"/>
      <c r="BO157" s="498"/>
      <c r="BP157" s="498"/>
      <c r="BQ157" s="498"/>
      <c r="BR157" s="498"/>
      <c r="BS157" s="498"/>
      <c r="BT157" s="498"/>
      <c r="BU157" s="19"/>
      <c r="BV157" s="19"/>
      <c r="BW157" s="19"/>
      <c r="BX157" s="19"/>
      <c r="BY157" s="19"/>
      <c r="BZ157" s="19"/>
      <c r="CA157" s="19"/>
      <c r="CB157" s="27"/>
      <c r="CC157" s="27"/>
    </row>
    <row r="158" spans="32:81" ht="13.5" hidden="1" customHeight="1">
      <c r="AF158" s="1580"/>
      <c r="AG158" s="1580"/>
      <c r="AH158" s="1580"/>
      <c r="AI158" s="1580"/>
      <c r="AJ158" s="1580"/>
      <c r="BA158" s="498"/>
      <c r="BB158" s="498"/>
      <c r="BC158" s="508"/>
      <c r="BD158" s="513" t="s">
        <v>269</v>
      </c>
      <c r="BE158" s="514" t="s">
        <v>140</v>
      </c>
      <c r="BF158" s="511">
        <v>720</v>
      </c>
      <c r="BG158" s="498"/>
      <c r="BH158" s="498"/>
      <c r="BI158" s="498"/>
      <c r="BJ158" s="498"/>
      <c r="BK158" s="498"/>
      <c r="BL158" s="498"/>
      <c r="BM158" s="498"/>
      <c r="BN158" s="498"/>
      <c r="BO158" s="498"/>
      <c r="BP158" s="498"/>
      <c r="BQ158" s="498"/>
      <c r="BR158" s="498"/>
      <c r="BS158" s="498"/>
      <c r="BT158" s="498"/>
      <c r="BU158" s="19"/>
      <c r="BV158" s="19"/>
      <c r="BW158" s="19"/>
      <c r="BX158" s="19"/>
      <c r="BY158" s="19"/>
      <c r="BZ158" s="19"/>
      <c r="CA158" s="19"/>
      <c r="CB158" s="27"/>
      <c r="CC158" s="27"/>
    </row>
    <row r="159" spans="32:81" ht="13.5" hidden="1" customHeight="1">
      <c r="AF159" s="1580"/>
      <c r="AG159" s="1580"/>
      <c r="AH159" s="1580"/>
      <c r="AI159" s="1580"/>
      <c r="AJ159" s="1580"/>
      <c r="BA159" s="498"/>
      <c r="BB159" s="498"/>
      <c r="BC159" s="508"/>
      <c r="BD159" s="513" t="s">
        <v>270</v>
      </c>
      <c r="BE159" s="514" t="s">
        <v>142</v>
      </c>
      <c r="BF159" s="511">
        <v>840</v>
      </c>
      <c r="BG159" s="498"/>
      <c r="BH159" s="498"/>
      <c r="BI159" s="498"/>
      <c r="BJ159" s="498"/>
      <c r="BK159" s="498"/>
      <c r="BL159" s="498"/>
      <c r="BM159" s="498"/>
      <c r="BN159" s="498"/>
      <c r="BO159" s="498"/>
      <c r="BP159" s="498"/>
      <c r="BQ159" s="498"/>
      <c r="BR159" s="498"/>
      <c r="BS159" s="498"/>
      <c r="BT159" s="498"/>
      <c r="BU159" s="19"/>
      <c r="BV159" s="19"/>
      <c r="BW159" s="19"/>
      <c r="BX159" s="19"/>
      <c r="BY159" s="19"/>
      <c r="BZ159" s="19"/>
      <c r="CA159" s="19"/>
      <c r="CB159" s="27"/>
      <c r="CC159" s="27"/>
    </row>
    <row r="160" spans="32:81" ht="13.5" hidden="1" customHeight="1">
      <c r="AF160" s="1580"/>
      <c r="AG160" s="1580"/>
      <c r="AH160" s="1580"/>
      <c r="AI160" s="1580"/>
      <c r="AJ160" s="1580"/>
      <c r="BA160" s="498"/>
      <c r="BB160" s="498"/>
      <c r="BC160" s="508"/>
      <c r="BD160" s="513" t="s">
        <v>271</v>
      </c>
      <c r="BE160" s="514" t="s">
        <v>143</v>
      </c>
      <c r="BF160" s="511">
        <v>900</v>
      </c>
      <c r="BG160" s="498"/>
      <c r="BH160" s="498"/>
      <c r="BI160" s="498"/>
      <c r="BJ160" s="498"/>
      <c r="BK160" s="498"/>
      <c r="BL160" s="498"/>
      <c r="BM160" s="498"/>
      <c r="BN160" s="498"/>
      <c r="BO160" s="498"/>
      <c r="BP160" s="498"/>
      <c r="BQ160" s="498"/>
      <c r="BR160" s="498"/>
      <c r="BS160" s="498"/>
      <c r="BT160" s="498"/>
      <c r="BU160" s="19"/>
      <c r="BV160" s="19"/>
      <c r="BW160" s="19"/>
      <c r="BX160" s="19"/>
      <c r="BY160" s="19"/>
      <c r="BZ160" s="19"/>
      <c r="CA160" s="19"/>
      <c r="CB160" s="27"/>
      <c r="CC160" s="27"/>
    </row>
    <row r="161" spans="32:81" ht="13.5" hidden="1" customHeight="1">
      <c r="AF161" s="1580"/>
      <c r="AG161" s="1580"/>
      <c r="AH161" s="1580"/>
      <c r="AI161" s="1580"/>
      <c r="AJ161" s="1580"/>
      <c r="BA161" s="498"/>
      <c r="BB161" s="498"/>
      <c r="BC161" s="508"/>
      <c r="BD161" s="513" t="s">
        <v>272</v>
      </c>
      <c r="BE161" s="514" t="s">
        <v>144</v>
      </c>
      <c r="BF161" s="511">
        <v>840</v>
      </c>
      <c r="BG161" s="498"/>
      <c r="BH161" s="498"/>
      <c r="BI161" s="498"/>
      <c r="BJ161" s="498"/>
      <c r="BK161" s="498"/>
      <c r="BL161" s="498"/>
      <c r="BM161" s="498"/>
      <c r="BN161" s="498"/>
      <c r="BO161" s="498"/>
      <c r="BP161" s="498"/>
      <c r="BQ161" s="498"/>
      <c r="BR161" s="498"/>
      <c r="BS161" s="498"/>
      <c r="BT161" s="498"/>
      <c r="BU161" s="19"/>
      <c r="BV161" s="19"/>
      <c r="BW161" s="19"/>
      <c r="BX161" s="19"/>
      <c r="BY161" s="19"/>
      <c r="BZ161" s="19"/>
      <c r="CA161" s="19"/>
      <c r="CB161" s="27"/>
      <c r="CC161" s="27"/>
    </row>
    <row r="162" spans="32:81" ht="13.5" hidden="1" customHeight="1">
      <c r="AF162" s="1580"/>
      <c r="AG162" s="1580"/>
      <c r="AH162" s="1580"/>
      <c r="AI162" s="1580"/>
      <c r="AJ162" s="1580"/>
      <c r="BA162" s="498"/>
      <c r="BB162" s="498"/>
      <c r="BC162" s="508"/>
      <c r="BD162" s="513" t="s">
        <v>273</v>
      </c>
      <c r="BE162" s="514" t="s">
        <v>145</v>
      </c>
      <c r="BF162" s="511">
        <v>990</v>
      </c>
      <c r="BG162" s="498"/>
      <c r="BH162" s="498"/>
      <c r="BI162" s="498"/>
      <c r="BJ162" s="498"/>
      <c r="BK162" s="498"/>
      <c r="BL162" s="498"/>
      <c r="BM162" s="498"/>
      <c r="BN162" s="498"/>
      <c r="BO162" s="498"/>
      <c r="BP162" s="498"/>
      <c r="BQ162" s="498"/>
      <c r="BR162" s="498"/>
      <c r="BS162" s="498"/>
      <c r="BT162" s="498"/>
      <c r="BU162" s="19"/>
      <c r="BV162" s="19"/>
      <c r="BW162" s="19"/>
      <c r="BX162" s="19"/>
      <c r="BY162" s="19"/>
      <c r="BZ162" s="19"/>
      <c r="CA162" s="19"/>
      <c r="CB162" s="27"/>
      <c r="CC162" s="27"/>
    </row>
    <row r="163" spans="32:81" ht="13.5" hidden="1" customHeight="1">
      <c r="AF163" s="1580"/>
      <c r="AG163" s="1580"/>
      <c r="AH163" s="1580"/>
      <c r="AI163" s="1580"/>
      <c r="AJ163" s="1580"/>
      <c r="BA163" s="498"/>
      <c r="BB163" s="498"/>
      <c r="BC163" s="508"/>
      <c r="BD163" s="513" t="s">
        <v>274</v>
      </c>
      <c r="BE163" s="514" t="s">
        <v>147</v>
      </c>
      <c r="BF163" s="511">
        <v>1030</v>
      </c>
      <c r="BG163" s="498"/>
      <c r="BH163" s="498"/>
      <c r="BI163" s="498"/>
      <c r="BJ163" s="498"/>
      <c r="BK163" s="498"/>
      <c r="BL163" s="498"/>
      <c r="BM163" s="498"/>
      <c r="BN163" s="498"/>
      <c r="BO163" s="498"/>
      <c r="BP163" s="498"/>
      <c r="BQ163" s="498"/>
      <c r="BR163" s="498"/>
      <c r="BS163" s="498"/>
      <c r="BT163" s="498"/>
      <c r="BU163" s="19"/>
      <c r="BV163" s="19"/>
      <c r="BW163" s="19"/>
      <c r="BX163" s="19"/>
      <c r="BY163" s="19"/>
      <c r="BZ163" s="19"/>
      <c r="CA163" s="19"/>
      <c r="CB163" s="27"/>
      <c r="CC163" s="27"/>
    </row>
    <row r="164" spans="32:81" ht="13.5" hidden="1" customHeight="1">
      <c r="AF164" s="1580"/>
      <c r="AG164" s="1580"/>
      <c r="AH164" s="1580"/>
      <c r="AI164" s="1580"/>
      <c r="AJ164" s="1580"/>
      <c r="BA164" s="498"/>
      <c r="BB164" s="498"/>
      <c r="BC164" s="508"/>
      <c r="BD164" s="513" t="s">
        <v>275</v>
      </c>
      <c r="BE164" s="514" t="s">
        <v>150</v>
      </c>
      <c r="BF164" s="511">
        <v>710</v>
      </c>
      <c r="BG164" s="498"/>
      <c r="BH164" s="498"/>
      <c r="BI164" s="498"/>
      <c r="BJ164" s="498"/>
      <c r="BK164" s="498"/>
      <c r="BL164" s="498"/>
      <c r="BM164" s="498"/>
      <c r="BN164" s="498"/>
      <c r="BO164" s="498"/>
      <c r="BP164" s="498"/>
      <c r="BQ164" s="498"/>
      <c r="BR164" s="498"/>
      <c r="BS164" s="498"/>
      <c r="BT164" s="498"/>
      <c r="BU164" s="19"/>
      <c r="BV164" s="19"/>
      <c r="BW164" s="19"/>
      <c r="BX164" s="19"/>
      <c r="BY164" s="19"/>
      <c r="BZ164" s="19"/>
      <c r="CA164" s="19"/>
      <c r="CB164" s="27"/>
      <c r="CC164" s="27"/>
    </row>
    <row r="165" spans="32:81" ht="13.5" hidden="1" customHeight="1">
      <c r="AF165" s="1580"/>
      <c r="AG165" s="1580"/>
      <c r="AH165" s="1580"/>
      <c r="AI165" s="1580"/>
      <c r="AJ165" s="1580"/>
      <c r="BA165" s="498"/>
      <c r="BB165" s="498"/>
      <c r="BC165" s="508"/>
      <c r="BD165" s="513" t="s">
        <v>276</v>
      </c>
      <c r="BE165" s="514" t="s">
        <v>153</v>
      </c>
      <c r="BF165" s="511">
        <v>820</v>
      </c>
      <c r="BG165" s="498"/>
      <c r="BH165" s="498"/>
      <c r="BI165" s="498"/>
      <c r="BJ165" s="498"/>
      <c r="BK165" s="498"/>
      <c r="BL165" s="498"/>
      <c r="BM165" s="498"/>
      <c r="BN165" s="498"/>
      <c r="BO165" s="498"/>
      <c r="BP165" s="498"/>
      <c r="BQ165" s="498"/>
      <c r="BR165" s="498"/>
      <c r="BS165" s="498"/>
      <c r="BT165" s="498"/>
      <c r="BU165" s="19"/>
      <c r="BV165" s="19"/>
      <c r="BW165" s="19"/>
      <c r="BX165" s="19"/>
      <c r="BY165" s="19"/>
      <c r="BZ165" s="19"/>
      <c r="CA165" s="19"/>
      <c r="CB165" s="27"/>
      <c r="CC165" s="27"/>
    </row>
    <row r="166" spans="32:81" ht="13.5" hidden="1" customHeight="1">
      <c r="AF166" s="1580"/>
      <c r="AG166" s="1580"/>
      <c r="AH166" s="1580"/>
      <c r="AI166" s="1580"/>
      <c r="AJ166" s="1580"/>
      <c r="BA166" s="498"/>
      <c r="BB166" s="498"/>
      <c r="BC166" s="508"/>
      <c r="BD166" s="513" t="s">
        <v>277</v>
      </c>
      <c r="BE166" s="514" t="s">
        <v>155</v>
      </c>
      <c r="BF166" s="511">
        <v>870</v>
      </c>
      <c r="BG166" s="498"/>
      <c r="BH166" s="498"/>
      <c r="BI166" s="498"/>
      <c r="BJ166" s="498"/>
      <c r="BK166" s="498"/>
      <c r="BL166" s="498"/>
      <c r="BM166" s="498"/>
      <c r="BN166" s="498"/>
      <c r="BO166" s="498"/>
      <c r="BP166" s="498"/>
      <c r="BQ166" s="498"/>
      <c r="BR166" s="498"/>
      <c r="BS166" s="498"/>
      <c r="BT166" s="498"/>
      <c r="BU166" s="19"/>
      <c r="BV166" s="19"/>
      <c r="BW166" s="19"/>
      <c r="BX166" s="19"/>
      <c r="BY166" s="19"/>
      <c r="BZ166" s="19"/>
      <c r="CA166" s="19"/>
      <c r="CB166" s="27"/>
      <c r="CC166" s="27"/>
    </row>
    <row r="167" spans="32:81" ht="36.75" hidden="1" customHeight="1">
      <c r="AF167" s="1580"/>
      <c r="AG167" s="1580"/>
      <c r="AH167" s="1580"/>
      <c r="AI167" s="1580"/>
      <c r="AJ167" s="1580"/>
      <c r="BA167" s="498"/>
      <c r="BB167" s="498"/>
      <c r="BC167" s="498"/>
      <c r="BD167" s="952" t="s">
        <v>3052</v>
      </c>
      <c r="BE167" s="952" t="s">
        <v>3052</v>
      </c>
      <c r="BF167" s="511">
        <v>220</v>
      </c>
      <c r="BG167" s="498"/>
      <c r="BH167" s="498"/>
      <c r="BI167" s="498"/>
      <c r="BJ167" s="498"/>
      <c r="BK167" s="498"/>
      <c r="BL167" s="498"/>
      <c r="BM167" s="498"/>
      <c r="BN167" s="498"/>
      <c r="BO167" s="498"/>
      <c r="BP167" s="498"/>
      <c r="BQ167" s="498"/>
      <c r="BR167" s="498"/>
      <c r="BS167" s="498"/>
      <c r="BT167" s="498"/>
      <c r="BU167" s="19"/>
      <c r="BV167" s="19"/>
      <c r="BW167" s="19"/>
      <c r="BX167" s="19"/>
      <c r="BY167" s="19"/>
      <c r="BZ167" s="19"/>
      <c r="CA167" s="19"/>
      <c r="CB167" s="27"/>
      <c r="CC167" s="27"/>
    </row>
    <row r="168" spans="32:81" ht="36.75" hidden="1" customHeight="1">
      <c r="AF168" s="1580"/>
      <c r="AG168" s="1580"/>
      <c r="AH168" s="1580"/>
      <c r="AI168" s="1580"/>
      <c r="AJ168" s="1580"/>
      <c r="BA168" s="498"/>
      <c r="BB168" s="498"/>
      <c r="BC168" s="508"/>
      <c r="BD168" s="952" t="s">
        <v>3053</v>
      </c>
      <c r="BE168" s="952" t="s">
        <v>3053</v>
      </c>
      <c r="BF168" s="511">
        <v>220</v>
      </c>
      <c r="BG168" s="498"/>
      <c r="BH168" s="498"/>
      <c r="BI168" s="498"/>
      <c r="BJ168" s="498"/>
      <c r="BK168" s="498"/>
      <c r="BL168" s="498"/>
      <c r="BM168" s="498"/>
      <c r="BN168" s="498"/>
      <c r="BO168" s="498"/>
      <c r="BP168" s="498"/>
      <c r="BQ168" s="498"/>
      <c r="BR168" s="498"/>
      <c r="BS168" s="498"/>
      <c r="BT168" s="498"/>
      <c r="BU168" s="19"/>
      <c r="BV168" s="19"/>
      <c r="BW168" s="19"/>
      <c r="BX168" s="19"/>
      <c r="BY168" s="19"/>
      <c r="BZ168" s="19"/>
      <c r="CA168" s="19"/>
      <c r="CB168" s="27"/>
      <c r="CC168" s="27"/>
    </row>
    <row r="169" spans="32:81" ht="36.75" hidden="1" customHeight="1" thickBot="1">
      <c r="AF169" s="1580"/>
      <c r="AG169" s="1580"/>
      <c r="AH169" s="1580"/>
      <c r="AI169" s="1580"/>
      <c r="AJ169" s="1580"/>
      <c r="BA169" s="498"/>
      <c r="BB169" s="498"/>
      <c r="BC169" s="508"/>
      <c r="BD169" s="953" t="s">
        <v>3054</v>
      </c>
      <c r="BE169" s="953" t="s">
        <v>3054</v>
      </c>
      <c r="BF169" s="511">
        <v>220</v>
      </c>
      <c r="BG169" s="498"/>
      <c r="BH169" s="498"/>
      <c r="BI169" s="498"/>
      <c r="BJ169" s="498"/>
      <c r="BK169" s="498"/>
      <c r="BL169" s="498"/>
      <c r="BM169" s="498"/>
      <c r="BN169" s="498"/>
      <c r="BO169" s="498"/>
      <c r="BP169" s="498"/>
      <c r="BQ169" s="498"/>
      <c r="BR169" s="498"/>
      <c r="BS169" s="498"/>
      <c r="BT169" s="498"/>
      <c r="BU169" s="19"/>
      <c r="BV169" s="19"/>
      <c r="BW169" s="19"/>
      <c r="BX169" s="19"/>
      <c r="BY169" s="19"/>
      <c r="BZ169" s="19"/>
      <c r="CA169" s="19"/>
      <c r="CB169" s="27"/>
      <c r="CC169" s="27"/>
    </row>
    <row r="170" spans="32:81" ht="36.75" hidden="1" customHeight="1">
      <c r="AF170" s="1580"/>
      <c r="AG170" s="1580"/>
      <c r="AH170" s="1580"/>
      <c r="AI170" s="1580"/>
      <c r="AJ170" s="1580"/>
      <c r="BA170" s="498"/>
      <c r="BB170" s="498"/>
      <c r="BC170" s="508"/>
      <c r="BD170" s="964" t="s">
        <v>3045</v>
      </c>
      <c r="BE170" s="965" t="s">
        <v>3045</v>
      </c>
      <c r="BF170" s="511">
        <v>110</v>
      </c>
      <c r="BG170" s="498"/>
      <c r="BH170" s="498"/>
      <c r="BI170" s="498"/>
      <c r="BJ170" s="498"/>
      <c r="BK170" s="498"/>
      <c r="BL170" s="498"/>
      <c r="BM170" s="498"/>
      <c r="BN170" s="498"/>
      <c r="BO170" s="498"/>
      <c r="BP170" s="498"/>
      <c r="BQ170" s="498"/>
      <c r="BR170" s="498"/>
      <c r="BS170" s="498"/>
      <c r="BT170" s="498"/>
      <c r="BU170" s="19"/>
      <c r="BV170" s="19"/>
      <c r="BW170" s="19"/>
      <c r="BX170" s="19"/>
      <c r="BY170" s="19"/>
      <c r="BZ170" s="19"/>
      <c r="CA170" s="19"/>
      <c r="CB170" s="27"/>
      <c r="CC170" s="27"/>
    </row>
    <row r="171" spans="32:81" ht="36.75" hidden="1" customHeight="1" thickBot="1">
      <c r="AF171" s="1580"/>
      <c r="AG171" s="1580"/>
      <c r="AH171" s="1580"/>
      <c r="AI171" s="1580"/>
      <c r="AJ171" s="1580"/>
      <c r="BA171" s="498"/>
      <c r="BB171" s="498"/>
      <c r="BC171" s="508"/>
      <c r="BD171" s="953" t="s">
        <v>3055</v>
      </c>
      <c r="BE171" s="953" t="s">
        <v>3055</v>
      </c>
      <c r="BF171" s="511">
        <v>220</v>
      </c>
      <c r="BG171" s="498"/>
      <c r="BH171" s="498"/>
      <c r="BI171" s="498"/>
      <c r="BJ171" s="498"/>
      <c r="BK171" s="498"/>
      <c r="BL171" s="498"/>
      <c r="BM171" s="498"/>
      <c r="BN171" s="498"/>
      <c r="BO171" s="498"/>
      <c r="BP171" s="498"/>
      <c r="BQ171" s="498"/>
      <c r="BR171" s="498"/>
      <c r="BS171" s="498"/>
      <c r="BT171" s="498"/>
      <c r="BU171" s="19"/>
      <c r="BV171" s="19"/>
      <c r="BW171" s="19"/>
      <c r="BX171" s="19"/>
      <c r="BY171" s="19"/>
      <c r="BZ171" s="19"/>
      <c r="CA171" s="19"/>
      <c r="CB171" s="27"/>
      <c r="CC171" s="27"/>
    </row>
    <row r="172" spans="32:81" ht="13.5" hidden="1" customHeight="1">
      <c r="AF172" s="1580"/>
      <c r="AG172" s="1580"/>
      <c r="AH172" s="1580"/>
      <c r="AI172" s="1580"/>
      <c r="AJ172" s="1580"/>
      <c r="BA172" s="498"/>
      <c r="BB172" s="498"/>
      <c r="BC172" s="508"/>
      <c r="BD172" s="790"/>
      <c r="BE172" s="788"/>
      <c r="BF172" s="789"/>
      <c r="BG172" s="498"/>
      <c r="BH172" s="498"/>
      <c r="BI172" s="498"/>
      <c r="BJ172" s="498"/>
      <c r="BK172" s="498"/>
      <c r="BL172" s="498"/>
      <c r="BM172" s="498"/>
      <c r="BN172" s="498"/>
      <c r="BO172" s="498"/>
      <c r="BP172" s="498"/>
      <c r="BQ172" s="498"/>
      <c r="BR172" s="498"/>
      <c r="BS172" s="498"/>
      <c r="BT172" s="498"/>
      <c r="BU172" s="19"/>
      <c r="BV172" s="19"/>
      <c r="BW172" s="19"/>
      <c r="BX172" s="19"/>
      <c r="BY172" s="19"/>
      <c r="BZ172" s="19"/>
      <c r="CA172" s="19"/>
      <c r="CB172" s="27"/>
      <c r="CC172" s="27"/>
    </row>
    <row r="173" spans="32:81" ht="13.5" hidden="1" customHeight="1">
      <c r="AF173" s="1580"/>
      <c r="AG173" s="1580"/>
      <c r="AH173" s="1580"/>
      <c r="AI173" s="1580"/>
      <c r="AJ173" s="1580"/>
      <c r="BA173" s="498"/>
      <c r="BB173" s="498"/>
      <c r="BC173" s="508"/>
      <c r="BD173" s="790"/>
      <c r="BE173" s="788"/>
      <c r="BF173" s="789"/>
      <c r="BG173" s="498"/>
      <c r="BH173" s="498"/>
      <c r="BI173" s="498"/>
      <c r="BJ173" s="498"/>
      <c r="BK173" s="498"/>
      <c r="BL173" s="498"/>
      <c r="BM173" s="498"/>
      <c r="BN173" s="498"/>
      <c r="BO173" s="498"/>
      <c r="BP173" s="498"/>
      <c r="BQ173" s="498"/>
      <c r="BR173" s="498"/>
      <c r="BS173" s="498"/>
      <c r="BT173" s="498"/>
      <c r="BU173" s="19"/>
      <c r="BV173" s="19"/>
      <c r="BW173" s="19"/>
      <c r="BX173" s="19"/>
      <c r="BY173" s="19"/>
      <c r="BZ173" s="19"/>
      <c r="CA173" s="19"/>
      <c r="CB173" s="27"/>
      <c r="CC173" s="27"/>
    </row>
    <row r="174" spans="32:81" ht="13.5" hidden="1" customHeight="1">
      <c r="AF174" s="1580"/>
      <c r="AG174" s="1580"/>
      <c r="AH174" s="1580"/>
      <c r="AI174" s="1580"/>
      <c r="AJ174" s="1580"/>
      <c r="BA174" s="498"/>
      <c r="BB174" s="498"/>
      <c r="BC174" s="508"/>
      <c r="BD174" s="790"/>
      <c r="BE174" s="788"/>
      <c r="BF174" s="789"/>
      <c r="BG174" s="498"/>
      <c r="BH174" s="498"/>
      <c r="BI174" s="498"/>
      <c r="BJ174" s="498"/>
      <c r="BK174" s="498"/>
      <c r="BL174" s="498"/>
      <c r="BM174" s="498"/>
      <c r="BN174" s="498"/>
      <c r="BO174" s="498"/>
      <c r="BP174" s="498"/>
      <c r="BQ174" s="498"/>
      <c r="BR174" s="498"/>
      <c r="BS174" s="498"/>
      <c r="BT174" s="498"/>
      <c r="BU174" s="19"/>
      <c r="BV174" s="19"/>
      <c r="BW174" s="19"/>
      <c r="BX174" s="19"/>
      <c r="BY174" s="19"/>
      <c r="BZ174" s="19"/>
      <c r="CA174" s="19"/>
      <c r="CB174" s="27"/>
      <c r="CC174" s="27"/>
    </row>
    <row r="175" spans="32:81" ht="13.5" hidden="1" customHeight="1">
      <c r="AF175" s="1580"/>
      <c r="AG175" s="1580"/>
      <c r="AH175" s="1580"/>
      <c r="AI175" s="1580"/>
      <c r="AJ175" s="1580"/>
      <c r="BA175" s="498"/>
      <c r="BB175" s="498"/>
      <c r="BC175" s="508"/>
      <c r="BD175" s="790"/>
      <c r="BE175" s="788"/>
      <c r="BF175" s="789"/>
      <c r="BG175" s="498"/>
      <c r="BH175" s="498"/>
      <c r="BI175" s="498"/>
      <c r="BJ175" s="498"/>
      <c r="BK175" s="498"/>
      <c r="BL175" s="498"/>
      <c r="BM175" s="498"/>
      <c r="BN175" s="498"/>
      <c r="BO175" s="498"/>
      <c r="BP175" s="498"/>
      <c r="BQ175" s="498"/>
      <c r="BR175" s="498"/>
      <c r="BS175" s="498"/>
      <c r="BT175" s="498"/>
      <c r="BU175" s="19"/>
      <c r="BV175" s="19"/>
      <c r="BW175" s="19"/>
      <c r="BX175" s="19"/>
      <c r="BY175" s="19"/>
      <c r="BZ175" s="19"/>
      <c r="CA175" s="19"/>
      <c r="CB175" s="27"/>
      <c r="CC175" s="27"/>
    </row>
    <row r="176" spans="32:81" ht="13.5" hidden="1" customHeight="1">
      <c r="AF176" s="1580"/>
      <c r="AG176" s="1580"/>
      <c r="AH176" s="1580"/>
      <c r="AI176" s="1580"/>
      <c r="AJ176" s="1580"/>
      <c r="BA176" s="498"/>
      <c r="BB176" s="498"/>
      <c r="BC176" s="508"/>
      <c r="BD176" s="790"/>
      <c r="BE176" s="788"/>
      <c r="BF176" s="789"/>
      <c r="BG176" s="498"/>
      <c r="BH176" s="498"/>
      <c r="BI176" s="498"/>
      <c r="BJ176" s="498"/>
      <c r="BK176" s="498"/>
      <c r="BL176" s="498"/>
      <c r="BM176" s="498"/>
      <c r="BN176" s="498"/>
      <c r="BO176" s="498"/>
      <c r="BP176" s="498"/>
      <c r="BQ176" s="498"/>
      <c r="BR176" s="498"/>
      <c r="BS176" s="498"/>
      <c r="BT176" s="498"/>
      <c r="BU176" s="19"/>
      <c r="BV176" s="19"/>
      <c r="BW176" s="19"/>
      <c r="BX176" s="19"/>
      <c r="BY176" s="19"/>
      <c r="BZ176" s="19"/>
      <c r="CA176" s="19"/>
      <c r="CB176" s="27"/>
      <c r="CC176" s="27"/>
    </row>
    <row r="177" spans="32:81" ht="13.5" hidden="1" customHeight="1">
      <c r="AF177" s="1580"/>
      <c r="AG177" s="1580"/>
      <c r="AH177" s="1580"/>
      <c r="AI177" s="1580"/>
      <c r="AJ177" s="1580"/>
      <c r="BA177" s="498"/>
      <c r="BB177" s="498"/>
      <c r="BC177" s="514"/>
      <c r="BD177" s="515"/>
      <c r="BE177" s="512"/>
      <c r="BF177" s="511"/>
      <c r="BG177" s="498"/>
      <c r="BH177" s="498"/>
      <c r="BI177" s="498"/>
      <c r="BJ177" s="498"/>
      <c r="BK177" s="498"/>
      <c r="BL177" s="498"/>
      <c r="BM177" s="498"/>
      <c r="BN177" s="498"/>
      <c r="BO177" s="498"/>
      <c r="BP177" s="498"/>
      <c r="BQ177" s="498"/>
      <c r="BR177" s="498"/>
      <c r="BS177" s="498"/>
      <c r="BT177" s="498"/>
      <c r="BU177" s="19"/>
      <c r="BV177" s="19"/>
      <c r="BW177" s="19"/>
      <c r="BX177" s="19"/>
      <c r="BY177" s="19"/>
      <c r="BZ177" s="19"/>
      <c r="CA177" s="19"/>
      <c r="CB177" s="27"/>
      <c r="CC177" s="27"/>
    </row>
    <row r="178" spans="32:81" ht="13.5" hidden="1" customHeight="1">
      <c r="AF178" s="1580"/>
      <c r="AG178" s="1580"/>
      <c r="AH178" s="1580"/>
      <c r="AI178" s="1580"/>
      <c r="AJ178" s="1580"/>
      <c r="BA178" s="498"/>
      <c r="BB178" s="498"/>
      <c r="BC178" s="508"/>
      <c r="BD178" s="515"/>
      <c r="BE178" s="514"/>
      <c r="BF178" s="511"/>
      <c r="BG178" s="498"/>
      <c r="BH178" s="498"/>
      <c r="BI178" s="498"/>
      <c r="BJ178" s="498"/>
      <c r="BK178" s="498"/>
      <c r="BL178" s="498"/>
      <c r="BM178" s="498"/>
      <c r="BN178" s="498"/>
      <c r="BO178" s="498"/>
      <c r="BP178" s="498"/>
      <c r="BQ178" s="498"/>
      <c r="BR178" s="498"/>
      <c r="BS178" s="498"/>
      <c r="BT178" s="498"/>
      <c r="BU178" s="19"/>
      <c r="BV178" s="19"/>
      <c r="BW178" s="19"/>
      <c r="BX178" s="19"/>
      <c r="BY178" s="19"/>
      <c r="BZ178" s="19"/>
      <c r="CA178" s="19"/>
      <c r="CB178" s="27"/>
      <c r="CC178" s="27"/>
    </row>
    <row r="179" spans="32:81" ht="13.5" hidden="1" customHeight="1">
      <c r="AF179" s="1580"/>
      <c r="AG179" s="1580"/>
      <c r="AH179" s="1580"/>
      <c r="AI179" s="1580"/>
      <c r="AJ179" s="1580"/>
      <c r="BA179" s="498"/>
      <c r="BB179" s="498"/>
      <c r="BC179" s="508"/>
      <c r="BD179" s="515"/>
      <c r="BE179" s="514"/>
      <c r="BF179" s="511"/>
      <c r="BG179" s="498"/>
      <c r="BH179" s="498"/>
      <c r="BI179" s="498"/>
      <c r="BJ179" s="498"/>
      <c r="BK179" s="498"/>
      <c r="BL179" s="498"/>
      <c r="BM179" s="498"/>
      <c r="BN179" s="498"/>
      <c r="BO179" s="498"/>
      <c r="BP179" s="498"/>
      <c r="BQ179" s="498"/>
      <c r="BR179" s="498"/>
      <c r="BS179" s="498"/>
      <c r="BT179" s="498"/>
      <c r="BU179" s="19"/>
      <c r="BV179" s="19"/>
      <c r="BW179" s="19"/>
      <c r="BX179" s="19"/>
      <c r="BY179" s="19"/>
      <c r="BZ179" s="19"/>
      <c r="CA179" s="19"/>
      <c r="CB179" s="27"/>
      <c r="CC179" s="27"/>
    </row>
    <row r="180" spans="32:81" ht="13.5" hidden="1" customHeight="1">
      <c r="AF180" s="1580"/>
      <c r="AG180" s="1580"/>
      <c r="AH180" s="1580"/>
      <c r="AI180" s="1580"/>
      <c r="AJ180" s="1580"/>
      <c r="BA180" s="498"/>
      <c r="BB180" s="498"/>
      <c r="BC180" s="508"/>
      <c r="BD180" s="515"/>
      <c r="BE180" s="514"/>
      <c r="BF180" s="511"/>
      <c r="BG180" s="498"/>
      <c r="BH180" s="498"/>
      <c r="BI180" s="498"/>
      <c r="BJ180" s="498"/>
      <c r="BK180" s="498"/>
      <c r="BL180" s="498"/>
      <c r="BM180" s="498"/>
      <c r="BN180" s="498"/>
      <c r="BO180" s="498"/>
      <c r="BP180" s="498"/>
      <c r="BQ180" s="498"/>
      <c r="BR180" s="498"/>
      <c r="BS180" s="498"/>
      <c r="BT180" s="498"/>
      <c r="BU180" s="19"/>
      <c r="BV180" s="19"/>
      <c r="BW180" s="19"/>
      <c r="BX180" s="19"/>
      <c r="BY180" s="19"/>
      <c r="BZ180" s="19"/>
      <c r="CA180" s="19"/>
      <c r="CB180" s="27"/>
      <c r="CC180" s="27"/>
    </row>
    <row r="181" spans="32:81" ht="13.5" hidden="1" customHeight="1">
      <c r="AF181" s="1580"/>
      <c r="AG181" s="1580"/>
      <c r="AH181" s="1580"/>
      <c r="AI181" s="1580"/>
      <c r="AJ181" s="1580"/>
      <c r="BA181" s="498"/>
      <c r="BB181" s="498"/>
      <c r="BC181" s="508"/>
      <c r="BD181" s="515"/>
      <c r="BE181" s="514"/>
      <c r="BF181" s="511"/>
      <c r="BG181" s="498"/>
      <c r="BH181" s="498"/>
      <c r="BI181" s="498"/>
      <c r="BJ181" s="498"/>
      <c r="BK181" s="498"/>
      <c r="BL181" s="498"/>
      <c r="BM181" s="498"/>
      <c r="BN181" s="498"/>
      <c r="BO181" s="498"/>
      <c r="BP181" s="498"/>
      <c r="BQ181" s="498"/>
      <c r="BR181" s="498"/>
      <c r="BS181" s="498"/>
      <c r="BT181" s="498"/>
      <c r="BU181" s="19"/>
      <c r="BV181" s="19"/>
      <c r="BW181" s="19"/>
      <c r="BX181" s="19"/>
      <c r="BY181" s="19"/>
      <c r="BZ181" s="19"/>
      <c r="CA181" s="19"/>
      <c r="CB181" s="27"/>
      <c r="CC181" s="27"/>
    </row>
    <row r="182" spans="32:81" ht="13.5" hidden="1" customHeight="1">
      <c r="AF182" s="1580"/>
      <c r="AG182" s="1580"/>
      <c r="AH182" s="1580"/>
      <c r="AI182" s="1580"/>
      <c r="AJ182" s="1580"/>
      <c r="BA182" s="498"/>
      <c r="BB182" s="498"/>
      <c r="BC182" s="508"/>
      <c r="BD182" s="515"/>
      <c r="BE182" s="514"/>
      <c r="BF182" s="511"/>
      <c r="BG182" s="498"/>
      <c r="BH182" s="498"/>
      <c r="BI182" s="498"/>
      <c r="BJ182" s="498"/>
      <c r="BK182" s="498"/>
      <c r="BL182" s="498"/>
      <c r="BM182" s="498"/>
      <c r="BN182" s="498"/>
      <c r="BO182" s="498"/>
      <c r="BP182" s="498"/>
      <c r="BQ182" s="498"/>
      <c r="BR182" s="498"/>
      <c r="BS182" s="498"/>
      <c r="BT182" s="498"/>
      <c r="BU182" s="19"/>
      <c r="BV182" s="19"/>
      <c r="BW182" s="19"/>
      <c r="BX182" s="19"/>
      <c r="BY182" s="19"/>
      <c r="BZ182" s="19"/>
      <c r="CA182" s="19"/>
      <c r="CB182" s="27"/>
      <c r="CC182" s="27"/>
    </row>
    <row r="183" spans="32:81" ht="13.5" hidden="1" customHeight="1">
      <c r="AF183" s="1580"/>
      <c r="AG183" s="1580"/>
      <c r="AH183" s="1580"/>
      <c r="AI183" s="1580"/>
      <c r="AJ183" s="1580"/>
      <c r="BA183" s="498"/>
      <c r="BB183" s="498"/>
      <c r="BC183" s="508"/>
      <c r="BD183" s="515"/>
      <c r="BE183" s="514"/>
      <c r="BF183" s="511"/>
      <c r="BG183" s="498"/>
      <c r="BH183" s="498"/>
      <c r="BI183" s="498"/>
      <c r="BJ183" s="498"/>
      <c r="BK183" s="498"/>
      <c r="BL183" s="498"/>
      <c r="BM183" s="498"/>
      <c r="BN183" s="498"/>
      <c r="BO183" s="498"/>
      <c r="BP183" s="498"/>
      <c r="BQ183" s="498"/>
      <c r="BR183" s="498"/>
      <c r="BS183" s="498"/>
      <c r="BT183" s="498"/>
      <c r="BU183" s="19"/>
      <c r="BV183" s="19"/>
      <c r="BW183" s="19"/>
      <c r="BX183" s="19"/>
      <c r="BY183" s="19"/>
      <c r="BZ183" s="19"/>
      <c r="CA183" s="19"/>
      <c r="CB183" s="27"/>
      <c r="CC183" s="27"/>
    </row>
    <row r="184" spans="32:81" ht="13.5" hidden="1" customHeight="1">
      <c r="AF184" s="1580"/>
      <c r="AG184" s="1580"/>
      <c r="AH184" s="1580"/>
      <c r="AI184" s="1580"/>
      <c r="AJ184" s="1580"/>
      <c r="BA184" s="498"/>
      <c r="BB184" s="498"/>
      <c r="BC184" s="508"/>
      <c r="BD184" s="515"/>
      <c r="BE184" s="514"/>
      <c r="BF184" s="511"/>
      <c r="BG184" s="498"/>
      <c r="BH184" s="498"/>
      <c r="BI184" s="498"/>
      <c r="BJ184" s="498"/>
      <c r="BK184" s="498"/>
      <c r="BL184" s="498"/>
      <c r="BM184" s="498"/>
      <c r="BN184" s="498"/>
      <c r="BO184" s="498"/>
      <c r="BP184" s="498"/>
      <c r="BQ184" s="498"/>
      <c r="BR184" s="498"/>
      <c r="BS184" s="498"/>
      <c r="BT184" s="498"/>
      <c r="BU184" s="19"/>
      <c r="BV184" s="19"/>
      <c r="BW184" s="19"/>
      <c r="BX184" s="19"/>
      <c r="BY184" s="19"/>
      <c r="BZ184" s="19"/>
      <c r="CA184" s="19"/>
      <c r="CB184" s="27"/>
      <c r="CC184" s="27"/>
    </row>
    <row r="185" spans="32:81" ht="13.5" hidden="1" customHeight="1">
      <c r="AF185" s="1580"/>
      <c r="AG185" s="1580"/>
      <c r="AH185" s="1580"/>
      <c r="AI185" s="1580"/>
      <c r="AJ185" s="1580"/>
      <c r="BA185" s="498"/>
      <c r="BB185" s="498"/>
      <c r="BC185" s="508"/>
      <c r="BD185" s="515"/>
      <c r="BE185" s="512" t="s">
        <v>79</v>
      </c>
      <c r="BF185" s="511"/>
      <c r="BG185" s="498"/>
      <c r="BH185" s="498"/>
      <c r="BI185" s="498"/>
      <c r="BJ185" s="498"/>
      <c r="BK185" s="498"/>
      <c r="BL185" s="498"/>
      <c r="BM185" s="498"/>
      <c r="BN185" s="498"/>
      <c r="BO185" s="498"/>
      <c r="BP185" s="498"/>
      <c r="BQ185" s="498"/>
      <c r="BR185" s="498"/>
      <c r="BS185" s="498"/>
      <c r="BT185" s="498"/>
      <c r="BU185" s="19"/>
      <c r="BV185" s="19"/>
      <c r="BW185" s="19"/>
      <c r="BX185" s="19"/>
      <c r="BY185" s="19"/>
      <c r="BZ185" s="19"/>
      <c r="CA185" s="19"/>
      <c r="CB185" s="27"/>
      <c r="CC185" s="27"/>
    </row>
    <row r="186" spans="32:81" ht="13.5" hidden="1" customHeight="1">
      <c r="AF186" s="1580"/>
      <c r="AG186" s="1580"/>
      <c r="AH186" s="1580"/>
      <c r="AI186" s="1580"/>
      <c r="AJ186" s="1580"/>
      <c r="BA186" s="498"/>
      <c r="BB186" s="498"/>
      <c r="BC186" s="508"/>
      <c r="BD186" s="787"/>
      <c r="BE186" s="788"/>
      <c r="BF186" s="789"/>
      <c r="BG186" s="498"/>
      <c r="BH186" s="498"/>
      <c r="BI186" s="498"/>
      <c r="BJ186" s="498"/>
      <c r="BK186" s="498"/>
      <c r="BL186" s="498"/>
      <c r="BM186" s="498"/>
      <c r="BN186" s="498"/>
      <c r="BO186" s="498"/>
      <c r="BP186" s="498"/>
      <c r="BQ186" s="498"/>
      <c r="BR186" s="498"/>
      <c r="BS186" s="498"/>
      <c r="BT186" s="498"/>
      <c r="BU186" s="19"/>
      <c r="BV186" s="19"/>
      <c r="BW186" s="19"/>
      <c r="BX186" s="19"/>
      <c r="BY186" s="19"/>
      <c r="BZ186" s="19"/>
      <c r="CA186" s="19"/>
      <c r="CB186" s="27"/>
      <c r="CC186" s="27"/>
    </row>
    <row r="187" spans="32:81" ht="13.5" hidden="1" customHeight="1">
      <c r="AF187" s="1580"/>
      <c r="AG187" s="1580"/>
      <c r="AH187" s="1580"/>
      <c r="AI187" s="1580"/>
      <c r="AJ187" s="1580"/>
      <c r="BA187" s="498"/>
      <c r="BB187" s="498"/>
      <c r="BC187" s="514"/>
      <c r="BD187" s="787"/>
      <c r="BE187" s="788"/>
      <c r="BF187" s="789"/>
      <c r="BG187" s="498"/>
      <c r="BH187" s="498"/>
      <c r="BI187" s="498"/>
      <c r="BJ187" s="498"/>
      <c r="BK187" s="498"/>
      <c r="BL187" s="498"/>
      <c r="BM187" s="498"/>
      <c r="BN187" s="498"/>
      <c r="BO187" s="498"/>
      <c r="BP187" s="498"/>
      <c r="BQ187" s="498"/>
      <c r="BR187" s="498"/>
      <c r="BS187" s="498"/>
      <c r="BT187" s="498"/>
      <c r="BU187" s="19"/>
      <c r="BV187" s="19"/>
      <c r="BW187" s="19"/>
      <c r="BX187" s="19"/>
      <c r="BY187" s="19"/>
      <c r="BZ187" s="19"/>
      <c r="CA187" s="19"/>
      <c r="CB187" s="27"/>
      <c r="CC187" s="27"/>
    </row>
    <row r="188" spans="32:81" ht="13.5" hidden="1" customHeight="1">
      <c r="AF188" s="1580"/>
      <c r="AG188" s="1580"/>
      <c r="AH188" s="1580"/>
      <c r="AI188" s="1580"/>
      <c r="AJ188" s="1580"/>
      <c r="BA188" s="498"/>
      <c r="BB188" s="498"/>
      <c r="BC188" s="514"/>
      <c r="BD188" s="500" t="s">
        <v>2949</v>
      </c>
      <c r="BE188" s="514" t="s">
        <v>2949</v>
      </c>
      <c r="BF188" s="511">
        <v>370</v>
      </c>
      <c r="BG188" s="498"/>
      <c r="BH188" s="498"/>
      <c r="BI188" s="498"/>
      <c r="BJ188" s="498"/>
      <c r="BK188" s="498"/>
      <c r="BL188" s="498"/>
      <c r="BM188" s="498"/>
      <c r="BN188" s="498"/>
      <c r="BO188" s="498"/>
      <c r="BP188" s="498"/>
      <c r="BQ188" s="498"/>
      <c r="BR188" s="498"/>
      <c r="BS188" s="498"/>
      <c r="BT188" s="498"/>
      <c r="BU188" s="19"/>
      <c r="BV188" s="19"/>
      <c r="BW188" s="19"/>
      <c r="BX188" s="19"/>
      <c r="BY188" s="19"/>
      <c r="BZ188" s="19"/>
      <c r="CA188" s="19"/>
      <c r="CB188" s="27"/>
      <c r="CC188" s="27"/>
    </row>
    <row r="189" spans="32:81" ht="13.5" hidden="1" customHeight="1">
      <c r="AF189" s="1580"/>
      <c r="AG189" s="1580"/>
      <c r="AH189" s="1580"/>
      <c r="AI189" s="1580"/>
      <c r="AJ189" s="1580"/>
      <c r="BA189" s="498"/>
      <c r="BB189" s="498"/>
      <c r="BC189" s="514"/>
      <c r="BD189" s="787"/>
      <c r="BE189" s="788"/>
      <c r="BF189" s="789"/>
      <c r="BG189" s="498"/>
      <c r="BH189" s="498"/>
      <c r="BI189" s="498"/>
      <c r="BJ189" s="498"/>
      <c r="BK189" s="498"/>
      <c r="BL189" s="498"/>
      <c r="BM189" s="498"/>
      <c r="BN189" s="498"/>
      <c r="BO189" s="498"/>
      <c r="BP189" s="498"/>
      <c r="BQ189" s="498"/>
      <c r="BR189" s="498"/>
      <c r="BS189" s="498"/>
      <c r="BT189" s="498"/>
      <c r="BU189" s="19"/>
      <c r="BV189" s="19"/>
      <c r="BW189" s="19"/>
      <c r="BX189" s="19"/>
      <c r="BY189" s="19"/>
      <c r="BZ189" s="19"/>
      <c r="CA189" s="19"/>
      <c r="CB189" s="27"/>
      <c r="CC189" s="27"/>
    </row>
    <row r="190" spans="32:81" ht="13.5" hidden="1" customHeight="1">
      <c r="AF190" s="1580"/>
      <c r="AG190" s="1580"/>
      <c r="AH190" s="1580"/>
      <c r="AI190" s="1580"/>
      <c r="AJ190" s="1580"/>
      <c r="BA190" s="498"/>
      <c r="BB190" s="498"/>
      <c r="BC190" s="514"/>
      <c r="BD190" s="500" t="s">
        <v>2973</v>
      </c>
      <c r="BE190" s="514" t="s">
        <v>2974</v>
      </c>
      <c r="BF190" s="511">
        <v>610</v>
      </c>
      <c r="BG190" s="498"/>
      <c r="BH190" s="498"/>
      <c r="BI190" s="498"/>
      <c r="BJ190" s="498"/>
      <c r="BK190" s="498"/>
      <c r="BL190" s="498"/>
      <c r="BM190" s="498"/>
      <c r="BN190" s="498"/>
      <c r="BO190" s="498"/>
      <c r="BP190" s="498"/>
      <c r="BQ190" s="498"/>
      <c r="BR190" s="498"/>
      <c r="BS190" s="498"/>
      <c r="BT190" s="498"/>
      <c r="BU190" s="19"/>
      <c r="BV190" s="19"/>
      <c r="BW190" s="19"/>
      <c r="BX190" s="19"/>
      <c r="BY190" s="19"/>
      <c r="BZ190" s="19"/>
      <c r="CA190" s="19"/>
      <c r="CB190" s="27"/>
      <c r="CC190" s="27"/>
    </row>
    <row r="191" spans="32:81" ht="13.5" hidden="1" customHeight="1">
      <c r="AF191" s="1580"/>
      <c r="AG191" s="1580"/>
      <c r="AH191" s="1580"/>
      <c r="AI191" s="1580"/>
      <c r="AJ191" s="1580"/>
      <c r="BA191" s="498"/>
      <c r="BB191" s="498"/>
      <c r="BC191" s="514"/>
      <c r="BD191" s="500" t="s">
        <v>2971</v>
      </c>
      <c r="BE191" s="514" t="s">
        <v>2971</v>
      </c>
      <c r="BF191" s="511">
        <v>610</v>
      </c>
      <c r="BG191" s="498"/>
      <c r="BH191" s="498"/>
      <c r="BI191" s="498"/>
      <c r="BJ191" s="498"/>
      <c r="BK191" s="498"/>
      <c r="BL191" s="498"/>
      <c r="BM191" s="498"/>
      <c r="BN191" s="498"/>
      <c r="BO191" s="498"/>
      <c r="BP191" s="498"/>
      <c r="BQ191" s="498"/>
      <c r="BR191" s="498"/>
      <c r="BS191" s="498"/>
      <c r="BT191" s="498"/>
      <c r="BU191" s="19"/>
      <c r="BV191" s="19"/>
      <c r="BW191" s="19"/>
      <c r="BX191" s="19"/>
      <c r="BY191" s="19"/>
      <c r="BZ191" s="19"/>
      <c r="CA191" s="19"/>
      <c r="CB191" s="27"/>
      <c r="CC191" s="27"/>
    </row>
    <row r="192" spans="32:81" ht="13.5" hidden="1" customHeight="1">
      <c r="AF192" s="1580"/>
      <c r="AG192" s="1580"/>
      <c r="AH192" s="1580"/>
      <c r="AI192" s="1580"/>
      <c r="AJ192" s="1580"/>
      <c r="BA192" s="498"/>
      <c r="BB192" s="498"/>
      <c r="BC192" s="514"/>
      <c r="BD192" s="498"/>
      <c r="BE192" s="512" t="s">
        <v>97</v>
      </c>
      <c r="BF192" s="511"/>
      <c r="BG192" s="498"/>
      <c r="BH192" s="498"/>
      <c r="BI192" s="498"/>
      <c r="BJ192" s="498"/>
      <c r="BK192" s="498"/>
      <c r="BL192" s="498"/>
      <c r="BM192" s="498"/>
      <c r="BN192" s="498"/>
      <c r="BO192" s="498"/>
      <c r="BP192" s="498"/>
      <c r="BQ192" s="498"/>
      <c r="BR192" s="498"/>
      <c r="BS192" s="498"/>
      <c r="BT192" s="498"/>
      <c r="BU192" s="19"/>
      <c r="BV192" s="19"/>
      <c r="BW192" s="19"/>
      <c r="BX192" s="19"/>
      <c r="BY192" s="19"/>
      <c r="BZ192" s="19"/>
      <c r="CA192" s="19"/>
      <c r="CB192" s="27"/>
      <c r="CC192" s="27"/>
    </row>
    <row r="193" spans="32:81" ht="13.5" hidden="1" customHeight="1">
      <c r="AF193" s="1580"/>
      <c r="AG193" s="1580"/>
      <c r="AH193" s="1580"/>
      <c r="AI193" s="1580"/>
      <c r="AJ193" s="1580"/>
      <c r="BA193" s="498"/>
      <c r="BB193" s="498"/>
      <c r="BC193" s="512"/>
      <c r="BD193" s="507" t="s">
        <v>2924</v>
      </c>
      <c r="BE193" s="507" t="s">
        <v>2924</v>
      </c>
      <c r="BF193" s="511">
        <v>120</v>
      </c>
      <c r="BG193" s="498"/>
      <c r="BH193" s="498"/>
      <c r="BI193" s="498"/>
      <c r="BJ193" s="498"/>
      <c r="BK193" s="498"/>
      <c r="BL193" s="498"/>
      <c r="BM193" s="498"/>
      <c r="BN193" s="498"/>
      <c r="BO193" s="498"/>
      <c r="BP193" s="498"/>
      <c r="BQ193" s="498"/>
      <c r="BR193" s="498"/>
      <c r="BS193" s="498"/>
      <c r="BT193" s="498"/>
      <c r="BU193" s="19"/>
      <c r="BV193" s="19"/>
      <c r="BW193" s="19"/>
      <c r="BX193" s="19"/>
      <c r="BY193" s="19"/>
      <c r="BZ193" s="19"/>
      <c r="CA193" s="19"/>
      <c r="CB193" s="27"/>
      <c r="CC193" s="27"/>
    </row>
    <row r="194" spans="32:81" ht="13.5" hidden="1" customHeight="1">
      <c r="AF194" s="1580"/>
      <c r="AG194" s="1580"/>
      <c r="AH194" s="1580"/>
      <c r="AI194" s="1580"/>
      <c r="AJ194" s="1580"/>
      <c r="BA194" s="498"/>
      <c r="BB194" s="498"/>
      <c r="BC194" s="514"/>
      <c r="BD194" s="507" t="s">
        <v>2925</v>
      </c>
      <c r="BE194" s="507" t="s">
        <v>2925</v>
      </c>
      <c r="BF194" s="511">
        <v>120</v>
      </c>
      <c r="BG194" s="498"/>
      <c r="BH194" s="498"/>
      <c r="BI194" s="498"/>
      <c r="BJ194" s="498"/>
      <c r="BK194" s="498"/>
      <c r="BL194" s="498"/>
      <c r="BM194" s="498"/>
      <c r="BN194" s="498"/>
      <c r="BO194" s="498"/>
      <c r="BP194" s="498"/>
      <c r="BQ194" s="498"/>
      <c r="BR194" s="498"/>
      <c r="BS194" s="498"/>
      <c r="BT194" s="498"/>
      <c r="BU194" s="19"/>
      <c r="BV194" s="19"/>
      <c r="BW194" s="19"/>
      <c r="BX194" s="19"/>
      <c r="BY194" s="19"/>
      <c r="BZ194" s="19"/>
      <c r="CA194" s="19"/>
      <c r="CB194" s="27"/>
      <c r="CC194" s="27"/>
    </row>
    <row r="195" spans="32:81" ht="13.5" hidden="1" customHeight="1">
      <c r="AF195" s="1580"/>
      <c r="AG195" s="1580"/>
      <c r="AH195" s="1580"/>
      <c r="AI195" s="1580"/>
      <c r="AJ195" s="1580"/>
      <c r="BA195" s="498"/>
      <c r="BB195" s="498"/>
      <c r="BC195" s="514"/>
      <c r="BD195" s="507" t="s">
        <v>2926</v>
      </c>
      <c r="BE195" s="507" t="s">
        <v>2926</v>
      </c>
      <c r="BF195" s="511">
        <v>120</v>
      </c>
      <c r="BG195" s="498"/>
      <c r="BH195" s="498"/>
      <c r="BI195" s="498"/>
      <c r="BJ195" s="498"/>
      <c r="BK195" s="498"/>
      <c r="BL195" s="498"/>
      <c r="BM195" s="498"/>
      <c r="BN195" s="498"/>
      <c r="BO195" s="498"/>
      <c r="BP195" s="498"/>
      <c r="BQ195" s="498"/>
      <c r="BR195" s="498"/>
      <c r="BS195" s="498"/>
      <c r="BT195" s="498"/>
      <c r="BU195" s="19"/>
      <c r="BV195" s="19"/>
      <c r="BW195" s="19"/>
      <c r="BX195" s="19"/>
      <c r="BY195" s="19"/>
      <c r="BZ195" s="19"/>
      <c r="CA195" s="19"/>
      <c r="CB195" s="27"/>
      <c r="CC195" s="27"/>
    </row>
    <row r="196" spans="32:81" ht="13.5" hidden="1" customHeight="1">
      <c r="AF196" s="1580"/>
      <c r="AG196" s="1580"/>
      <c r="AH196" s="1580"/>
      <c r="AI196" s="1580"/>
      <c r="AJ196" s="1580"/>
      <c r="BA196" s="498"/>
      <c r="BB196" s="498"/>
      <c r="BC196" s="514"/>
      <c r="BD196" s="507" t="s">
        <v>2927</v>
      </c>
      <c r="BE196" s="507" t="s">
        <v>2927</v>
      </c>
      <c r="BF196" s="511">
        <v>180</v>
      </c>
      <c r="BG196" s="498"/>
      <c r="BH196" s="498"/>
      <c r="BI196" s="498"/>
      <c r="BJ196" s="498"/>
      <c r="BK196" s="498"/>
      <c r="BL196" s="498"/>
      <c r="BM196" s="498"/>
      <c r="BN196" s="498"/>
      <c r="BO196" s="498"/>
      <c r="BP196" s="498"/>
      <c r="BQ196" s="498"/>
      <c r="BR196" s="498"/>
      <c r="BS196" s="498"/>
      <c r="BT196" s="498"/>
      <c r="BU196" s="19"/>
      <c r="BV196" s="19"/>
      <c r="BW196" s="19"/>
      <c r="BX196" s="19"/>
      <c r="BY196" s="19"/>
      <c r="BZ196" s="19"/>
      <c r="CA196" s="19"/>
      <c r="CB196" s="27"/>
      <c r="CC196" s="27"/>
    </row>
    <row r="197" spans="32:81" ht="14.25" hidden="1">
      <c r="AF197" s="1580"/>
      <c r="AG197" s="1580"/>
      <c r="AH197" s="1580"/>
      <c r="AI197" s="1580"/>
      <c r="AJ197" s="1580"/>
      <c r="BA197" s="498"/>
      <c r="BB197" s="498"/>
      <c r="BC197" s="514"/>
      <c r="BD197" s="507" t="s">
        <v>2928</v>
      </c>
      <c r="BE197" s="507" t="s">
        <v>2928</v>
      </c>
      <c r="BF197" s="511">
        <v>180</v>
      </c>
      <c r="BG197" s="498"/>
      <c r="BH197" s="498"/>
      <c r="BI197" s="498"/>
      <c r="BJ197" s="498"/>
      <c r="BK197" s="498"/>
      <c r="BL197" s="498"/>
      <c r="BM197" s="498"/>
      <c r="BN197" s="498"/>
      <c r="BO197" s="498"/>
      <c r="BP197" s="498"/>
      <c r="BQ197" s="498"/>
      <c r="BR197" s="498"/>
      <c r="BS197" s="498"/>
      <c r="BT197" s="498"/>
      <c r="BU197" s="19"/>
      <c r="BV197" s="19"/>
      <c r="BW197" s="19"/>
      <c r="BX197" s="19"/>
      <c r="BY197" s="19"/>
      <c r="BZ197" s="19"/>
      <c r="CA197" s="19"/>
      <c r="CB197" s="27"/>
      <c r="CC197" s="27"/>
    </row>
    <row r="198" spans="32:81" ht="14.25" hidden="1">
      <c r="AF198" s="1580"/>
      <c r="AG198" s="1580"/>
      <c r="AH198" s="1580"/>
      <c r="AI198" s="1580"/>
      <c r="AJ198" s="1580"/>
      <c r="BA198" s="498"/>
      <c r="BB198" s="498"/>
      <c r="BC198" s="512"/>
      <c r="BD198" s="507" t="s">
        <v>2929</v>
      </c>
      <c r="BE198" s="507" t="s">
        <v>2929</v>
      </c>
      <c r="BF198" s="511">
        <v>180</v>
      </c>
      <c r="BG198" s="498"/>
      <c r="BH198" s="498"/>
      <c r="BI198" s="498"/>
      <c r="BJ198" s="498"/>
      <c r="BK198" s="498"/>
      <c r="BL198" s="498"/>
      <c r="BM198" s="498"/>
      <c r="BN198" s="498"/>
      <c r="BO198" s="498"/>
      <c r="BP198" s="498"/>
      <c r="BQ198" s="498"/>
      <c r="BR198" s="498"/>
      <c r="BS198" s="498"/>
      <c r="BT198" s="498"/>
      <c r="BU198" s="19"/>
      <c r="BV198" s="19"/>
      <c r="BW198" s="19"/>
      <c r="BX198" s="19"/>
      <c r="BY198" s="19"/>
      <c r="BZ198" s="19"/>
      <c r="CA198" s="19"/>
      <c r="CB198" s="27"/>
      <c r="CC198" s="27"/>
    </row>
    <row r="199" spans="32:81" ht="14.25" hidden="1">
      <c r="AF199" s="1580"/>
      <c r="AG199" s="1580"/>
      <c r="AH199" s="1580"/>
      <c r="AI199" s="1580"/>
      <c r="AJ199" s="1580"/>
      <c r="BA199" s="498"/>
      <c r="BB199" s="498"/>
      <c r="BC199" s="514"/>
      <c r="BD199" s="511"/>
      <c r="BE199" s="514"/>
      <c r="BF199" s="511"/>
      <c r="BG199" s="498"/>
      <c r="BH199" s="498"/>
      <c r="BI199" s="498"/>
      <c r="BJ199" s="498"/>
      <c r="BK199" s="498"/>
      <c r="BL199" s="498"/>
      <c r="BM199" s="498"/>
      <c r="BN199" s="498"/>
      <c r="BO199" s="498"/>
      <c r="BP199" s="498"/>
      <c r="BQ199" s="498"/>
      <c r="BR199" s="498"/>
      <c r="BS199" s="498"/>
      <c r="BT199" s="498"/>
      <c r="BU199" s="19"/>
      <c r="BV199" s="19"/>
      <c r="BW199" s="19"/>
      <c r="BX199" s="19"/>
      <c r="BY199" s="19"/>
      <c r="BZ199" s="19"/>
      <c r="CA199" s="19"/>
      <c r="CB199" s="27"/>
      <c r="CC199" s="27"/>
    </row>
    <row r="200" spans="32:81" ht="14.25" hidden="1">
      <c r="AF200" s="1580"/>
      <c r="AG200" s="1580"/>
      <c r="AH200" s="1580"/>
      <c r="AI200" s="1580"/>
      <c r="AJ200" s="1580"/>
      <c r="BA200" s="498"/>
      <c r="BB200" s="498"/>
      <c r="BC200" s="514"/>
      <c r="BD200" s="511"/>
      <c r="BE200" s="514"/>
      <c r="BF200" s="511"/>
      <c r="BG200" s="498"/>
      <c r="BH200" s="498"/>
      <c r="BI200" s="498"/>
      <c r="BJ200" s="498"/>
      <c r="BK200" s="498"/>
      <c r="BL200" s="498"/>
      <c r="BM200" s="498"/>
      <c r="BN200" s="498"/>
      <c r="BO200" s="498"/>
      <c r="BP200" s="498"/>
      <c r="BQ200" s="498"/>
      <c r="BR200" s="498"/>
      <c r="BS200" s="498"/>
      <c r="BT200" s="498"/>
      <c r="BU200" s="19"/>
      <c r="BV200" s="19"/>
      <c r="BW200" s="19"/>
      <c r="BX200" s="19"/>
      <c r="BY200" s="19"/>
      <c r="BZ200" s="19"/>
      <c r="CA200" s="19"/>
      <c r="CB200" s="27"/>
      <c r="CC200" s="27"/>
    </row>
    <row r="201" spans="32:81" ht="14.25" hidden="1">
      <c r="BA201" s="498"/>
      <c r="BB201" s="498"/>
      <c r="BC201" s="514"/>
      <c r="BD201" s="511"/>
      <c r="BE201" s="512" t="s">
        <v>80</v>
      </c>
      <c r="BF201" s="511"/>
      <c r="BG201" s="498"/>
      <c r="BH201" s="498"/>
      <c r="BI201" s="498"/>
      <c r="BJ201" s="498"/>
      <c r="BK201" s="498"/>
      <c r="BL201" s="498"/>
      <c r="BM201" s="498"/>
      <c r="BN201" s="498"/>
      <c r="BO201" s="498"/>
      <c r="BP201" s="498"/>
      <c r="BQ201" s="498"/>
      <c r="BR201" s="498"/>
      <c r="BS201" s="498"/>
      <c r="BT201" s="498"/>
      <c r="BU201" s="19"/>
      <c r="BV201" s="19"/>
      <c r="BW201" s="19"/>
      <c r="BX201" s="19"/>
      <c r="BY201" s="19"/>
      <c r="BZ201" s="19"/>
      <c r="CA201" s="19"/>
      <c r="CB201" s="27"/>
      <c r="CC201" s="27"/>
    </row>
    <row r="202" spans="32:81" ht="14.25" hidden="1">
      <c r="BA202" s="498"/>
      <c r="BB202" s="498"/>
      <c r="BC202" s="514"/>
      <c r="BD202" s="787"/>
      <c r="BE202" s="788"/>
      <c r="BF202" s="789"/>
      <c r="BG202" s="498"/>
      <c r="BH202" s="498"/>
      <c r="BI202" s="498"/>
      <c r="BJ202" s="498"/>
      <c r="BK202" s="498"/>
      <c r="BL202" s="498"/>
      <c r="BM202" s="498"/>
      <c r="BN202" s="498"/>
      <c r="BO202" s="498"/>
      <c r="BP202" s="498"/>
      <c r="BQ202" s="498"/>
      <c r="BR202" s="498"/>
      <c r="BS202" s="498"/>
      <c r="BT202" s="498"/>
      <c r="BU202" s="19"/>
      <c r="BV202" s="19"/>
      <c r="BW202" s="19"/>
      <c r="BX202" s="19"/>
      <c r="BY202" s="19"/>
      <c r="BZ202" s="19"/>
      <c r="CA202" s="19"/>
      <c r="CB202" s="27"/>
      <c r="CC202" s="27"/>
    </row>
    <row r="203" spans="32:81" ht="28.5" hidden="1">
      <c r="BA203" s="498"/>
      <c r="BB203" s="498"/>
      <c r="BC203" s="514"/>
      <c r="BD203" s="966" t="s">
        <v>3073</v>
      </c>
      <c r="BE203" s="967" t="s">
        <v>2944</v>
      </c>
      <c r="BF203" s="968">
        <v>780</v>
      </c>
      <c r="BG203" s="498"/>
      <c r="BH203" s="498"/>
      <c r="BI203" s="498"/>
      <c r="BJ203" s="498"/>
      <c r="BK203" s="498"/>
      <c r="BL203" s="498"/>
      <c r="BM203" s="498"/>
      <c r="BN203" s="498"/>
      <c r="BO203" s="498"/>
      <c r="BP203" s="498"/>
      <c r="BQ203" s="498"/>
      <c r="BR203" s="498"/>
      <c r="BS203" s="498"/>
      <c r="BT203" s="498"/>
      <c r="BU203" s="19"/>
      <c r="BV203" s="19"/>
      <c r="BW203" s="19"/>
      <c r="BX203" s="19"/>
      <c r="BY203" s="19"/>
      <c r="BZ203" s="19"/>
      <c r="CA203" s="19"/>
      <c r="CB203" s="27"/>
      <c r="CC203" s="27"/>
    </row>
    <row r="204" spans="32:81" ht="14.25" hidden="1">
      <c r="BA204" s="498"/>
      <c r="BB204" s="498"/>
      <c r="BC204" s="514"/>
      <c r="BD204" s="969"/>
      <c r="BE204" s="970"/>
      <c r="BF204" s="971"/>
      <c r="BG204" s="498"/>
      <c r="BH204" s="498"/>
      <c r="BI204" s="498"/>
      <c r="BJ204" s="498"/>
      <c r="BK204" s="498"/>
      <c r="BL204" s="498"/>
      <c r="BM204" s="498"/>
      <c r="BN204" s="498"/>
      <c r="BO204" s="498"/>
      <c r="BP204" s="498"/>
      <c r="BQ204" s="498"/>
      <c r="BR204" s="498"/>
      <c r="BS204" s="498"/>
      <c r="BT204" s="498"/>
      <c r="BU204" s="19"/>
      <c r="BV204" s="19"/>
      <c r="BW204" s="19"/>
      <c r="BX204" s="19"/>
      <c r="BY204" s="19"/>
      <c r="BZ204" s="19"/>
      <c r="CA204" s="19"/>
      <c r="CB204" s="27"/>
      <c r="CC204" s="27"/>
    </row>
    <row r="205" spans="32:81" ht="14.25" hidden="1">
      <c r="BA205" s="498"/>
      <c r="BB205" s="498"/>
      <c r="BC205" s="514"/>
      <c r="BD205" s="972" t="s">
        <v>3061</v>
      </c>
      <c r="BE205" s="972" t="s">
        <v>3074</v>
      </c>
      <c r="BF205" s="968">
        <v>560</v>
      </c>
      <c r="BG205" s="498"/>
      <c r="BH205" s="498"/>
      <c r="BI205" s="498"/>
      <c r="BJ205" s="498"/>
      <c r="BK205" s="498"/>
      <c r="BL205" s="498"/>
      <c r="BM205" s="498"/>
      <c r="BN205" s="498"/>
      <c r="BO205" s="498"/>
      <c r="BP205" s="498"/>
      <c r="BQ205" s="498"/>
      <c r="BR205" s="498"/>
      <c r="BS205" s="498"/>
      <c r="BT205" s="498"/>
      <c r="BU205" s="19"/>
      <c r="BV205" s="19"/>
      <c r="BW205" s="19"/>
      <c r="BX205" s="19"/>
      <c r="BY205" s="19"/>
      <c r="BZ205" s="19"/>
      <c r="CA205" s="19"/>
      <c r="CB205" s="27"/>
      <c r="CC205" s="27"/>
    </row>
    <row r="206" spans="32:81" ht="14.25" hidden="1">
      <c r="BA206" s="498"/>
      <c r="BB206" s="498"/>
      <c r="BC206" s="514"/>
      <c r="BD206" s="972" t="s">
        <v>3075</v>
      </c>
      <c r="BE206" s="972" t="s">
        <v>3075</v>
      </c>
      <c r="BF206" s="968">
        <v>670</v>
      </c>
      <c r="BG206" s="498"/>
      <c r="BH206" s="498"/>
      <c r="BI206" s="498"/>
      <c r="BJ206" s="498"/>
      <c r="BK206" s="498"/>
      <c r="BL206" s="498"/>
      <c r="BM206" s="498"/>
      <c r="BN206" s="498"/>
      <c r="BO206" s="498"/>
      <c r="BP206" s="498"/>
      <c r="BQ206" s="498"/>
      <c r="BR206" s="498"/>
      <c r="BS206" s="498"/>
      <c r="BT206" s="498"/>
      <c r="BU206" s="19"/>
      <c r="BV206" s="19"/>
      <c r="BW206" s="19"/>
      <c r="BX206" s="19"/>
      <c r="BY206" s="19"/>
      <c r="BZ206" s="19"/>
      <c r="CA206" s="19"/>
      <c r="CB206" s="27"/>
      <c r="CC206" s="27"/>
    </row>
    <row r="207" spans="32:81" ht="14.25" hidden="1">
      <c r="BA207" s="498"/>
      <c r="BB207" s="498"/>
      <c r="BC207" s="512"/>
      <c r="BD207" s="969"/>
      <c r="BE207" s="970"/>
      <c r="BF207" s="971"/>
      <c r="BG207" s="498"/>
      <c r="BH207" s="498"/>
      <c r="BI207" s="498"/>
      <c r="BJ207" s="498"/>
      <c r="BK207" s="498"/>
      <c r="BL207" s="498"/>
      <c r="BM207" s="498"/>
      <c r="BN207" s="498"/>
      <c r="BO207" s="498"/>
      <c r="BP207" s="498"/>
      <c r="BQ207" s="498"/>
      <c r="BR207" s="498"/>
      <c r="BS207" s="498"/>
      <c r="BT207" s="498"/>
      <c r="BU207" s="19"/>
      <c r="BV207" s="19"/>
      <c r="BW207" s="19"/>
      <c r="BX207" s="19"/>
      <c r="BY207" s="19"/>
      <c r="BZ207" s="19"/>
      <c r="CA207" s="19"/>
      <c r="CB207" s="27"/>
      <c r="CC207" s="27"/>
    </row>
    <row r="208" spans="32:81" ht="42.75" hidden="1">
      <c r="BA208" s="498"/>
      <c r="BB208" s="498"/>
      <c r="BC208" s="514"/>
      <c r="BD208" s="954" t="s">
        <v>3057</v>
      </c>
      <c r="BE208" s="954" t="s">
        <v>3057</v>
      </c>
      <c r="BF208" s="968">
        <v>670</v>
      </c>
      <c r="BG208" s="498"/>
      <c r="BH208" s="498"/>
      <c r="BI208" s="498"/>
      <c r="BJ208" s="498"/>
      <c r="BK208" s="498"/>
      <c r="BL208" s="498"/>
      <c r="BM208" s="498"/>
      <c r="BN208" s="498"/>
      <c r="BO208" s="498"/>
      <c r="BP208" s="498"/>
      <c r="BQ208" s="498"/>
      <c r="BR208" s="498"/>
      <c r="BS208" s="498"/>
      <c r="BT208" s="498"/>
      <c r="BU208" s="19"/>
      <c r="BV208" s="19"/>
      <c r="BW208" s="19"/>
      <c r="BX208" s="19"/>
      <c r="BY208" s="19"/>
      <c r="BZ208" s="19"/>
      <c r="CA208" s="19"/>
      <c r="CB208" s="27"/>
      <c r="CC208" s="27"/>
    </row>
    <row r="209" spans="53:81" ht="28.5" hidden="1">
      <c r="BA209" s="498"/>
      <c r="BB209" s="498"/>
      <c r="BC209" s="514"/>
      <c r="BD209" s="966" t="s">
        <v>3076</v>
      </c>
      <c r="BE209" s="967" t="s">
        <v>2943</v>
      </c>
      <c r="BF209" s="968">
        <v>670</v>
      </c>
      <c r="BG209" s="498"/>
      <c r="BH209" s="498"/>
      <c r="BI209" s="498"/>
      <c r="BJ209" s="498"/>
      <c r="BK209" s="498"/>
      <c r="BL209" s="498"/>
      <c r="BM209" s="498"/>
      <c r="BN209" s="498"/>
      <c r="BO209" s="498"/>
      <c r="BP209" s="498"/>
      <c r="BQ209" s="498"/>
      <c r="BR209" s="498"/>
      <c r="BS209" s="498"/>
      <c r="BT209" s="498"/>
      <c r="BU209" s="19"/>
      <c r="BV209" s="19"/>
      <c r="BW209" s="19"/>
      <c r="BX209" s="19"/>
      <c r="BY209" s="19"/>
      <c r="BZ209" s="19"/>
      <c r="CA209" s="19"/>
      <c r="CB209" s="27"/>
      <c r="CC209" s="27"/>
    </row>
    <row r="210" spans="53:81" ht="27" hidden="1">
      <c r="BA210" s="498"/>
      <c r="BB210" s="498"/>
      <c r="BC210" s="514"/>
      <c r="BD210" s="958" t="s">
        <v>3062</v>
      </c>
      <c r="BE210" s="958" t="s">
        <v>3062</v>
      </c>
      <c r="BF210" s="971">
        <v>710</v>
      </c>
      <c r="BG210" s="498"/>
      <c r="BH210" s="498"/>
      <c r="BI210" s="498"/>
      <c r="BJ210" s="498"/>
      <c r="BK210" s="498"/>
      <c r="BL210" s="498"/>
      <c r="BM210" s="498"/>
      <c r="BN210" s="498"/>
      <c r="BO210" s="498"/>
      <c r="BP210" s="498"/>
      <c r="BQ210" s="498"/>
      <c r="BR210" s="498"/>
      <c r="BS210" s="498"/>
      <c r="BT210" s="498"/>
      <c r="BU210" s="19"/>
      <c r="BV210" s="19"/>
      <c r="BW210" s="19"/>
      <c r="BX210" s="19"/>
      <c r="BY210" s="19"/>
      <c r="BZ210" s="19"/>
      <c r="CA210" s="19"/>
      <c r="CB210" s="27"/>
      <c r="CC210" s="27"/>
    </row>
    <row r="211" spans="53:81" ht="14.25" hidden="1">
      <c r="BA211" s="498"/>
      <c r="BB211" s="498"/>
      <c r="BC211" s="514"/>
      <c r="BD211" s="973"/>
      <c r="BE211" s="967"/>
      <c r="BF211" s="968"/>
      <c r="BG211" s="498"/>
      <c r="BH211" s="498"/>
      <c r="BI211" s="498"/>
      <c r="BJ211" s="498"/>
      <c r="BK211" s="498"/>
      <c r="BL211" s="498"/>
      <c r="BM211" s="498"/>
      <c r="BN211" s="498"/>
      <c r="BO211" s="498"/>
      <c r="BP211" s="498"/>
      <c r="BQ211" s="498"/>
      <c r="BR211" s="498"/>
      <c r="BS211" s="498"/>
      <c r="BT211" s="498"/>
      <c r="BU211" s="19"/>
      <c r="BV211" s="19"/>
      <c r="BW211" s="19"/>
      <c r="BX211" s="19"/>
      <c r="BY211" s="19"/>
      <c r="BZ211" s="19"/>
      <c r="CA211" s="19"/>
      <c r="CB211" s="27"/>
      <c r="CC211" s="27"/>
    </row>
    <row r="212" spans="53:81" ht="14.25" hidden="1">
      <c r="BA212" s="498"/>
      <c r="BB212" s="498"/>
      <c r="BC212" s="514"/>
      <c r="BD212" s="974" t="s">
        <v>3056</v>
      </c>
      <c r="BE212" s="974" t="s">
        <v>3077</v>
      </c>
      <c r="BF212" s="968">
        <v>60</v>
      </c>
      <c r="BG212" s="498"/>
      <c r="BH212" s="498"/>
      <c r="BI212" s="498"/>
      <c r="BJ212" s="498"/>
      <c r="BK212" s="498"/>
      <c r="BL212" s="498"/>
      <c r="BM212" s="498"/>
      <c r="BN212" s="498"/>
      <c r="BO212" s="498"/>
      <c r="BP212" s="498"/>
      <c r="BQ212" s="498"/>
      <c r="BR212" s="498"/>
      <c r="BS212" s="498"/>
      <c r="BT212" s="498"/>
      <c r="BU212" s="19"/>
      <c r="BV212" s="19"/>
      <c r="BW212" s="19"/>
      <c r="BX212" s="19"/>
      <c r="BY212" s="19"/>
      <c r="BZ212" s="19"/>
      <c r="CA212" s="19"/>
      <c r="CB212" s="27"/>
      <c r="CC212" s="27"/>
    </row>
    <row r="213" spans="53:81" ht="27" hidden="1">
      <c r="BA213" s="498"/>
      <c r="BB213" s="498"/>
      <c r="BC213" s="514"/>
      <c r="BD213" s="959" t="s">
        <v>3058</v>
      </c>
      <c r="BE213" s="959" t="s">
        <v>3058</v>
      </c>
      <c r="BF213" s="975">
        <v>670</v>
      </c>
      <c r="BG213" s="498"/>
      <c r="BH213" s="498"/>
      <c r="BI213" s="498"/>
      <c r="BJ213" s="498"/>
      <c r="BK213" s="498"/>
      <c r="BL213" s="498"/>
      <c r="BM213" s="498"/>
      <c r="BN213" s="498"/>
      <c r="BO213" s="498"/>
      <c r="BP213" s="498"/>
      <c r="BQ213" s="498"/>
      <c r="BR213" s="498"/>
      <c r="BS213" s="498"/>
      <c r="BT213" s="498"/>
      <c r="BU213" s="19"/>
      <c r="BV213" s="19"/>
      <c r="BW213" s="19"/>
      <c r="BX213" s="19"/>
      <c r="BY213" s="19"/>
      <c r="BZ213" s="19"/>
      <c r="CA213" s="19"/>
      <c r="CB213" s="27"/>
      <c r="CC213" s="27"/>
    </row>
    <row r="214" spans="53:81" ht="27" hidden="1">
      <c r="BA214" s="498"/>
      <c r="BB214" s="498"/>
      <c r="BC214" s="514"/>
      <c r="BD214" s="959" t="s">
        <v>3078</v>
      </c>
      <c r="BE214" s="959" t="s">
        <v>3078</v>
      </c>
      <c r="BF214" s="810">
        <v>930</v>
      </c>
      <c r="BG214" s="498"/>
      <c r="BH214" s="498"/>
      <c r="BI214" s="498"/>
      <c r="BJ214" s="498"/>
      <c r="BK214" s="498"/>
      <c r="BL214" s="498"/>
      <c r="BM214" s="498"/>
      <c r="BN214" s="498"/>
      <c r="BO214" s="498"/>
      <c r="BP214" s="498"/>
      <c r="BQ214" s="498"/>
      <c r="BR214" s="498"/>
      <c r="BS214" s="498"/>
      <c r="BT214" s="498"/>
      <c r="BU214" s="19"/>
      <c r="BV214" s="19"/>
      <c r="BW214" s="19"/>
      <c r="BX214" s="19"/>
      <c r="BY214" s="19"/>
      <c r="BZ214" s="19"/>
      <c r="CA214" s="19"/>
      <c r="CB214" s="27"/>
      <c r="CC214" s="27"/>
    </row>
    <row r="215" spans="53:81" ht="27" hidden="1">
      <c r="BA215" s="498"/>
      <c r="BB215" s="498"/>
      <c r="BC215" s="514"/>
      <c r="BD215" s="958" t="s">
        <v>3079</v>
      </c>
      <c r="BE215" s="958" t="s">
        <v>3079</v>
      </c>
      <c r="BF215" s="810">
        <v>820</v>
      </c>
      <c r="BG215" s="498"/>
      <c r="BH215" s="498"/>
      <c r="BI215" s="498"/>
      <c r="BJ215" s="498"/>
      <c r="BK215" s="498"/>
      <c r="BL215" s="498"/>
      <c r="BM215" s="498"/>
      <c r="BN215" s="498"/>
      <c r="BO215" s="498"/>
      <c r="BP215" s="498"/>
      <c r="BQ215" s="498"/>
      <c r="BR215" s="498"/>
      <c r="BS215" s="498"/>
      <c r="BT215" s="498"/>
      <c r="BU215" s="19"/>
      <c r="BV215" s="19"/>
      <c r="BW215" s="19"/>
      <c r="BX215" s="19"/>
      <c r="BY215" s="19"/>
      <c r="BZ215" s="19"/>
      <c r="CA215" s="19"/>
      <c r="CB215" s="27"/>
      <c r="CC215" s="27"/>
    </row>
    <row r="216" spans="53:81" ht="27" hidden="1">
      <c r="BA216" s="498"/>
      <c r="BB216" s="498"/>
      <c r="BC216" s="514"/>
      <c r="BD216" s="958" t="s">
        <v>3062</v>
      </c>
      <c r="BE216" s="958" t="s">
        <v>3062</v>
      </c>
      <c r="BF216" s="810">
        <v>710</v>
      </c>
      <c r="BG216" s="498"/>
      <c r="BH216" s="498"/>
      <c r="BI216" s="498"/>
      <c r="BJ216" s="498"/>
      <c r="BK216" s="498"/>
      <c r="BL216" s="498"/>
      <c r="BM216" s="498"/>
      <c r="BN216" s="498"/>
      <c r="BO216" s="498"/>
      <c r="BP216" s="498"/>
      <c r="BQ216" s="498"/>
      <c r="BR216" s="498"/>
      <c r="BS216" s="498"/>
      <c r="BT216" s="498"/>
      <c r="BU216" s="19"/>
      <c r="BV216" s="19"/>
      <c r="BW216" s="19"/>
      <c r="BX216" s="19"/>
      <c r="BY216" s="19"/>
      <c r="BZ216" s="19"/>
      <c r="CA216" s="19"/>
      <c r="CB216" s="27"/>
      <c r="CC216" s="27"/>
    </row>
    <row r="217" spans="53:81" ht="14.25">
      <c r="BA217" s="498"/>
      <c r="BB217" s="498"/>
      <c r="BC217" s="514"/>
      <c r="BD217" s="958" t="s">
        <v>3063</v>
      </c>
      <c r="BE217" s="958" t="s">
        <v>3063</v>
      </c>
      <c r="BF217" s="810">
        <v>440</v>
      </c>
      <c r="BG217" s="498"/>
      <c r="BH217" s="498"/>
      <c r="BI217" s="498"/>
      <c r="BJ217" s="498"/>
      <c r="BK217" s="498"/>
      <c r="BL217" s="498"/>
      <c r="BM217" s="498"/>
      <c r="BN217" s="498"/>
      <c r="BO217" s="498"/>
      <c r="BP217" s="498"/>
      <c r="BQ217" s="498"/>
      <c r="BR217" s="498"/>
      <c r="BS217" s="498"/>
      <c r="BT217" s="498"/>
      <c r="BU217" s="19"/>
      <c r="BV217" s="19"/>
      <c r="BW217" s="19"/>
      <c r="BX217" s="19"/>
      <c r="BY217" s="19"/>
      <c r="BZ217" s="19"/>
      <c r="CA217" s="19"/>
      <c r="CB217" s="27"/>
      <c r="CC217" s="27"/>
    </row>
    <row r="218" spans="53:81" ht="14.25">
      <c r="BA218" s="33"/>
      <c r="BB218" s="33"/>
      <c r="BC218" s="11"/>
      <c r="BD218" s="505"/>
      <c r="BE218" s="505"/>
      <c r="BF218" s="511"/>
      <c r="BG218" s="33"/>
      <c r="BH218" s="33"/>
      <c r="BI218" s="33"/>
      <c r="BJ218" s="33"/>
      <c r="BK218" s="33"/>
      <c r="BL218" s="33"/>
      <c r="BM218" s="33"/>
      <c r="BN218" s="33"/>
      <c r="BO218" s="33"/>
      <c r="BP218" s="33"/>
      <c r="BQ218" s="33"/>
      <c r="BR218" s="33"/>
      <c r="BS218" s="33"/>
      <c r="BT218" s="33"/>
      <c r="BU218" s="27"/>
      <c r="BV218" s="27"/>
      <c r="BW218" s="27"/>
      <c r="BX218" s="27"/>
      <c r="BY218" s="27"/>
      <c r="BZ218" s="27"/>
      <c r="CA218" s="27"/>
      <c r="CB218" s="27"/>
      <c r="CC218" s="27"/>
    </row>
    <row r="219" spans="53:81" ht="14.25">
      <c r="BA219" s="33"/>
      <c r="BB219" s="33"/>
      <c r="BC219" s="11"/>
      <c r="BD219" s="6"/>
      <c r="BE219" s="33"/>
      <c r="BF219" s="33"/>
      <c r="BG219" s="33"/>
      <c r="BH219" s="33"/>
      <c r="BI219" s="33"/>
      <c r="BJ219" s="33"/>
      <c r="BK219" s="33"/>
      <c r="BL219" s="33"/>
      <c r="BM219" s="33"/>
      <c r="BN219" s="33"/>
      <c r="BO219" s="33"/>
      <c r="BP219" s="33"/>
      <c r="BQ219" s="33"/>
      <c r="BR219" s="33"/>
      <c r="BS219" s="33"/>
      <c r="BT219" s="33"/>
      <c r="BU219" s="27"/>
      <c r="BV219" s="27"/>
      <c r="BW219" s="27"/>
      <c r="BX219" s="27"/>
      <c r="BY219" s="27"/>
      <c r="BZ219" s="27"/>
      <c r="CA219" s="27"/>
      <c r="CB219" s="27"/>
      <c r="CC219" s="27"/>
    </row>
    <row r="220" spans="53:81" ht="14.25">
      <c r="BA220" s="33"/>
      <c r="BB220" s="33"/>
      <c r="BC220" s="11"/>
      <c r="BD220" s="516"/>
      <c r="BE220" s="33"/>
      <c r="BF220" s="33"/>
      <c r="BG220" s="33"/>
      <c r="BH220" s="33"/>
      <c r="BI220" s="33"/>
      <c r="BJ220" s="33"/>
      <c r="BK220" s="33"/>
      <c r="BL220" s="33"/>
      <c r="BM220" s="33"/>
      <c r="BN220" s="33"/>
      <c r="BO220" s="33"/>
      <c r="BP220" s="33"/>
      <c r="BQ220" s="33"/>
      <c r="BR220" s="33"/>
      <c r="BS220" s="33"/>
      <c r="BT220" s="33"/>
      <c r="BU220" s="27"/>
      <c r="BV220" s="27"/>
      <c r="BW220" s="27"/>
      <c r="BX220" s="27"/>
      <c r="BY220" s="27"/>
      <c r="BZ220" s="27"/>
      <c r="CA220" s="27"/>
      <c r="CB220" s="27"/>
      <c r="CC220" s="27"/>
    </row>
    <row r="221" spans="53:81" ht="14.25">
      <c r="BA221" s="33"/>
      <c r="BB221" s="33"/>
      <c r="BC221" s="7"/>
      <c r="BD221" s="33"/>
      <c r="BE221" s="33"/>
      <c r="BF221" s="33"/>
      <c r="BG221" s="33"/>
      <c r="BH221" s="33"/>
      <c r="BI221" s="33"/>
      <c r="BJ221" s="33"/>
      <c r="BK221" s="33"/>
      <c r="BL221" s="33"/>
      <c r="BM221" s="33"/>
      <c r="BN221" s="33"/>
      <c r="BO221" s="33"/>
      <c r="BP221" s="33"/>
      <c r="BQ221" s="33"/>
      <c r="BR221" s="33"/>
      <c r="BS221" s="33"/>
      <c r="BT221" s="33"/>
      <c r="BU221" s="27"/>
      <c r="BV221" s="27"/>
      <c r="BW221" s="27"/>
      <c r="BX221" s="27"/>
      <c r="BY221" s="27"/>
      <c r="BZ221" s="27"/>
      <c r="CA221" s="27"/>
      <c r="CB221" s="27"/>
      <c r="CC221" s="27"/>
    </row>
    <row r="222" spans="53:81" ht="14.25">
      <c r="BA222" s="33"/>
      <c r="BB222" s="33"/>
      <c r="BC222" s="11"/>
      <c r="BD222" s="33"/>
      <c r="BE222" s="33"/>
      <c r="BF222" s="33"/>
      <c r="BG222" s="33"/>
      <c r="BH222" s="33"/>
      <c r="BI222" s="33"/>
      <c r="BJ222" s="33"/>
      <c r="BK222" s="33"/>
      <c r="BL222" s="33"/>
      <c r="BM222" s="33"/>
      <c r="BN222" s="33"/>
      <c r="BO222" s="33"/>
      <c r="BP222" s="33"/>
      <c r="BQ222" s="33"/>
      <c r="BR222" s="33"/>
      <c r="BS222" s="33"/>
      <c r="BT222" s="33"/>
      <c r="BU222" s="27"/>
      <c r="BV222" s="27"/>
      <c r="BW222" s="27"/>
      <c r="BX222" s="27"/>
      <c r="BY222" s="27"/>
      <c r="BZ222" s="27"/>
      <c r="CA222" s="27"/>
      <c r="CB222" s="27"/>
      <c r="CC222" s="27"/>
    </row>
    <row r="223" spans="53:81" ht="14.25">
      <c r="BA223" s="33"/>
      <c r="BB223" s="33"/>
      <c r="BC223" s="11"/>
      <c r="BD223" s="33"/>
      <c r="BE223" s="33"/>
      <c r="BF223" s="33"/>
      <c r="BG223" s="33"/>
      <c r="BH223" s="33"/>
      <c r="BI223" s="33"/>
      <c r="BJ223" s="33"/>
      <c r="BK223" s="33"/>
      <c r="BL223" s="33"/>
      <c r="BM223" s="33"/>
      <c r="BN223" s="33"/>
      <c r="BO223" s="33"/>
      <c r="BP223" s="33"/>
      <c r="BQ223" s="33"/>
      <c r="BR223" s="33"/>
      <c r="BS223" s="33"/>
      <c r="BT223" s="33"/>
      <c r="BU223" s="27"/>
      <c r="BV223" s="27"/>
      <c r="BW223" s="27"/>
      <c r="BX223" s="27"/>
      <c r="BY223" s="27"/>
      <c r="BZ223" s="27"/>
      <c r="CA223" s="27"/>
      <c r="CB223" s="27"/>
      <c r="CC223" s="27"/>
    </row>
    <row r="224" spans="53:81" ht="14.25">
      <c r="BA224" s="33"/>
      <c r="BB224" s="33"/>
      <c r="BC224" s="11"/>
      <c r="BD224" s="33"/>
      <c r="BE224" s="33"/>
      <c r="BF224" s="33"/>
      <c r="BG224" s="33"/>
      <c r="BH224" s="33"/>
      <c r="BI224" s="33"/>
      <c r="BJ224" s="33"/>
      <c r="BK224" s="33"/>
      <c r="BL224" s="33"/>
      <c r="BM224" s="33"/>
      <c r="BN224" s="33"/>
      <c r="BO224" s="33"/>
      <c r="BP224" s="33"/>
      <c r="BQ224" s="33"/>
      <c r="BR224" s="33"/>
      <c r="BS224" s="33"/>
      <c r="BT224" s="33"/>
      <c r="BU224" s="27"/>
      <c r="BV224" s="27"/>
      <c r="BW224" s="27"/>
      <c r="BX224" s="27"/>
      <c r="BY224" s="27"/>
      <c r="BZ224" s="27"/>
      <c r="CA224" s="27"/>
      <c r="CB224" s="27"/>
      <c r="CC224" s="27"/>
    </row>
    <row r="225" spans="53:72" ht="14.25">
      <c r="BA225" s="33"/>
      <c r="BB225" s="33"/>
      <c r="BC225" s="11"/>
      <c r="BD225" s="33"/>
      <c r="BE225" s="33"/>
      <c r="BF225" s="33"/>
      <c r="BG225" s="33"/>
      <c r="BH225" s="33"/>
      <c r="BI225" s="33"/>
      <c r="BJ225" s="33"/>
      <c r="BK225" s="33"/>
      <c r="BL225" s="33"/>
      <c r="BM225" s="33"/>
      <c r="BN225" s="33"/>
      <c r="BO225" s="33"/>
      <c r="BP225" s="33"/>
      <c r="BQ225" s="33"/>
      <c r="BR225" s="33"/>
      <c r="BS225" s="33"/>
      <c r="BT225" s="33"/>
    </row>
    <row r="226" spans="53:72" ht="14.25">
      <c r="BA226" s="33"/>
      <c r="BB226" s="33"/>
      <c r="BC226" s="11"/>
      <c r="BD226" s="33"/>
      <c r="BE226" s="33"/>
      <c r="BF226" s="33"/>
      <c r="BG226" s="33"/>
      <c r="BH226" s="33"/>
      <c r="BI226" s="33"/>
      <c r="BJ226" s="33"/>
      <c r="BK226" s="33"/>
      <c r="BL226" s="33"/>
      <c r="BM226" s="33"/>
      <c r="BN226" s="33"/>
      <c r="BO226" s="33"/>
      <c r="BP226" s="33"/>
      <c r="BQ226" s="33"/>
      <c r="BR226" s="33"/>
      <c r="BS226" s="33"/>
      <c r="BT226" s="33"/>
    </row>
    <row r="227" spans="53:72">
      <c r="BA227" s="33"/>
      <c r="BB227" s="33"/>
      <c r="BC227" s="33"/>
      <c r="BD227" s="33"/>
      <c r="BE227" s="33"/>
      <c r="BF227" s="33"/>
      <c r="BG227" s="33"/>
      <c r="BH227" s="33"/>
      <c r="BI227" s="33"/>
      <c r="BJ227" s="33"/>
      <c r="BK227" s="33"/>
      <c r="BL227" s="33"/>
      <c r="BM227" s="33"/>
      <c r="BN227" s="33"/>
      <c r="BO227" s="33"/>
      <c r="BP227" s="33"/>
      <c r="BQ227" s="33"/>
      <c r="BR227" s="33"/>
      <c r="BS227" s="33"/>
      <c r="BT227" s="33"/>
    </row>
    <row r="228" spans="53:72">
      <c r="BA228" s="33"/>
      <c r="BB228" s="33"/>
      <c r="BC228" s="33"/>
      <c r="BD228" s="33"/>
      <c r="BE228" s="33"/>
      <c r="BF228" s="33"/>
      <c r="BG228" s="33"/>
      <c r="BH228" s="33"/>
      <c r="BI228" s="33"/>
      <c r="BJ228" s="33"/>
      <c r="BK228" s="33"/>
      <c r="BL228" s="33"/>
      <c r="BM228" s="33"/>
      <c r="BN228" s="33"/>
      <c r="BO228" s="33"/>
      <c r="BP228" s="33"/>
      <c r="BQ228" s="33"/>
      <c r="BR228" s="33"/>
      <c r="BS228" s="33"/>
      <c r="BT228" s="33"/>
    </row>
  </sheetData>
  <sheetProtection algorithmName="SHA-512" hashValue="tsFdbw9Ew+ZZD+8IgmNjOPq8L6gE5CTk+PwMTjlaL02Q8scMcwonnyFzmsuvJyoZVUKBiEP2plcAgq+zzTv14A==" saltValue="yBW7DHOwZS4OMKsBAhlhoA==" spinCount="100000" sheet="1" selectLockedCells="1"/>
  <dataConsolidate/>
  <mergeCells count="493">
    <mergeCell ref="AR23:AT24"/>
    <mergeCell ref="AL23:AP24"/>
    <mergeCell ref="AA22:AZ22"/>
    <mergeCell ref="C39:E39"/>
    <mergeCell ref="AP35:AQ35"/>
    <mergeCell ref="AF38:AG38"/>
    <mergeCell ref="U35:Z35"/>
    <mergeCell ref="AH38:AK38"/>
    <mergeCell ref="AC38:AE38"/>
    <mergeCell ref="C30:E30"/>
    <mergeCell ref="C37:E37"/>
    <mergeCell ref="C38:E38"/>
    <mergeCell ref="C31:E31"/>
    <mergeCell ref="P35:Q35"/>
    <mergeCell ref="C36:E36"/>
    <mergeCell ref="H39:M39"/>
    <mergeCell ref="C34:E34"/>
    <mergeCell ref="C35:E35"/>
    <mergeCell ref="H38:M38"/>
    <mergeCell ref="F37:G37"/>
    <mergeCell ref="H36:M36"/>
    <mergeCell ref="H34:M34"/>
    <mergeCell ref="F38:G38"/>
    <mergeCell ref="H23:K24"/>
    <mergeCell ref="R23:T24"/>
    <mergeCell ref="AH23:AK24"/>
    <mergeCell ref="F34:G34"/>
    <mergeCell ref="F35:G35"/>
    <mergeCell ref="F39:G39"/>
    <mergeCell ref="H37:M37"/>
    <mergeCell ref="F36:G36"/>
    <mergeCell ref="H35:M35"/>
    <mergeCell ref="AC26:AE28"/>
    <mergeCell ref="F30:G30"/>
    <mergeCell ref="N35:O35"/>
    <mergeCell ref="H32:M32"/>
    <mergeCell ref="H33:M33"/>
    <mergeCell ref="AA26:AB28"/>
    <mergeCell ref="R35:S35"/>
    <mergeCell ref="N36:O36"/>
    <mergeCell ref="P36:Q36"/>
    <mergeCell ref="R36:S36"/>
    <mergeCell ref="AF26:AG28"/>
    <mergeCell ref="AH26:AK28"/>
    <mergeCell ref="L23:P24"/>
    <mergeCell ref="U23:Y24"/>
    <mergeCell ref="C33:E33"/>
    <mergeCell ref="F33:G33"/>
    <mergeCell ref="C29:E29"/>
    <mergeCell ref="C26:E28"/>
    <mergeCell ref="H29:M29"/>
    <mergeCell ref="F29:G29"/>
    <mergeCell ref="R27:S28"/>
    <mergeCell ref="F26:G28"/>
    <mergeCell ref="N27:O28"/>
    <mergeCell ref="P27:Q28"/>
    <mergeCell ref="N26:S26"/>
    <mergeCell ref="H26:M28"/>
    <mergeCell ref="C32:E32"/>
    <mergeCell ref="F32:G32"/>
    <mergeCell ref="F31:G31"/>
    <mergeCell ref="H30:M30"/>
    <mergeCell ref="H31:M31"/>
    <mergeCell ref="A1:Z1"/>
    <mergeCell ref="AA1:AZ1"/>
    <mergeCell ref="A3:V3"/>
    <mergeCell ref="AA3:AV3"/>
    <mergeCell ref="V4:V5"/>
    <mergeCell ref="AY4:AY5"/>
    <mergeCell ref="AZ4:AZ5"/>
    <mergeCell ref="AV4:AV5"/>
    <mergeCell ref="AW4:AX5"/>
    <mergeCell ref="Y4:Y5"/>
    <mergeCell ref="Z4:Z5"/>
    <mergeCell ref="W4:W5"/>
    <mergeCell ref="X4:X5"/>
    <mergeCell ref="A11:Z12"/>
    <mergeCell ref="AA11:AZ12"/>
    <mergeCell ref="AA21:AZ21"/>
    <mergeCell ref="AA18:AZ18"/>
    <mergeCell ref="AR15:AZ16"/>
    <mergeCell ref="O15:P15"/>
    <mergeCell ref="A19:Z19"/>
    <mergeCell ref="AA19:AZ19"/>
    <mergeCell ref="AA10:AZ10"/>
    <mergeCell ref="A21:Z21"/>
    <mergeCell ref="A14:Z14"/>
    <mergeCell ref="AA14:AZ14"/>
    <mergeCell ref="A15:M16"/>
    <mergeCell ref="N15:N16"/>
    <mergeCell ref="AA15:AM16"/>
    <mergeCell ref="AO15:AP15"/>
    <mergeCell ref="AQ15:AQ16"/>
    <mergeCell ref="AO16:AP16"/>
    <mergeCell ref="O16:P16"/>
    <mergeCell ref="Q15:Q16"/>
    <mergeCell ref="R15:Z16"/>
    <mergeCell ref="A18:Z18"/>
    <mergeCell ref="AO7:AO8"/>
    <mergeCell ref="AP7:AP8"/>
    <mergeCell ref="AQ7:AQ8"/>
    <mergeCell ref="AR7:AR8"/>
    <mergeCell ref="AF7:AF8"/>
    <mergeCell ref="W8:X8"/>
    <mergeCell ref="AS7:AS8"/>
    <mergeCell ref="AT7:AT8"/>
    <mergeCell ref="AI7:AI8"/>
    <mergeCell ref="AJ7:AJ8"/>
    <mergeCell ref="AK7:AK8"/>
    <mergeCell ref="AL7:AL8"/>
    <mergeCell ref="A9:Z9"/>
    <mergeCell ref="AA9:AZ9"/>
    <mergeCell ref="A6:C6"/>
    <mergeCell ref="D6:T6"/>
    <mergeCell ref="AA6:AC6"/>
    <mergeCell ref="A7:C8"/>
    <mergeCell ref="AW8:AX8"/>
    <mergeCell ref="J7:J8"/>
    <mergeCell ref="AE7:AE8"/>
    <mergeCell ref="AH7:AH8"/>
    <mergeCell ref="AG7:AG8"/>
    <mergeCell ref="AA7:AC8"/>
    <mergeCell ref="R7:R8"/>
    <mergeCell ref="K7:K8"/>
    <mergeCell ref="E7:E8"/>
    <mergeCell ref="L7:L8"/>
    <mergeCell ref="N7:N8"/>
    <mergeCell ref="O7:O8"/>
    <mergeCell ref="P7:P8"/>
    <mergeCell ref="H7:H8"/>
    <mergeCell ref="M7:M8"/>
    <mergeCell ref="F7:F8"/>
    <mergeCell ref="G7:G8"/>
    <mergeCell ref="D7:D8"/>
    <mergeCell ref="I7:I8"/>
    <mergeCell ref="AD6:AT6"/>
    <mergeCell ref="A10:Z10"/>
    <mergeCell ref="Q7:Q8"/>
    <mergeCell ref="S7:S8"/>
    <mergeCell ref="T7:T8"/>
    <mergeCell ref="AR26:AR28"/>
    <mergeCell ref="AL26:AQ26"/>
    <mergeCell ref="AS26:AZ28"/>
    <mergeCell ref="A25:Z25"/>
    <mergeCell ref="AA25:AZ25"/>
    <mergeCell ref="A20:Z20"/>
    <mergeCell ref="AA20:AZ20"/>
    <mergeCell ref="A22:Z22"/>
    <mergeCell ref="AL27:AM28"/>
    <mergeCell ref="AN27:AO28"/>
    <mergeCell ref="AP27:AQ28"/>
    <mergeCell ref="A26:B28"/>
    <mergeCell ref="T26:T28"/>
    <mergeCell ref="U26:Z28"/>
    <mergeCell ref="AN15:AN16"/>
    <mergeCell ref="AM7:AM8"/>
    <mergeCell ref="AN7:AN8"/>
    <mergeCell ref="AD7:AD8"/>
    <mergeCell ref="BM29:BN29"/>
    <mergeCell ref="BP29:BQ29"/>
    <mergeCell ref="N30:O30"/>
    <mergeCell ref="P30:Q30"/>
    <mergeCell ref="R30:S30"/>
    <mergeCell ref="AL29:AM29"/>
    <mergeCell ref="AN29:AO29"/>
    <mergeCell ref="AP29:AQ29"/>
    <mergeCell ref="N29:O29"/>
    <mergeCell ref="P29:Q29"/>
    <mergeCell ref="R29:S29"/>
    <mergeCell ref="U29:Z29"/>
    <mergeCell ref="AC29:AE29"/>
    <mergeCell ref="AF29:AG29"/>
    <mergeCell ref="AH29:AK29"/>
    <mergeCell ref="BM30:BN30"/>
    <mergeCell ref="BP30:BQ30"/>
    <mergeCell ref="U30:Z30"/>
    <mergeCell ref="AL30:AM30"/>
    <mergeCell ref="AN30:AO30"/>
    <mergeCell ref="AP30:AQ30"/>
    <mergeCell ref="AC30:AE30"/>
    <mergeCell ref="AH30:AK30"/>
    <mergeCell ref="AF30:AG30"/>
    <mergeCell ref="BM31:BN31"/>
    <mergeCell ref="BP31:BQ31"/>
    <mergeCell ref="N32:O32"/>
    <mergeCell ref="P32:Q32"/>
    <mergeCell ref="R32:S32"/>
    <mergeCell ref="AL31:AM31"/>
    <mergeCell ref="AN31:AO31"/>
    <mergeCell ref="AP31:AQ31"/>
    <mergeCell ref="N31:O31"/>
    <mergeCell ref="P31:Q31"/>
    <mergeCell ref="R31:S31"/>
    <mergeCell ref="U31:Z31"/>
    <mergeCell ref="AH31:AK31"/>
    <mergeCell ref="AF31:AG31"/>
    <mergeCell ref="AF32:AG32"/>
    <mergeCell ref="BM32:BN32"/>
    <mergeCell ref="BP32:BQ32"/>
    <mergeCell ref="U32:Z32"/>
    <mergeCell ref="AC31:AE31"/>
    <mergeCell ref="AL32:AM32"/>
    <mergeCell ref="AN32:AO32"/>
    <mergeCell ref="AP32:AQ32"/>
    <mergeCell ref="AC32:AE32"/>
    <mergeCell ref="AH32:AK32"/>
    <mergeCell ref="BM33:BN33"/>
    <mergeCell ref="BP33:BQ33"/>
    <mergeCell ref="N34:O34"/>
    <mergeCell ref="P34:Q34"/>
    <mergeCell ref="R34:S34"/>
    <mergeCell ref="AL33:AM33"/>
    <mergeCell ref="AN33:AO33"/>
    <mergeCell ref="AP33:AQ33"/>
    <mergeCell ref="BM34:BN34"/>
    <mergeCell ref="N33:O33"/>
    <mergeCell ref="P33:Q33"/>
    <mergeCell ref="R33:S33"/>
    <mergeCell ref="U33:Z33"/>
    <mergeCell ref="AC33:AE33"/>
    <mergeCell ref="AH33:AK33"/>
    <mergeCell ref="AF33:AG33"/>
    <mergeCell ref="BM36:BN36"/>
    <mergeCell ref="AF35:AG35"/>
    <mergeCell ref="AF36:AG36"/>
    <mergeCell ref="BP34:BQ34"/>
    <mergeCell ref="U34:Z34"/>
    <mergeCell ref="AL34:AM34"/>
    <mergeCell ref="AN34:AO34"/>
    <mergeCell ref="AP34:AQ34"/>
    <mergeCell ref="AC34:AE34"/>
    <mergeCell ref="AH34:AK34"/>
    <mergeCell ref="AF34:AG34"/>
    <mergeCell ref="BP36:BQ36"/>
    <mergeCell ref="U36:Z36"/>
    <mergeCell ref="AL36:AM36"/>
    <mergeCell ref="AN36:AO36"/>
    <mergeCell ref="AP36:AQ36"/>
    <mergeCell ref="AC36:AE36"/>
    <mergeCell ref="AH36:AK36"/>
    <mergeCell ref="BM35:BN35"/>
    <mergeCell ref="BP35:BQ35"/>
    <mergeCell ref="AH35:AK35"/>
    <mergeCell ref="AC35:AE35"/>
    <mergeCell ref="AL35:AM35"/>
    <mergeCell ref="AN35:AO35"/>
    <mergeCell ref="BM37:BN37"/>
    <mergeCell ref="BP37:BQ37"/>
    <mergeCell ref="N38:O38"/>
    <mergeCell ref="P38:Q38"/>
    <mergeCell ref="R38:S38"/>
    <mergeCell ref="AL37:AM37"/>
    <mergeCell ref="AN37:AO37"/>
    <mergeCell ref="AP37:AQ37"/>
    <mergeCell ref="BM38:BN38"/>
    <mergeCell ref="N37:O37"/>
    <mergeCell ref="P37:Q37"/>
    <mergeCell ref="R37:S37"/>
    <mergeCell ref="U37:Z37"/>
    <mergeCell ref="AC37:AE37"/>
    <mergeCell ref="AH37:AK37"/>
    <mergeCell ref="BP38:BQ38"/>
    <mergeCell ref="U38:Z38"/>
    <mergeCell ref="AL38:AM38"/>
    <mergeCell ref="AN38:AO38"/>
    <mergeCell ref="AP38:AQ38"/>
    <mergeCell ref="AS38:AZ38"/>
    <mergeCell ref="AF37:AG37"/>
    <mergeCell ref="BM39:BN39"/>
    <mergeCell ref="BP39:BQ39"/>
    <mergeCell ref="AL39:AM39"/>
    <mergeCell ref="AN39:AO39"/>
    <mergeCell ref="AP39:AQ39"/>
    <mergeCell ref="N39:O39"/>
    <mergeCell ref="P39:Q39"/>
    <mergeCell ref="R39:S39"/>
    <mergeCell ref="U39:Z39"/>
    <mergeCell ref="AC39:AE39"/>
    <mergeCell ref="AF39:AG39"/>
    <mergeCell ref="AH39:AK39"/>
    <mergeCell ref="AS39:AZ39"/>
    <mergeCell ref="AF122:AJ122"/>
    <mergeCell ref="U40:Z40"/>
    <mergeCell ref="C40:E40"/>
    <mergeCell ref="A42:Z42"/>
    <mergeCell ref="A46:A47"/>
    <mergeCell ref="B46:B47"/>
    <mergeCell ref="A44:A45"/>
    <mergeCell ref="B44:B45"/>
    <mergeCell ref="A43:B43"/>
    <mergeCell ref="C43:G43"/>
    <mergeCell ref="C44:G45"/>
    <mergeCell ref="C46:G47"/>
    <mergeCell ref="H43:J43"/>
    <mergeCell ref="K43:M43"/>
    <mergeCell ref="J44:J45"/>
    <mergeCell ref="N43:P43"/>
    <mergeCell ref="Q43:S43"/>
    <mergeCell ref="T43:V43"/>
    <mergeCell ref="H44:H45"/>
    <mergeCell ref="I44:I45"/>
    <mergeCell ref="K44:K45"/>
    <mergeCell ref="L44:L45"/>
    <mergeCell ref="M44:M45"/>
    <mergeCell ref="N44:N45"/>
    <mergeCell ref="AF140:AJ140"/>
    <mergeCell ref="AF129:AJ129"/>
    <mergeCell ref="AF130:AJ130"/>
    <mergeCell ref="AF131:AJ131"/>
    <mergeCell ref="AF132:AJ132"/>
    <mergeCell ref="AF133:AJ133"/>
    <mergeCell ref="AF134:AJ134"/>
    <mergeCell ref="AF123:AJ123"/>
    <mergeCell ref="AF124:AJ124"/>
    <mergeCell ref="AF125:AJ125"/>
    <mergeCell ref="AF126:AJ126"/>
    <mergeCell ref="AF127:AJ127"/>
    <mergeCell ref="AF128:AJ128"/>
    <mergeCell ref="AF136:AJ136"/>
    <mergeCell ref="AF137:AJ137"/>
    <mergeCell ref="AF138:AJ138"/>
    <mergeCell ref="AF139:AJ139"/>
    <mergeCell ref="AF200:AJ200"/>
    <mergeCell ref="AF191:AJ191"/>
    <mergeCell ref="AF192:AJ192"/>
    <mergeCell ref="AF193:AJ193"/>
    <mergeCell ref="AF194:AJ194"/>
    <mergeCell ref="AF196:AJ196"/>
    <mergeCell ref="AF181:AJ181"/>
    <mergeCell ref="AF182:AJ182"/>
    <mergeCell ref="AF171:AJ171"/>
    <mergeCell ref="AF172:AJ172"/>
    <mergeCell ref="AF173:AJ173"/>
    <mergeCell ref="AF174:AJ174"/>
    <mergeCell ref="AF175:AJ175"/>
    <mergeCell ref="AF176:AJ176"/>
    <mergeCell ref="AF198:AJ198"/>
    <mergeCell ref="AF183:AJ183"/>
    <mergeCell ref="AF184:AJ184"/>
    <mergeCell ref="AF185:AJ185"/>
    <mergeCell ref="AF186:AJ186"/>
    <mergeCell ref="AF187:AJ187"/>
    <mergeCell ref="AF188:AJ188"/>
    <mergeCell ref="AF195:AJ195"/>
    <mergeCell ref="AF199:AJ199"/>
    <mergeCell ref="AF189:AJ189"/>
    <mergeCell ref="AF190:AJ190"/>
    <mergeCell ref="AF197:AJ197"/>
    <mergeCell ref="AF165:AJ165"/>
    <mergeCell ref="AF166:AJ166"/>
    <mergeCell ref="AF167:AJ167"/>
    <mergeCell ref="AF168:AJ168"/>
    <mergeCell ref="AF169:AJ169"/>
    <mergeCell ref="AF170:AJ170"/>
    <mergeCell ref="AF159:AJ159"/>
    <mergeCell ref="AF160:AJ160"/>
    <mergeCell ref="AF161:AJ161"/>
    <mergeCell ref="AF162:AJ162"/>
    <mergeCell ref="AF163:AJ163"/>
    <mergeCell ref="AF164:AJ164"/>
    <mergeCell ref="AF177:AJ177"/>
    <mergeCell ref="AF178:AJ178"/>
    <mergeCell ref="AF179:AJ179"/>
    <mergeCell ref="AF180:AJ180"/>
    <mergeCell ref="AF153:AJ153"/>
    <mergeCell ref="AF154:AJ154"/>
    <mergeCell ref="AF155:AJ155"/>
    <mergeCell ref="AF156:AJ156"/>
    <mergeCell ref="AF157:AJ157"/>
    <mergeCell ref="AF158:AJ158"/>
    <mergeCell ref="AF147:AJ147"/>
    <mergeCell ref="AF148:AJ148"/>
    <mergeCell ref="AS33:AZ33"/>
    <mergeCell ref="AS34:AZ34"/>
    <mergeCell ref="AS35:AZ35"/>
    <mergeCell ref="AS36:AZ36"/>
    <mergeCell ref="AS37:AZ37"/>
    <mergeCell ref="AF149:AJ149"/>
    <mergeCell ref="AF150:AJ150"/>
    <mergeCell ref="AF151:AJ151"/>
    <mergeCell ref="AF152:AJ152"/>
    <mergeCell ref="AF141:AJ141"/>
    <mergeCell ref="AF142:AJ142"/>
    <mergeCell ref="AF143:AJ143"/>
    <mergeCell ref="AF144:AJ144"/>
    <mergeCell ref="AF145:AJ145"/>
    <mergeCell ref="AF146:AJ146"/>
    <mergeCell ref="AF135:AJ135"/>
    <mergeCell ref="BP40:BQ40"/>
    <mergeCell ref="BM40:BN40"/>
    <mergeCell ref="AF40:AG40"/>
    <mergeCell ref="AH40:AK40"/>
    <mergeCell ref="AC40:AE40"/>
    <mergeCell ref="AP40:AQ40"/>
    <mergeCell ref="AN40:AO40"/>
    <mergeCell ref="AL40:AM40"/>
    <mergeCell ref="F40:G40"/>
    <mergeCell ref="H40:M40"/>
    <mergeCell ref="R40:S40"/>
    <mergeCell ref="P40:Q40"/>
    <mergeCell ref="N40:O40"/>
    <mergeCell ref="AS40:AZ40"/>
    <mergeCell ref="O44:O45"/>
    <mergeCell ref="P44:P45"/>
    <mergeCell ref="Q44:Q45"/>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AL44:AL45"/>
    <mergeCell ref="AM44:AM45"/>
    <mergeCell ref="AN44:AN45"/>
    <mergeCell ref="R44:R45"/>
    <mergeCell ref="S44:S45"/>
    <mergeCell ref="T44:T45"/>
    <mergeCell ref="U44:U45"/>
    <mergeCell ref="W46:W47"/>
    <mergeCell ref="X46:X47"/>
    <mergeCell ref="Z46:Z47"/>
    <mergeCell ref="Y44:Y45"/>
    <mergeCell ref="Y46:Y47"/>
    <mergeCell ref="V44:V45"/>
    <mergeCell ref="C48:Z48"/>
    <mergeCell ref="AA42:AZ42"/>
    <mergeCell ref="AA43:AB43"/>
    <mergeCell ref="AC43:AG43"/>
    <mergeCell ref="AH43:AJ43"/>
    <mergeCell ref="AK43:AM43"/>
    <mergeCell ref="AN43:AP43"/>
    <mergeCell ref="AQ43:AS43"/>
    <mergeCell ref="AT43:AV43"/>
    <mergeCell ref="AW43:AZ43"/>
    <mergeCell ref="AA44:AA45"/>
    <mergeCell ref="AB44:AB45"/>
    <mergeCell ref="AC44:AG45"/>
    <mergeCell ref="AH44:AH45"/>
    <mergeCell ref="AI44:AI45"/>
    <mergeCell ref="AJ44:AJ45"/>
    <mergeCell ref="AK44:AK45"/>
    <mergeCell ref="AA46:AA47"/>
    <mergeCell ref="AB46:AB47"/>
    <mergeCell ref="AC46:AG47"/>
    <mergeCell ref="AH46:AH47"/>
    <mergeCell ref="AI46:AI47"/>
    <mergeCell ref="AO44:AO45"/>
    <mergeCell ref="AP44:AP45"/>
    <mergeCell ref="AZ46:AZ47"/>
    <mergeCell ref="AS44:AS45"/>
    <mergeCell ref="AT44:AT45"/>
    <mergeCell ref="AU44:AU45"/>
    <mergeCell ref="AV44:AV45"/>
    <mergeCell ref="AW44:AW45"/>
    <mergeCell ref="AX44:AX45"/>
    <mergeCell ref="AY44:AY45"/>
    <mergeCell ref="AZ44:AZ45"/>
    <mergeCell ref="AS46:AS47"/>
    <mergeCell ref="AT46:AT47"/>
    <mergeCell ref="AU46:AU47"/>
    <mergeCell ref="AU23:AY24"/>
    <mergeCell ref="AQ44:AQ45"/>
    <mergeCell ref="AR44:AR45"/>
    <mergeCell ref="W43:Z43"/>
    <mergeCell ref="W44:W45"/>
    <mergeCell ref="X44:X45"/>
    <mergeCell ref="Z44:Z45"/>
    <mergeCell ref="AN46:AN47"/>
    <mergeCell ref="AO46:AO47"/>
    <mergeCell ref="AP46:AP47"/>
    <mergeCell ref="AQ46:AQ47"/>
    <mergeCell ref="AR46:AR47"/>
    <mergeCell ref="AJ46:AJ47"/>
    <mergeCell ref="AK46:AK47"/>
    <mergeCell ref="AL46:AL47"/>
    <mergeCell ref="AM46:AM47"/>
    <mergeCell ref="AV46:AV47"/>
    <mergeCell ref="AW46:AW47"/>
    <mergeCell ref="AX46:AX47"/>
    <mergeCell ref="AY46:AY47"/>
    <mergeCell ref="AS29:AZ29"/>
    <mergeCell ref="AS30:AZ30"/>
    <mergeCell ref="AS31:AZ31"/>
    <mergeCell ref="AS32:AZ32"/>
  </mergeCells>
  <phoneticPr fontId="27"/>
  <conditionalFormatting sqref="A11">
    <cfRule type="expression" dxfId="150" priority="37">
      <formula>A52=TRUE</formula>
    </cfRule>
  </conditionalFormatting>
  <conditionalFormatting sqref="A29:A40">
    <cfRule type="containsBlanks" dxfId="149" priority="69">
      <formula>LEN(TRIM(A29))=0</formula>
    </cfRule>
  </conditionalFormatting>
  <conditionalFormatting sqref="A44">
    <cfRule type="containsBlanks" dxfId="148" priority="17">
      <formula>LEN(TRIM(A44))=0</formula>
    </cfRule>
  </conditionalFormatting>
  <conditionalFormatting sqref="A46">
    <cfRule type="containsBlanks" dxfId="147" priority="18">
      <formula>LEN(TRIM(A46))=0</formula>
    </cfRule>
  </conditionalFormatting>
  <conditionalFormatting sqref="A56:A66 AA56:AA66">
    <cfRule type="cellIs" dxfId="146" priority="66" stopIfTrue="1" operator="between">
      <formula>0</formula>
      <formula>0</formula>
    </cfRule>
  </conditionalFormatting>
  <conditionalFormatting sqref="B4">
    <cfRule type="expression" dxfId="145" priority="2">
      <formula>OR($A$2=TRUE)</formula>
    </cfRule>
  </conditionalFormatting>
  <conditionalFormatting sqref="C44:H47 J44:K47 M44:N47 P44:Q47 S44:T47">
    <cfRule type="cellIs" dxfId="144" priority="15" operator="equal">
      <formula>""</formula>
    </cfRule>
  </conditionalFormatting>
  <conditionalFormatting sqref="C29:Q40">
    <cfRule type="containsBlanks" dxfId="143" priority="67">
      <formula>LEN(TRIM(C29))=0</formula>
    </cfRule>
  </conditionalFormatting>
  <conditionalFormatting sqref="J4">
    <cfRule type="expression" dxfId="142" priority="30">
      <formula>B2=TRUE</formula>
    </cfRule>
  </conditionalFormatting>
  <conditionalFormatting sqref="O15:P15">
    <cfRule type="expression" dxfId="141" priority="39">
      <formula>$B$52=TRUE</formula>
    </cfRule>
  </conditionalFormatting>
  <conditionalFormatting sqref="O16:P16">
    <cfRule type="expression" dxfId="140" priority="38">
      <formula>$B$53=TRUE</formula>
    </cfRule>
  </conditionalFormatting>
  <conditionalFormatting sqref="T29:Z40">
    <cfRule type="containsBlanks" dxfId="139" priority="68">
      <formula>LEN(TRIM(T29))=0</formula>
    </cfRule>
  </conditionalFormatting>
  <conditionalFormatting sqref="V44:W47 Y44:Y47">
    <cfRule type="cellIs" dxfId="138" priority="13" operator="equal">
      <formula>""</formula>
    </cfRule>
  </conditionalFormatting>
  <conditionalFormatting sqref="AA11">
    <cfRule type="expression" dxfId="137" priority="3">
      <formula>AA52=TRUE</formula>
    </cfRule>
  </conditionalFormatting>
  <conditionalFormatting sqref="AA44">
    <cfRule type="containsBlanks" dxfId="136" priority="11">
      <formula>LEN(TRIM(AA44))=0</formula>
    </cfRule>
  </conditionalFormatting>
  <conditionalFormatting sqref="AA46">
    <cfRule type="containsBlanks" dxfId="135" priority="12">
      <formula>LEN(TRIM(AA46))=0</formula>
    </cfRule>
  </conditionalFormatting>
  <conditionalFormatting sqref="AC44:AH47">
    <cfRule type="cellIs" dxfId="134" priority="1" operator="equal">
      <formula>""</formula>
    </cfRule>
  </conditionalFormatting>
  <conditionalFormatting sqref="AJ4">
    <cfRule type="expression" dxfId="133" priority="23">
      <formula>AB2=TRUE</formula>
    </cfRule>
  </conditionalFormatting>
  <conditionalFormatting sqref="AJ44:AK47 AM44:AN47 AP44:AQ47 AS44:AT47">
    <cfRule type="cellIs" dxfId="132" priority="9" operator="equal">
      <formula>""</formula>
    </cfRule>
  </conditionalFormatting>
  <conditionalFormatting sqref="AO15:AP15">
    <cfRule type="expression" dxfId="131" priority="6">
      <formula>$B$52=TRUE</formula>
    </cfRule>
  </conditionalFormatting>
  <conditionalFormatting sqref="AO16:AP16">
    <cfRule type="expression" dxfId="130" priority="5">
      <formula>$B$53=TRUE</formula>
    </cfRule>
  </conditionalFormatting>
  <conditionalFormatting sqref="AV44:AW47 AY44:AY47">
    <cfRule type="cellIs" dxfId="129" priority="8" operator="equal">
      <formula>""</formula>
    </cfRule>
  </conditionalFormatting>
  <dataValidations xWindow="177" yWindow="650" count="13">
    <dataValidation type="list" operator="equal" allowBlank="1" showInputMessage="1" showErrorMessage="1" prompt="食事場所を指定してください" sqref="F29:G31" xr:uid="{00000000-0002-0000-0300-000000000000}">
      <formula1>"食堂,炊事,携帯食"</formula1>
    </dataValidation>
    <dataValidation type="list" operator="equal" allowBlank="1" showInputMessage="1" showErrorMessage="1" prompt="提供場所を指定してください" sqref="F32:G40" xr:uid="{00000000-0002-0000-0300-000001000000}">
      <formula1>"食堂,炊事,携帯食"</formula1>
    </dataValidation>
    <dataValidation type="list" allowBlank="1" showInputMessage="1" showErrorMessage="1" prompt="食事時機を指定してください" sqref="C29:E40" xr:uid="{00000000-0002-0000-0300-000002000000}">
      <formula1>時機</formula1>
    </dataValidation>
    <dataValidation type="list" operator="equal" showInputMessage="1" showErrorMessage="1" prompt="場所を選んでから、メニューを選択してください" sqref="H29:H40" xr:uid="{00000000-0002-0000-0300-000004000000}">
      <formula1>INDIRECT($F29)</formula1>
    </dataValidation>
    <dataValidation type="list" allowBlank="1" showInputMessage="1" showErrorMessage="1" sqref="T29:T40" xr:uid="{00000000-0002-0000-0300-000005000000}">
      <formula1>$AR$33</formula1>
    </dataValidation>
    <dataValidation type="list" allowBlank="1" showInputMessage="1" showErrorMessage="1" sqref="D4 L4 AD4 AL4" xr:uid="{B3094B57-29A2-4F4A-A0C0-855F54F369E0}">
      <formula1>$BL$54:$BL$65</formula1>
    </dataValidation>
    <dataValidation type="list" allowBlank="1" showInputMessage="1" showErrorMessage="1" sqref="F4 N4 AF4 AN4" xr:uid="{6980C749-6737-49B5-98D4-22EDD3B0893B}">
      <formula1>$BL$54:$BL$84</formula1>
    </dataValidation>
    <dataValidation type="list" allowBlank="1" showInputMessage="1" showErrorMessage="1" sqref="P4 AP4" xr:uid="{E4A7988B-6ED0-481A-8E24-BF2E3A1A2021}">
      <formula1>$BL$54:$BL$77</formula1>
    </dataValidation>
    <dataValidation type="list" allowBlank="1" showInputMessage="1" showErrorMessage="1" sqref="R4 AR4" xr:uid="{BC5A349D-F49B-493D-9852-8A18AA5FFCDF}">
      <formula1>$BM$54:$BM$57</formula1>
    </dataValidation>
    <dataValidation allowBlank="1" showInputMessage="1" showErrorMessage="1" prompt="日にちを指定してください" sqref="AA44:AA47" xr:uid="{1C4591B3-FC96-47EB-8207-9C41699BEEFA}"/>
    <dataValidation type="list" allowBlank="1" showInputMessage="1" showErrorMessage="1" prompt="日にちを指定してください" sqref="A29:A40 A44:A47" xr:uid="{7A2059A6-BEC2-4E1B-B6B9-0767903F5C67}">
      <formula1>$BA$1:$BA$31</formula1>
    </dataValidation>
    <dataValidation type="list" allowBlank="1" showInputMessage="1" showErrorMessage="1" sqref="AC44:AG47" xr:uid="{9B03CA86-852B-4AB9-82AC-7AF7DF5F78F1}">
      <formula1>$BK$56:$BK$58</formula1>
    </dataValidation>
    <dataValidation type="list" allowBlank="1" showInputMessage="1" showErrorMessage="1" sqref="C44:G45 C46:G47" xr:uid="{985F0497-3E21-491A-BF27-3E29BE9FC936}">
      <formula1>$BK$59:$BK$60</formula1>
    </dataValidation>
  </dataValidations>
  <printOptions horizontalCentered="1"/>
  <pageMargins left="0.39370078740157483" right="0.39370078740157483" top="0.39370078740157483" bottom="0.39370078740157483" header="0" footer="0"/>
  <pageSetup paperSize="9" scale="82" orientation="portrait" r:id="rId1"/>
  <headerFooter>
    <oddFooter>&amp;R&amp;D &amp;T</oddFooter>
  </headerFooter>
  <rowBreaks count="1" manualBreakCount="1">
    <brk id="48" max="51" man="1"/>
  </rowBreaks>
  <colBreaks count="1" manualBreakCount="1">
    <brk id="26" max="49" man="1"/>
  </colBreaks>
  <ignoredErrors>
    <ignoredError sqref="BN105 BO105:BO106 BQ104:BQ121 BN112:BN114 BN107:BN109 BN116:BN121 BO108:BO121" evalError="1"/>
    <ignoredError sqref="BE109:BE111 BF141:BF143 BE113 BF145:BF147" evalError="1" formula="1"/>
    <ignoredError sqref="BD114:BE115 BD108:BD113 BD117:BE117 BD116 BD121:BE123 BD120 BD124 BD119 BD11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5</xdr:col>
                    <xdr:colOff>104775</xdr:colOff>
                    <xdr:row>3</xdr:row>
                    <xdr:rowOff>57150</xdr:rowOff>
                  </from>
                  <to>
                    <xdr:col>6</xdr:col>
                    <xdr:colOff>133350</xdr:colOff>
                    <xdr:row>3</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26</xdr:col>
                    <xdr:colOff>0</xdr:colOff>
                    <xdr:row>16</xdr:row>
                    <xdr:rowOff>142875</xdr:rowOff>
                  </from>
                  <to>
                    <xdr:col>26</xdr:col>
                    <xdr:colOff>0</xdr:colOff>
                    <xdr:row>18</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26</xdr:col>
                    <xdr:colOff>0</xdr:colOff>
                    <xdr:row>17</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26</xdr:col>
                    <xdr:colOff>0</xdr:colOff>
                    <xdr:row>19</xdr:row>
                    <xdr:rowOff>0</xdr:rowOff>
                  </from>
                  <to>
                    <xdr:col>26</xdr:col>
                    <xdr:colOff>0</xdr:colOff>
                    <xdr:row>20</xdr:row>
                    <xdr:rowOff>9525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26</xdr:col>
                    <xdr:colOff>0</xdr:colOff>
                    <xdr:row>19</xdr:row>
                    <xdr:rowOff>152400</xdr:rowOff>
                  </from>
                  <to>
                    <xdr:col>26</xdr:col>
                    <xdr:colOff>0</xdr:colOff>
                    <xdr:row>21</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sizeWithCells="1">
                  <from>
                    <xdr:col>26</xdr:col>
                    <xdr:colOff>0</xdr:colOff>
                    <xdr:row>20</xdr:row>
                    <xdr:rowOff>142875</xdr:rowOff>
                  </from>
                  <to>
                    <xdr:col>26</xdr:col>
                    <xdr:colOff>0</xdr:colOff>
                    <xdr:row>22</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26</xdr:col>
                    <xdr:colOff>0</xdr:colOff>
                    <xdr:row>22</xdr:row>
                    <xdr:rowOff>142875</xdr:rowOff>
                  </from>
                  <to>
                    <xdr:col>26</xdr:col>
                    <xdr:colOff>0</xdr:colOff>
                    <xdr:row>24</xdr:row>
                    <xdr:rowOff>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sizeWithCells="1">
                  <from>
                    <xdr:col>26</xdr:col>
                    <xdr:colOff>0</xdr:colOff>
                    <xdr:row>23</xdr:row>
                    <xdr:rowOff>142875</xdr:rowOff>
                  </from>
                  <to>
                    <xdr:col>26</xdr:col>
                    <xdr:colOff>0</xdr:colOff>
                    <xdr:row>24</xdr:row>
                    <xdr:rowOff>0</xdr:rowOff>
                  </to>
                </anchor>
              </controlPr>
            </control>
          </mc:Choice>
        </mc:AlternateContent>
        <mc:AlternateContent xmlns:mc="http://schemas.openxmlformats.org/markup-compatibility/2006">
          <mc:Choice Requires="x14">
            <control shapeId="16401" r:id="rId19" name="Check Box 17">
              <controlPr defaultSize="0" autoFill="0" autoLine="0" autoPict="0">
                <anchor moveWithCells="1" sizeWithCells="1">
                  <from>
                    <xdr:col>26</xdr:col>
                    <xdr:colOff>0</xdr:colOff>
                    <xdr:row>24</xdr:row>
                    <xdr:rowOff>0</xdr:rowOff>
                  </from>
                  <to>
                    <xdr:col>26</xdr:col>
                    <xdr:colOff>0</xdr:colOff>
                    <xdr:row>24</xdr:row>
                    <xdr:rowOff>0</xdr:rowOff>
                  </to>
                </anchor>
              </controlPr>
            </control>
          </mc:Choice>
        </mc:AlternateContent>
        <mc:AlternateContent xmlns:mc="http://schemas.openxmlformats.org/markup-compatibility/2006">
          <mc:Choice Requires="x14">
            <control shapeId="16402" r:id="rId20" name="Check Box 18">
              <controlPr defaultSize="0" autoFill="0" autoLine="0" autoPict="0">
                <anchor moveWithCells="1" sizeWithCells="1">
                  <from>
                    <xdr:col>26</xdr:col>
                    <xdr:colOff>0</xdr:colOff>
                    <xdr:row>24</xdr:row>
                    <xdr:rowOff>0</xdr:rowOff>
                  </from>
                  <to>
                    <xdr:col>26</xdr:col>
                    <xdr:colOff>0</xdr:colOff>
                    <xdr:row>24</xdr:row>
                    <xdr:rowOff>0</xdr:rowOff>
                  </to>
                </anchor>
              </controlPr>
            </control>
          </mc:Choice>
        </mc:AlternateContent>
        <mc:AlternateContent xmlns:mc="http://schemas.openxmlformats.org/markup-compatibility/2006">
          <mc:Choice Requires="x14">
            <control shapeId="16403" r:id="rId21" name="Check Box 19">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04" r:id="rId22" name="Check Box 20">
              <controlPr defaultSize="0" autoFill="0" autoLine="0" autoPict="0">
                <anchor moveWithCells="1" sizeWithCells="1">
                  <from>
                    <xdr:col>26</xdr:col>
                    <xdr:colOff>0</xdr:colOff>
                    <xdr:row>16</xdr:row>
                    <xdr:rowOff>142875</xdr:rowOff>
                  </from>
                  <to>
                    <xdr:col>26</xdr:col>
                    <xdr:colOff>0</xdr:colOff>
                    <xdr:row>18</xdr:row>
                    <xdr:rowOff>19050</xdr:rowOff>
                  </to>
                </anchor>
              </controlPr>
            </control>
          </mc:Choice>
        </mc:AlternateContent>
        <mc:AlternateContent xmlns:mc="http://schemas.openxmlformats.org/markup-compatibility/2006">
          <mc:Choice Requires="x14">
            <control shapeId="16405" r:id="rId23" name="Check Box 21">
              <controlPr defaultSize="0" autoFill="0" autoLine="0" autoPict="0">
                <anchor moveWithCells="1" sizeWithCells="1">
                  <from>
                    <xdr:col>26</xdr:col>
                    <xdr:colOff>0</xdr:colOff>
                    <xdr:row>17</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06" r:id="rId24" name="Check Box 22">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07" r:id="rId25" name="Check Box 23">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08" r:id="rId26" name="Check Box 24">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09" r:id="rId27" name="Check Box 25">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10" r:id="rId28" name="Check Box 26">
              <controlPr defaultSize="0" autoFill="0" autoLine="0" autoPict="0">
                <anchor moveWithCells="1" sizeWithCells="1">
                  <from>
                    <xdr:col>26</xdr:col>
                    <xdr:colOff>0</xdr:colOff>
                    <xdr:row>19</xdr:row>
                    <xdr:rowOff>152400</xdr:rowOff>
                  </from>
                  <to>
                    <xdr:col>26</xdr:col>
                    <xdr:colOff>0</xdr:colOff>
                    <xdr:row>21</xdr:row>
                    <xdr:rowOff>19050</xdr:rowOff>
                  </to>
                </anchor>
              </controlPr>
            </control>
          </mc:Choice>
        </mc:AlternateContent>
        <mc:AlternateContent xmlns:mc="http://schemas.openxmlformats.org/markup-compatibility/2006">
          <mc:Choice Requires="x14">
            <control shapeId="16411" r:id="rId29" name="Check Box 27">
              <controlPr defaultSize="0" autoFill="0" autoLine="0" autoPict="0">
                <anchor moveWithCells="1" sizeWithCells="1">
                  <from>
                    <xdr:col>26</xdr:col>
                    <xdr:colOff>0</xdr:colOff>
                    <xdr:row>20</xdr:row>
                    <xdr:rowOff>142875</xdr:rowOff>
                  </from>
                  <to>
                    <xdr:col>26</xdr:col>
                    <xdr:colOff>0</xdr:colOff>
                    <xdr:row>22</xdr:row>
                    <xdr:rowOff>19050</xdr:rowOff>
                  </to>
                </anchor>
              </controlPr>
            </control>
          </mc:Choice>
        </mc:AlternateContent>
        <mc:AlternateContent xmlns:mc="http://schemas.openxmlformats.org/markup-compatibility/2006">
          <mc:Choice Requires="x14">
            <control shapeId="16412" r:id="rId30" name="Check Box 28">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13" r:id="rId31" name="Check Box 29">
              <controlPr defaultSize="0" autoFill="0" autoLine="0" autoPict="0">
                <anchor moveWithCells="1" sizeWithCells="1">
                  <from>
                    <xdr:col>26</xdr:col>
                    <xdr:colOff>0</xdr:colOff>
                    <xdr:row>22</xdr:row>
                    <xdr:rowOff>142875</xdr:rowOff>
                  </from>
                  <to>
                    <xdr:col>26</xdr:col>
                    <xdr:colOff>0</xdr:colOff>
                    <xdr:row>24</xdr:row>
                    <xdr:rowOff>0</xdr:rowOff>
                  </to>
                </anchor>
              </controlPr>
            </control>
          </mc:Choice>
        </mc:AlternateContent>
        <mc:AlternateContent xmlns:mc="http://schemas.openxmlformats.org/markup-compatibility/2006">
          <mc:Choice Requires="x14">
            <control shapeId="16414" r:id="rId32" name="Check Box 30">
              <controlPr defaultSize="0" autoFill="0" autoLine="0" autoPict="0">
                <anchor moveWithCells="1" sizeWithCells="1">
                  <from>
                    <xdr:col>26</xdr:col>
                    <xdr:colOff>0</xdr:colOff>
                    <xdr:row>23</xdr:row>
                    <xdr:rowOff>142875</xdr:rowOff>
                  </from>
                  <to>
                    <xdr:col>26</xdr:col>
                    <xdr:colOff>0</xdr:colOff>
                    <xdr:row>24</xdr:row>
                    <xdr:rowOff>0</xdr:rowOff>
                  </to>
                </anchor>
              </controlPr>
            </control>
          </mc:Choice>
        </mc:AlternateContent>
        <mc:AlternateContent xmlns:mc="http://schemas.openxmlformats.org/markup-compatibility/2006">
          <mc:Choice Requires="x14">
            <control shapeId="16416" r:id="rId33" name="Check Box 32">
              <controlPr defaultSize="0" autoFill="0" autoLine="0" autoPict="0">
                <anchor moveWithCells="1" sizeWithCells="1">
                  <from>
                    <xdr:col>26</xdr:col>
                    <xdr:colOff>0</xdr:colOff>
                    <xdr:row>24</xdr:row>
                    <xdr:rowOff>0</xdr:rowOff>
                  </from>
                  <to>
                    <xdr:col>26</xdr:col>
                    <xdr:colOff>0</xdr:colOff>
                    <xdr:row>24</xdr:row>
                    <xdr:rowOff>0</xdr:rowOff>
                  </to>
                </anchor>
              </controlPr>
            </control>
          </mc:Choice>
        </mc:AlternateContent>
        <mc:AlternateContent xmlns:mc="http://schemas.openxmlformats.org/markup-compatibility/2006">
          <mc:Choice Requires="x14">
            <control shapeId="16417" r:id="rId34" name="Check Box 33">
              <controlPr defaultSize="0" autoFill="0" autoLine="0" autoPict="0">
                <anchor moveWithCells="1" sizeWithCells="1">
                  <from>
                    <xdr:col>26</xdr:col>
                    <xdr:colOff>0</xdr:colOff>
                    <xdr:row>24</xdr:row>
                    <xdr:rowOff>0</xdr:rowOff>
                  </from>
                  <to>
                    <xdr:col>26</xdr:col>
                    <xdr:colOff>0</xdr:colOff>
                    <xdr:row>24</xdr:row>
                    <xdr:rowOff>0</xdr:rowOff>
                  </to>
                </anchor>
              </controlPr>
            </control>
          </mc:Choice>
        </mc:AlternateContent>
        <mc:AlternateContent xmlns:mc="http://schemas.openxmlformats.org/markup-compatibility/2006">
          <mc:Choice Requires="x14">
            <control shapeId="16418" r:id="rId35" name="Check Box 34">
              <controlPr defaultSize="0" autoFill="0" autoLine="0" autoPict="0">
                <anchor moveWithCells="1" sizeWithCells="1">
                  <from>
                    <xdr:col>26</xdr:col>
                    <xdr:colOff>0</xdr:colOff>
                    <xdr:row>18</xdr:row>
                    <xdr:rowOff>161925</xdr:rowOff>
                  </from>
                  <to>
                    <xdr:col>26</xdr:col>
                    <xdr:colOff>0</xdr:colOff>
                    <xdr:row>19</xdr:row>
                    <xdr:rowOff>0</xdr:rowOff>
                  </to>
                </anchor>
              </controlPr>
            </control>
          </mc:Choice>
        </mc:AlternateContent>
        <mc:AlternateContent xmlns:mc="http://schemas.openxmlformats.org/markup-compatibility/2006">
          <mc:Choice Requires="x14">
            <control shapeId="16419" r:id="rId36" name="Check Box 35">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20" r:id="rId37" name="Check Box 36">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21" r:id="rId38" name="Check Box 37">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22" r:id="rId39" name="Check Box 38">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23" r:id="rId40" name="Check Box 39">
              <controlPr defaultSize="0" autoFill="0" autoLine="0" autoPict="0">
                <anchor moveWithCells="1" sizeWithCells="1">
                  <from>
                    <xdr:col>26</xdr:col>
                    <xdr:colOff>0</xdr:colOff>
                    <xdr:row>18</xdr:row>
                    <xdr:rowOff>57150</xdr:rowOff>
                  </from>
                  <to>
                    <xdr:col>26</xdr:col>
                    <xdr:colOff>0</xdr:colOff>
                    <xdr:row>19</xdr:row>
                    <xdr:rowOff>0</xdr:rowOff>
                  </to>
                </anchor>
              </controlPr>
            </control>
          </mc:Choice>
        </mc:AlternateContent>
        <mc:AlternateContent xmlns:mc="http://schemas.openxmlformats.org/markup-compatibility/2006">
          <mc:Choice Requires="x14">
            <control shapeId="16424" r:id="rId41" name="Check Box 40">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25" r:id="rId42" name="Check Box 41">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26" r:id="rId43" name="Check Box 42">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27" r:id="rId44" name="Check Box 43">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28" r:id="rId45" name="Check Box 44">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29" r:id="rId46" name="Check Box 45">
              <controlPr defaultSize="0" autoFill="0" autoLine="0" autoPict="0">
                <anchor moveWithCells="1" sizeWithCells="1">
                  <from>
                    <xdr:col>26</xdr:col>
                    <xdr:colOff>0</xdr:colOff>
                    <xdr:row>15</xdr:row>
                    <xdr:rowOff>142875</xdr:rowOff>
                  </from>
                  <to>
                    <xdr:col>26</xdr:col>
                    <xdr:colOff>0</xdr:colOff>
                    <xdr:row>17</xdr:row>
                    <xdr:rowOff>19050</xdr:rowOff>
                  </to>
                </anchor>
              </controlPr>
            </control>
          </mc:Choice>
        </mc:AlternateContent>
        <mc:AlternateContent xmlns:mc="http://schemas.openxmlformats.org/markup-compatibility/2006">
          <mc:Choice Requires="x14">
            <control shapeId="16430" r:id="rId47" name="Check Box 46">
              <controlPr defaultSize="0" autoFill="0" autoLine="0" autoPict="0">
                <anchor moveWithCells="1" sizeWithCells="1">
                  <from>
                    <xdr:col>26</xdr:col>
                    <xdr:colOff>0</xdr:colOff>
                    <xdr:row>49</xdr:row>
                    <xdr:rowOff>152400</xdr:rowOff>
                  </from>
                  <to>
                    <xdr:col>26</xdr:col>
                    <xdr:colOff>0</xdr:colOff>
                    <xdr:row>51</xdr:row>
                    <xdr:rowOff>19050</xdr:rowOff>
                  </to>
                </anchor>
              </controlPr>
            </control>
          </mc:Choice>
        </mc:AlternateContent>
        <mc:AlternateContent xmlns:mc="http://schemas.openxmlformats.org/markup-compatibility/2006">
          <mc:Choice Requires="x14">
            <control shapeId="16431" r:id="rId48" name="Check Box 47">
              <controlPr defaultSize="0" autoFill="0" autoLine="0" autoPict="0">
                <anchor moveWithCells="1" sizeWithCells="1">
                  <from>
                    <xdr:col>26</xdr:col>
                    <xdr:colOff>0</xdr:colOff>
                    <xdr:row>50</xdr:row>
                    <xdr:rowOff>152400</xdr:rowOff>
                  </from>
                  <to>
                    <xdr:col>26</xdr:col>
                    <xdr:colOff>0</xdr:colOff>
                    <xdr:row>52</xdr:row>
                    <xdr:rowOff>19050</xdr:rowOff>
                  </to>
                </anchor>
              </controlPr>
            </control>
          </mc:Choice>
        </mc:AlternateContent>
        <mc:AlternateContent xmlns:mc="http://schemas.openxmlformats.org/markup-compatibility/2006">
          <mc:Choice Requires="x14">
            <control shapeId="16432" r:id="rId49" name="Check Box 48">
              <controlPr defaultSize="0" autoFill="0" autoLine="0" autoPict="0">
                <anchor moveWithCells="1" sizeWithCells="1">
                  <from>
                    <xdr:col>26</xdr:col>
                    <xdr:colOff>0</xdr:colOff>
                    <xdr:row>5</xdr:row>
                    <xdr:rowOff>266700</xdr:rowOff>
                  </from>
                  <to>
                    <xdr:col>26</xdr:col>
                    <xdr:colOff>0</xdr:colOff>
                    <xdr:row>7</xdr:row>
                    <xdr:rowOff>95250</xdr:rowOff>
                  </to>
                </anchor>
              </controlPr>
            </control>
          </mc:Choice>
        </mc:AlternateContent>
        <mc:AlternateContent xmlns:mc="http://schemas.openxmlformats.org/markup-compatibility/2006">
          <mc:Choice Requires="x14">
            <control shapeId="16433" r:id="rId50" name="Check Box 49">
              <controlPr defaultSize="0" autoFill="0" autoLine="0" autoPict="0">
                <anchor moveWithCells="1" sizeWithCells="1">
                  <from>
                    <xdr:col>26</xdr:col>
                    <xdr:colOff>0</xdr:colOff>
                    <xdr:row>6</xdr:row>
                    <xdr:rowOff>142875</xdr:rowOff>
                  </from>
                  <to>
                    <xdr:col>26</xdr:col>
                    <xdr:colOff>0</xdr:colOff>
                    <xdr:row>8</xdr:row>
                    <xdr:rowOff>19050</xdr:rowOff>
                  </to>
                </anchor>
              </controlPr>
            </control>
          </mc:Choice>
        </mc:AlternateContent>
        <mc:AlternateContent xmlns:mc="http://schemas.openxmlformats.org/markup-compatibility/2006">
          <mc:Choice Requires="x14">
            <control shapeId="16434" r:id="rId51" name="Check Box 50">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5" r:id="rId52" name="Check Box 51">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6" r:id="rId53" name="Check Box 52">
              <controlPr defaultSize="0" autoFill="0" autoLine="0" autoPict="0">
                <anchor moveWithCells="1" sizeWithCells="1">
                  <from>
                    <xdr:col>26</xdr:col>
                    <xdr:colOff>0</xdr:colOff>
                    <xdr:row>3</xdr:row>
                    <xdr:rowOff>57150</xdr:rowOff>
                  </from>
                  <to>
                    <xdr:col>26</xdr:col>
                    <xdr:colOff>0</xdr:colOff>
                    <xdr:row>3</xdr:row>
                    <xdr:rowOff>104775</xdr:rowOff>
                  </to>
                </anchor>
              </controlPr>
            </control>
          </mc:Choice>
        </mc:AlternateContent>
        <mc:AlternateContent xmlns:mc="http://schemas.openxmlformats.org/markup-compatibility/2006">
          <mc:Choice Requires="x14">
            <control shapeId="16437" r:id="rId54" name="Check Box 53">
              <controlPr defaultSize="0" autoFill="0" autoLine="0" autoPict="0">
                <anchor moveWithCells="1" sizeWithCells="1">
                  <from>
                    <xdr:col>26</xdr:col>
                    <xdr:colOff>0</xdr:colOff>
                    <xdr:row>18</xdr:row>
                    <xdr:rowOff>142875</xdr:rowOff>
                  </from>
                  <to>
                    <xdr:col>26</xdr:col>
                    <xdr:colOff>0</xdr:colOff>
                    <xdr:row>19</xdr:row>
                    <xdr:rowOff>0</xdr:rowOff>
                  </to>
                </anchor>
              </controlPr>
            </control>
          </mc:Choice>
        </mc:AlternateContent>
        <mc:AlternateContent xmlns:mc="http://schemas.openxmlformats.org/markup-compatibility/2006">
          <mc:Choice Requires="x14">
            <control shapeId="16438" r:id="rId55" name="Check Box 54">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39" r:id="rId56" name="Check Box 55">
              <controlPr defaultSize="0" autoFill="0" autoLine="0" autoPict="0">
                <anchor moveWithCells="1" sizeWithCells="1">
                  <from>
                    <xdr:col>26</xdr:col>
                    <xdr:colOff>0</xdr:colOff>
                    <xdr:row>21</xdr:row>
                    <xdr:rowOff>142875</xdr:rowOff>
                  </from>
                  <to>
                    <xdr:col>26</xdr:col>
                    <xdr:colOff>0</xdr:colOff>
                    <xdr:row>23</xdr:row>
                    <xdr:rowOff>19050</xdr:rowOff>
                  </to>
                </anchor>
              </controlPr>
            </control>
          </mc:Choice>
        </mc:AlternateContent>
        <mc:AlternateContent xmlns:mc="http://schemas.openxmlformats.org/markup-compatibility/2006">
          <mc:Choice Requires="x14">
            <control shapeId="16442" r:id="rId57" name="Check Box 58">
              <controlPr defaultSize="0" autoFill="0" autoLine="0" autoPict="0">
                <anchor moveWithCells="1" sizeWithCells="1">
                  <from>
                    <xdr:col>26</xdr:col>
                    <xdr:colOff>0</xdr:colOff>
                    <xdr:row>18</xdr:row>
                    <xdr:rowOff>161925</xdr:rowOff>
                  </from>
                  <to>
                    <xdr:col>26</xdr:col>
                    <xdr:colOff>0</xdr:colOff>
                    <xdr:row>19</xdr:row>
                    <xdr:rowOff>0</xdr:rowOff>
                  </to>
                </anchor>
              </controlPr>
            </control>
          </mc:Choice>
        </mc:AlternateContent>
        <mc:AlternateContent xmlns:mc="http://schemas.openxmlformats.org/markup-compatibility/2006">
          <mc:Choice Requires="x14">
            <control shapeId="16443" r:id="rId58" name="Check Box 59">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44" r:id="rId59" name="Check Box 60">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45" r:id="rId60" name="Check Box 61">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46" r:id="rId61" name="Check Box 62">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47" r:id="rId62" name="Check Box 63">
              <controlPr defaultSize="0" autoFill="0" autoLine="0" autoPict="0">
                <anchor moveWithCells="1" sizeWithCells="1">
                  <from>
                    <xdr:col>26</xdr:col>
                    <xdr:colOff>0</xdr:colOff>
                    <xdr:row>19</xdr:row>
                    <xdr:rowOff>0</xdr:rowOff>
                  </from>
                  <to>
                    <xdr:col>26</xdr:col>
                    <xdr:colOff>0</xdr:colOff>
                    <xdr:row>19</xdr:row>
                    <xdr:rowOff>0</xdr:rowOff>
                  </to>
                </anchor>
              </controlPr>
            </control>
          </mc:Choice>
        </mc:AlternateContent>
        <mc:AlternateContent xmlns:mc="http://schemas.openxmlformats.org/markup-compatibility/2006">
          <mc:Choice Requires="x14">
            <control shapeId="16448" r:id="rId63" name="Check Box 64">
              <controlPr defaultSize="0" autoFill="0" autoLine="0" autoPict="0">
                <anchor moveWithCells="1" sizeWithCells="1">
                  <from>
                    <xdr:col>26</xdr:col>
                    <xdr:colOff>0</xdr:colOff>
                    <xdr:row>19</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6449" r:id="rId64" name="Check Box 65">
              <controlPr defaultSize="0" autoFill="0" autoLine="0" autoPict="0">
                <anchor moveWithCells="1" sizeWithCells="1">
                  <from>
                    <xdr:col>26</xdr:col>
                    <xdr:colOff>0</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6450" r:id="rId65" name="Check Box 66">
              <controlPr defaultSize="0" autoFill="0" autoLine="0" autoPict="0">
                <anchor moveWithCells="1" sizeWithCells="1">
                  <from>
                    <xdr:col>26</xdr:col>
                    <xdr:colOff>0</xdr:colOff>
                    <xdr:row>19</xdr:row>
                    <xdr:rowOff>142875</xdr:rowOff>
                  </from>
                  <to>
                    <xdr:col>26</xdr:col>
                    <xdr:colOff>0</xdr:colOff>
                    <xdr:row>21</xdr:row>
                    <xdr:rowOff>9525</xdr:rowOff>
                  </to>
                </anchor>
              </controlPr>
            </control>
          </mc:Choice>
        </mc:AlternateContent>
        <mc:AlternateContent xmlns:mc="http://schemas.openxmlformats.org/markup-compatibility/2006">
          <mc:Choice Requires="x14">
            <control shapeId="16451" r:id="rId66" name="Check Box 67">
              <controlPr defaultSize="0" autoFill="0" autoLine="0" autoPict="0">
                <anchor moveWithCells="1">
                  <from>
                    <xdr:col>26</xdr:col>
                    <xdr:colOff>0</xdr:colOff>
                    <xdr:row>3</xdr:row>
                    <xdr:rowOff>114300</xdr:rowOff>
                  </from>
                  <to>
                    <xdr:col>28</xdr:col>
                    <xdr:colOff>19050</xdr:colOff>
                    <xdr:row>4</xdr:row>
                    <xdr:rowOff>66675</xdr:rowOff>
                  </to>
                </anchor>
              </controlPr>
            </control>
          </mc:Choice>
        </mc:AlternateContent>
        <mc:AlternateContent xmlns:mc="http://schemas.openxmlformats.org/markup-compatibility/2006">
          <mc:Choice Requires="x14">
            <control shapeId="16452" r:id="rId67" name="Check Box 68">
              <controlPr defaultSize="0" autoFill="0" autoLine="0" autoPict="0">
                <anchor moveWithCells="1" sizeWithCells="1">
                  <from>
                    <xdr:col>0</xdr:col>
                    <xdr:colOff>76200</xdr:colOff>
                    <xdr:row>3</xdr:row>
                    <xdr:rowOff>9525</xdr:rowOff>
                  </from>
                  <to>
                    <xdr:col>1</xdr:col>
                    <xdr:colOff>104775</xdr:colOff>
                    <xdr:row>3</xdr:row>
                    <xdr:rowOff>228600</xdr:rowOff>
                  </to>
                </anchor>
              </controlPr>
            </control>
          </mc:Choice>
        </mc:AlternateContent>
        <mc:AlternateContent xmlns:mc="http://schemas.openxmlformats.org/markup-compatibility/2006">
          <mc:Choice Requires="x14">
            <control shapeId="16453" r:id="rId68" name="Check Box 69">
              <controlPr locked="0" defaultSize="0" autoFill="0" autoLine="0" autoPict="0">
                <anchor moveWithCells="1" sizeWithCells="1">
                  <from>
                    <xdr:col>8</xdr:col>
                    <xdr:colOff>76200</xdr:colOff>
                    <xdr:row>3</xdr:row>
                    <xdr:rowOff>0</xdr:rowOff>
                  </from>
                  <to>
                    <xdr:col>9</xdr:col>
                    <xdr:colOff>104775</xdr:colOff>
                    <xdr:row>3</xdr:row>
                    <xdr:rowOff>219075</xdr:rowOff>
                  </to>
                </anchor>
              </controlPr>
            </control>
          </mc:Choice>
        </mc:AlternateContent>
        <mc:AlternateContent xmlns:mc="http://schemas.openxmlformats.org/markup-compatibility/2006">
          <mc:Choice Requires="x14">
            <control shapeId="16456" r:id="rId69" name="Check Box 72">
              <controlPr defaultSize="0" autoFill="0" autoLine="0" autoPict="0">
                <anchor moveWithCells="1" sizeWithCells="1">
                  <from>
                    <xdr:col>26</xdr:col>
                    <xdr:colOff>76200</xdr:colOff>
                    <xdr:row>3</xdr:row>
                    <xdr:rowOff>9525</xdr:rowOff>
                  </from>
                  <to>
                    <xdr:col>27</xdr:col>
                    <xdr:colOff>104775</xdr:colOff>
                    <xdr:row>3</xdr:row>
                    <xdr:rowOff>228600</xdr:rowOff>
                  </to>
                </anchor>
              </controlPr>
            </control>
          </mc:Choice>
        </mc:AlternateContent>
        <mc:AlternateContent xmlns:mc="http://schemas.openxmlformats.org/markup-compatibility/2006">
          <mc:Choice Requires="x14">
            <control shapeId="16457" r:id="rId70" name="Check Box 73">
              <controlPr defaultSize="0" autoFill="0" autoLine="0" autoPict="0">
                <anchor moveWithCells="1" sizeWithCells="1">
                  <from>
                    <xdr:col>34</xdr:col>
                    <xdr:colOff>76200</xdr:colOff>
                    <xdr:row>3</xdr:row>
                    <xdr:rowOff>0</xdr:rowOff>
                  </from>
                  <to>
                    <xdr:col>35</xdr:col>
                    <xdr:colOff>104775</xdr:colOff>
                    <xdr:row>3</xdr:row>
                    <xdr:rowOff>219075</xdr:rowOff>
                  </to>
                </anchor>
              </controlPr>
            </control>
          </mc:Choice>
        </mc:AlternateContent>
        <mc:AlternateContent xmlns:mc="http://schemas.openxmlformats.org/markup-compatibility/2006">
          <mc:Choice Requires="x14">
            <control shapeId="16458" r:id="rId71" name="Check Box 74">
              <controlPr defaultSize="0" autoFill="0" autoLine="0" autoPict="0">
                <anchor moveWithCells="1" sizeWithCells="1">
                  <from>
                    <xdr:col>40</xdr:col>
                    <xdr:colOff>85725</xdr:colOff>
                    <xdr:row>14</xdr:row>
                    <xdr:rowOff>0</xdr:rowOff>
                  </from>
                  <to>
                    <xdr:col>41</xdr:col>
                    <xdr:colOff>114300</xdr:colOff>
                    <xdr:row>15</xdr:row>
                    <xdr:rowOff>28575</xdr:rowOff>
                  </to>
                </anchor>
              </controlPr>
            </control>
          </mc:Choice>
        </mc:AlternateContent>
        <mc:AlternateContent xmlns:mc="http://schemas.openxmlformats.org/markup-compatibility/2006">
          <mc:Choice Requires="x14">
            <control shapeId="16459" r:id="rId72" name="Check Box 75">
              <controlPr defaultSize="0" autoFill="0" autoLine="0" autoPict="0">
                <anchor moveWithCells="1" sizeWithCells="1">
                  <from>
                    <xdr:col>40</xdr:col>
                    <xdr:colOff>85725</xdr:colOff>
                    <xdr:row>14</xdr:row>
                    <xdr:rowOff>152400</xdr:rowOff>
                  </from>
                  <to>
                    <xdr:col>41</xdr:col>
                    <xdr:colOff>114300</xdr:colOff>
                    <xdr:row>16</xdr:row>
                    <xdr:rowOff>38100</xdr:rowOff>
                  </to>
                </anchor>
              </controlPr>
            </control>
          </mc:Choice>
        </mc:AlternateContent>
        <mc:AlternateContent xmlns:mc="http://schemas.openxmlformats.org/markup-compatibility/2006">
          <mc:Choice Requires="x14">
            <control shapeId="16460" r:id="rId73" name="Check Box 76">
              <controlPr defaultSize="0" autoFill="0" autoLine="0" autoPict="0">
                <anchor moveWithCells="1" sizeWithCells="1">
                  <from>
                    <xdr:col>14</xdr:col>
                    <xdr:colOff>28575</xdr:colOff>
                    <xdr:row>13</xdr:row>
                    <xdr:rowOff>228600</xdr:rowOff>
                  </from>
                  <to>
                    <xdr:col>15</xdr:col>
                    <xdr:colOff>57150</xdr:colOff>
                    <xdr:row>15</xdr:row>
                    <xdr:rowOff>19050</xdr:rowOff>
                  </to>
                </anchor>
              </controlPr>
            </control>
          </mc:Choice>
        </mc:AlternateContent>
        <mc:AlternateContent xmlns:mc="http://schemas.openxmlformats.org/markup-compatibility/2006">
          <mc:Choice Requires="x14">
            <control shapeId="16461" r:id="rId74" name="Check Box 77">
              <controlPr defaultSize="0" autoFill="0" autoLine="0" autoPict="0">
                <anchor moveWithCells="1" sizeWithCells="1">
                  <from>
                    <xdr:col>14</xdr:col>
                    <xdr:colOff>28575</xdr:colOff>
                    <xdr:row>14</xdr:row>
                    <xdr:rowOff>142875</xdr:rowOff>
                  </from>
                  <to>
                    <xdr:col>15</xdr:col>
                    <xdr:colOff>57150</xdr:colOff>
                    <xdr:row>16</xdr:row>
                    <xdr:rowOff>28575</xdr:rowOff>
                  </to>
                </anchor>
              </controlPr>
            </control>
          </mc:Choice>
        </mc:AlternateContent>
        <mc:AlternateContent xmlns:mc="http://schemas.openxmlformats.org/markup-compatibility/2006">
          <mc:Choice Requires="x14">
            <control shapeId="16852" r:id="rId75" name="Check Box 468">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53" r:id="rId76" name="Check Box 469">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59" r:id="rId77" name="Check Box 475">
              <controlPr defaultSize="0" autoFill="0" autoLine="0" autoPict="0">
                <anchor moveWithCells="1" sizeWithCells="1">
                  <from>
                    <xdr:col>31</xdr:col>
                    <xdr:colOff>104775</xdr:colOff>
                    <xdr:row>3</xdr:row>
                    <xdr:rowOff>57150</xdr:rowOff>
                  </from>
                  <to>
                    <xdr:col>32</xdr:col>
                    <xdr:colOff>133350</xdr:colOff>
                    <xdr:row>3</xdr:row>
                    <xdr:rowOff>104775</xdr:rowOff>
                  </to>
                </anchor>
              </controlPr>
            </control>
          </mc:Choice>
        </mc:AlternateContent>
        <mc:AlternateContent xmlns:mc="http://schemas.openxmlformats.org/markup-compatibility/2006">
          <mc:Choice Requires="x14">
            <control shapeId="16860" r:id="rId78" name="Check Box 476">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1" r:id="rId79" name="Check Box 477">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63" r:id="rId80" name="Check Box 479">
              <controlPr defaultSize="0" autoFill="0" autoLine="0" autoPict="0">
                <anchor moveWithCells="1" sizeWithCells="1">
                  <from>
                    <xdr:col>7</xdr:col>
                    <xdr:colOff>38100</xdr:colOff>
                    <xdr:row>19</xdr:row>
                    <xdr:rowOff>0</xdr:rowOff>
                  </from>
                  <to>
                    <xdr:col>8</xdr:col>
                    <xdr:colOff>66675</xdr:colOff>
                    <xdr:row>20</xdr:row>
                    <xdr:rowOff>19050</xdr:rowOff>
                  </to>
                </anchor>
              </controlPr>
            </control>
          </mc:Choice>
        </mc:AlternateContent>
        <mc:AlternateContent xmlns:mc="http://schemas.openxmlformats.org/markup-compatibility/2006">
          <mc:Choice Requires="x14">
            <control shapeId="16864" r:id="rId81" name="Check Box 480">
              <controlPr defaultSize="0" autoFill="0" autoLine="0" autoPict="0">
                <anchor moveWithCells="1" sizeWithCells="1">
                  <from>
                    <xdr:col>4</xdr:col>
                    <xdr:colOff>47625</xdr:colOff>
                    <xdr:row>19</xdr:row>
                    <xdr:rowOff>0</xdr:rowOff>
                  </from>
                  <to>
                    <xdr:col>5</xdr:col>
                    <xdr:colOff>76200</xdr:colOff>
                    <xdr:row>20</xdr:row>
                    <xdr:rowOff>19050</xdr:rowOff>
                  </to>
                </anchor>
              </controlPr>
            </control>
          </mc:Choice>
        </mc:AlternateContent>
        <mc:AlternateContent xmlns:mc="http://schemas.openxmlformats.org/markup-compatibility/2006">
          <mc:Choice Requires="x14">
            <control shapeId="16865" r:id="rId82" name="Check Box 481">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6" r:id="rId83" name="Check Box 482">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67" r:id="rId84" name="Check Box 483">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68" r:id="rId85" name="Check Box 484">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81" r:id="rId86" name="Check Box 497">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82" r:id="rId87" name="Check Box 498">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mc:AlternateContent xmlns:mc="http://schemas.openxmlformats.org/markup-compatibility/2006">
          <mc:Choice Requires="x14">
            <control shapeId="16883" r:id="rId88" name="Check Box 499">
              <controlPr defaultSize="0" autoFill="0" autoLine="0" autoPict="0">
                <anchor moveWithCells="1" sizeWithCells="1">
                  <from>
                    <xdr:col>33</xdr:col>
                    <xdr:colOff>38100</xdr:colOff>
                    <xdr:row>19</xdr:row>
                    <xdr:rowOff>0</xdr:rowOff>
                  </from>
                  <to>
                    <xdr:col>34</xdr:col>
                    <xdr:colOff>66675</xdr:colOff>
                    <xdr:row>20</xdr:row>
                    <xdr:rowOff>19050</xdr:rowOff>
                  </to>
                </anchor>
              </controlPr>
            </control>
          </mc:Choice>
        </mc:AlternateContent>
        <mc:AlternateContent xmlns:mc="http://schemas.openxmlformats.org/markup-compatibility/2006">
          <mc:Choice Requires="x14">
            <control shapeId="16884" r:id="rId89" name="Check Box 500">
              <controlPr defaultSize="0" autoFill="0" autoLine="0" autoPict="0">
                <anchor moveWithCells="1" sizeWithCells="1">
                  <from>
                    <xdr:col>30</xdr:col>
                    <xdr:colOff>47625</xdr:colOff>
                    <xdr:row>19</xdr:row>
                    <xdr:rowOff>0</xdr:rowOff>
                  </from>
                  <to>
                    <xdr:col>31</xdr:col>
                    <xdr:colOff>76200</xdr:colOff>
                    <xdr:row>20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sheetPr>
  <dimension ref="A1:DB332"/>
  <sheetViews>
    <sheetView showZeros="0" view="pageBreakPreview" topLeftCell="A8" zoomScale="70" zoomScaleNormal="100" zoomScaleSheetLayoutView="70" workbookViewId="0">
      <selection activeCell="O19" sqref="O19:T19"/>
    </sheetView>
  </sheetViews>
  <sheetFormatPr defaultRowHeight="13.5"/>
  <cols>
    <col min="1" max="1" width="5.625" customWidth="1"/>
    <col min="2" max="7" width="4.5" customWidth="1"/>
    <col min="8" max="13" width="4.125" customWidth="1"/>
    <col min="14" max="14" width="5.625" customWidth="1"/>
    <col min="15" max="20" width="4.5" customWidth="1"/>
    <col min="21" max="27" width="4.125" customWidth="1"/>
    <col min="28" max="33" width="4.5" customWidth="1"/>
    <col min="34" max="39" width="4.125" customWidth="1"/>
    <col min="40" max="40" width="5.625" bestFit="1" customWidth="1"/>
    <col min="41" max="46" width="4.5" customWidth="1"/>
    <col min="47" max="52" width="4.125" customWidth="1"/>
    <col min="53" max="86" width="10.25" style="520" hidden="1" customWidth="1"/>
    <col min="87" max="88" width="10.25" style="695" hidden="1" customWidth="1"/>
    <col min="89" max="97" width="10.25" style="520" hidden="1" customWidth="1"/>
    <col min="98" max="98" width="9" style="520" customWidth="1"/>
    <col min="99" max="106" width="9" style="520"/>
  </cols>
  <sheetData>
    <row r="1" spans="1:95" ht="24" customHeight="1">
      <c r="A1" s="1151" t="s">
        <v>287</v>
      </c>
      <c r="B1" s="1151"/>
      <c r="C1" s="1151"/>
      <c r="D1" s="1151"/>
      <c r="E1" s="1151"/>
      <c r="F1" s="1151"/>
      <c r="G1" s="1151"/>
      <c r="H1" s="1151"/>
      <c r="I1" s="1151"/>
      <c r="J1" s="1151"/>
      <c r="K1" s="1151"/>
      <c r="L1" s="1151"/>
      <c r="M1" s="1151"/>
      <c r="N1" s="1151"/>
      <c r="O1" s="1151"/>
      <c r="P1" s="1151"/>
      <c r="Q1" s="1151"/>
      <c r="R1" s="1151"/>
      <c r="S1" s="1151"/>
      <c r="T1" s="1151"/>
      <c r="U1" s="1151"/>
      <c r="V1" s="1151"/>
      <c r="W1" s="1151"/>
      <c r="X1" s="1151"/>
      <c r="Y1" s="1151"/>
      <c r="Z1" s="1151"/>
      <c r="AA1" s="1151" t="s">
        <v>287</v>
      </c>
      <c r="AB1" s="1151"/>
      <c r="AC1" s="1151"/>
      <c r="AD1" s="1151"/>
      <c r="AE1" s="1151"/>
      <c r="AF1" s="1151"/>
      <c r="AG1" s="1151"/>
      <c r="AH1" s="1151"/>
      <c r="AI1" s="1151"/>
      <c r="AJ1" s="1151"/>
      <c r="AK1" s="1151"/>
      <c r="AL1" s="1151"/>
      <c r="AM1" s="1151"/>
      <c r="AN1" s="1151"/>
      <c r="AO1" s="1151"/>
      <c r="AP1" s="1151"/>
      <c r="AQ1" s="1151"/>
      <c r="AR1" s="1151"/>
      <c r="AS1" s="1151"/>
      <c r="AT1" s="1151"/>
      <c r="AU1" s="1151"/>
      <c r="AV1" s="1151"/>
      <c r="AW1" s="1151"/>
      <c r="AX1" s="1151"/>
      <c r="AY1" s="1151"/>
      <c r="AZ1" s="1151"/>
      <c r="BA1" s="694"/>
      <c r="CH1" s="1727" t="s">
        <v>1713</v>
      </c>
      <c r="CI1" s="1727"/>
      <c r="CJ1" s="1727"/>
      <c r="CK1" s="1727"/>
      <c r="CM1" s="1727" t="s">
        <v>1712</v>
      </c>
      <c r="CN1" s="1727"/>
      <c r="CO1" s="1727"/>
      <c r="CP1" s="1727"/>
    </row>
    <row r="2" spans="1:95" ht="24.95" customHeight="1" thickBot="1">
      <c r="A2" s="184">
        <f>COUNTIFS(K13:K22,"a",H13:H22,"&gt;0")</f>
        <v>0</v>
      </c>
      <c r="B2" s="184">
        <f>COUNTIFS(X13:X22,"a",U13:U22,"&gt;0")</f>
        <v>0</v>
      </c>
      <c r="C2" s="184">
        <f>COUNTIFS(K13:K22,"b",H13:H22,"&gt;0")</f>
        <v>0</v>
      </c>
      <c r="D2" s="184">
        <f>COUNTIFS(X13:X22,"b",U13:U22,"&gt;0")</f>
        <v>0</v>
      </c>
      <c r="E2" s="184">
        <f>COUNTIFS(K13:K22,"c",H13:H22,"&gt;0")</f>
        <v>0</v>
      </c>
      <c r="F2" s="184">
        <f>COUNTIFS(X13:X22,"c",U13:U22,"&gt;0")</f>
        <v>0</v>
      </c>
      <c r="G2" s="184">
        <f>COUNTIFS(K13:K22,"d",H13:H22,"&gt;0")</f>
        <v>0</v>
      </c>
      <c r="H2" s="184">
        <f>COUNTIFS(X13:X22,"d",U13:U22,"&gt;0")</f>
        <v>0</v>
      </c>
      <c r="I2" s="184">
        <f>COUNTIFS(K13:K22,"e",H13:H22,"&gt;0")</f>
        <v>0</v>
      </c>
      <c r="J2" s="184">
        <f>COUNTIFS(X13:X22,"e",U13:U22,"&gt;0")</f>
        <v>0</v>
      </c>
      <c r="K2" s="184">
        <f>COUNTIFS(K13:K22,"f",H13:H22,"&gt;0")</f>
        <v>0</v>
      </c>
      <c r="L2" s="184">
        <f>COUNTIFS(X13:X22,"f",U13:U22,"&gt;0")</f>
        <v>0</v>
      </c>
      <c r="M2" s="184">
        <f>COUNTIFS(K13:K22,"g",H13:H22,"&gt;0")</f>
        <v>0</v>
      </c>
      <c r="N2" s="184">
        <f>COUNTIFS(X13:X22,"g",U13:U22,"&gt;0")</f>
        <v>0</v>
      </c>
      <c r="O2" s="184">
        <f>COUNTIFS(K13:K22,"h",H13:H22,"&gt;0")</f>
        <v>0</v>
      </c>
      <c r="P2" s="184">
        <f>COUNTIFS(X13:X22,"h",U13:U22,"&gt;0")</f>
        <v>0</v>
      </c>
      <c r="Q2" s="184">
        <f>COUNTIFS(K13:K22,"i",H13:H22,"&gt;0")</f>
        <v>0</v>
      </c>
      <c r="R2" s="184">
        <f>COUNTIFS(X13:X22,"i",U13:U22,"&gt;0")</f>
        <v>0</v>
      </c>
      <c r="S2" s="185">
        <f>SUM(A2:R2)</f>
        <v>0</v>
      </c>
      <c r="T2" s="179"/>
      <c r="U2" s="179"/>
      <c r="V2" s="179"/>
      <c r="W2" s="1797" t="s">
        <v>288</v>
      </c>
      <c r="X2" s="1797"/>
      <c r="Y2" s="1797">
        <v>1</v>
      </c>
      <c r="Z2" s="1797"/>
      <c r="AA2" s="153"/>
      <c r="AB2" s="153"/>
      <c r="AC2" s="179"/>
      <c r="AD2" s="179"/>
      <c r="AE2" s="179"/>
      <c r="AF2" s="179"/>
      <c r="AG2" s="179"/>
      <c r="AH2" s="179"/>
      <c r="AI2" s="179"/>
      <c r="AJ2" s="179"/>
      <c r="AK2" s="179"/>
      <c r="AL2" s="179"/>
      <c r="AM2" s="179"/>
      <c r="AN2" s="179"/>
      <c r="AO2" s="179"/>
      <c r="AP2" s="179"/>
      <c r="AQ2" s="179"/>
      <c r="AR2" s="179"/>
      <c r="AS2" s="179"/>
      <c r="AT2" s="179"/>
      <c r="AU2" s="179"/>
      <c r="AV2" s="179"/>
      <c r="AW2" s="1797" t="s">
        <v>288</v>
      </c>
      <c r="AX2" s="1797"/>
      <c r="AY2" s="1797">
        <v>1</v>
      </c>
      <c r="AZ2" s="1797"/>
      <c r="BF2" s="520" t="s">
        <v>377</v>
      </c>
      <c r="BG2" s="695" t="s">
        <v>388</v>
      </c>
      <c r="BH2" s="695" t="s">
        <v>389</v>
      </c>
      <c r="BN2" s="696"/>
      <c r="BO2" s="696"/>
      <c r="BP2" s="695" t="s">
        <v>94</v>
      </c>
      <c r="BQ2" s="695" t="s">
        <v>2843</v>
      </c>
      <c r="BR2" s="695" t="s">
        <v>2842</v>
      </c>
      <c r="BS2" s="695" t="s">
        <v>393</v>
      </c>
      <c r="BT2" s="695" t="s">
        <v>394</v>
      </c>
      <c r="BV2" s="697"/>
      <c r="BX2" s="698"/>
      <c r="BY2" s="698"/>
      <c r="CC2" s="695" t="s">
        <v>1686</v>
      </c>
      <c r="CD2" s="695" t="s">
        <v>1687</v>
      </c>
      <c r="CE2" s="520" t="s">
        <v>1685</v>
      </c>
      <c r="CF2" s="699" t="s">
        <v>1715</v>
      </c>
      <c r="CH2" s="700" t="s">
        <v>1709</v>
      </c>
      <c r="CI2" s="701" t="s">
        <v>1686</v>
      </c>
      <c r="CJ2" s="701" t="s">
        <v>1687</v>
      </c>
      <c r="CK2" s="696" t="s">
        <v>1685</v>
      </c>
      <c r="CL2" s="696"/>
      <c r="CM2" s="699" t="s">
        <v>1710</v>
      </c>
      <c r="CN2" s="695" t="s">
        <v>1686</v>
      </c>
      <c r="CO2" s="695" t="s">
        <v>1687</v>
      </c>
      <c r="CP2" s="695" t="s">
        <v>1711</v>
      </c>
      <c r="CQ2" s="695" t="s">
        <v>1714</v>
      </c>
    </row>
    <row r="3" spans="1:95" ht="24.95" customHeight="1">
      <c r="A3" s="184">
        <f>COUNTIFS(K13:K22,"a",I13:I22,"&gt;0")</f>
        <v>0</v>
      </c>
      <c r="B3" s="184">
        <f>COUNTIFS(X13:X22,"a",V13:V22,"&gt;0")</f>
        <v>0</v>
      </c>
      <c r="C3" s="184">
        <f>COUNTIFS(K13:K22,"b",I13:I22,"&gt;0")</f>
        <v>0</v>
      </c>
      <c r="D3" s="184">
        <f>COUNTIFS(X13:X22,"b",V13:V22,"&gt;0")</f>
        <v>0</v>
      </c>
      <c r="E3" s="184">
        <f>COUNTIFS(K13:K22,"c",I13:I22,"&gt;0")</f>
        <v>0</v>
      </c>
      <c r="F3" s="184">
        <f>COUNTIFS(X13:X22,"c",V13:V22,"&gt;0")</f>
        <v>0</v>
      </c>
      <c r="G3" s="184">
        <f>COUNTIFS(K13:K22,"d",I13:I22,"&gt;0")</f>
        <v>0</v>
      </c>
      <c r="H3" s="184">
        <f>COUNTIFS(X13:X22,"d",V13:V22,"&gt;0")</f>
        <v>0</v>
      </c>
      <c r="I3" s="184">
        <f>COUNTIFS(K13:K22,"e",I13:I22,"&gt;0")</f>
        <v>0</v>
      </c>
      <c r="J3" s="184">
        <f>COUNTIFS(X13:X22,"e",V13:V22,"&gt;0")</f>
        <v>0</v>
      </c>
      <c r="K3" s="184">
        <f>COUNTIFS(K13:K22,"f",I13:I22,"&gt;0")</f>
        <v>0</v>
      </c>
      <c r="L3" s="184">
        <f>COUNTIFS(X13:X22,"f",V13:V22,"&gt;0")</f>
        <v>0</v>
      </c>
      <c r="M3" s="184">
        <f>COUNTIFS(K13:K22,"g",I13:I22,"&gt;0")</f>
        <v>0</v>
      </c>
      <c r="N3" s="184">
        <f>COUNTIFS(X13:X22,"g",V13:V22,"&gt;0")</f>
        <v>0</v>
      </c>
      <c r="O3" s="184">
        <f>COUNTIFS(K13:K22,"h",I13:I22,"&gt;0")</f>
        <v>0</v>
      </c>
      <c r="P3" s="184">
        <f>COUNTIFS(X13:X22,"h",V13:V22,"&gt;0")</f>
        <v>0</v>
      </c>
      <c r="Q3" s="184">
        <f>COUNTIFS(K13:K22,"i",I13:I22,"&gt;0")</f>
        <v>0</v>
      </c>
      <c r="R3" s="184">
        <f>COUNTIFS(X13:X22,"i",V13:V22,"&gt;0")</f>
        <v>0</v>
      </c>
      <c r="S3" s="185">
        <f>SUM(A3:R3)</f>
        <v>0</v>
      </c>
      <c r="T3" s="179"/>
      <c r="U3" s="179"/>
      <c r="V3" s="179"/>
      <c r="W3" s="186"/>
      <c r="X3" s="186"/>
      <c r="Y3" s="186"/>
      <c r="Z3" s="186"/>
      <c r="AA3" s="153"/>
      <c r="AB3" s="153"/>
      <c r="AC3" s="179"/>
      <c r="AD3" s="179"/>
      <c r="AE3" s="179"/>
      <c r="AF3" s="179"/>
      <c r="AG3" s="179"/>
      <c r="AH3" s="179"/>
      <c r="AI3" s="179"/>
      <c r="AJ3" s="179"/>
      <c r="AK3" s="179"/>
      <c r="AL3" s="179"/>
      <c r="AM3" s="179"/>
      <c r="AN3" s="179"/>
      <c r="AO3" s="179"/>
      <c r="AP3" s="179"/>
      <c r="AQ3" s="179"/>
      <c r="AR3" s="179"/>
      <c r="AS3" s="179"/>
      <c r="AT3" s="179"/>
      <c r="AU3" s="179"/>
      <c r="AV3" s="179"/>
      <c r="AW3" s="179"/>
      <c r="AX3" s="179"/>
      <c r="AY3" s="153"/>
      <c r="AZ3" s="153"/>
      <c r="BF3" s="695" t="s">
        <v>381</v>
      </c>
      <c r="BG3" s="702">
        <f>G34+G35</f>
        <v>0</v>
      </c>
      <c r="BO3" s="695" t="s">
        <v>40</v>
      </c>
      <c r="BP3" s="702">
        <f>SUMIFS(H13:H22,J13:J22,"小")+SUMIFS(U13:U22,W13:W22,"小")+SUMIFS(H55:H84,J55:J84,"小")+SUMIFS(U55:U84,W55:W84,"小")+SUMIFS(H98:H127,J98:J127,"小")+SUMIFS(U98:U127,W98:W127,"小")+SUMIFS(H141:H170,J141:J170,"小")+SUMIFS(U141:U170,W141:W170,"小")+SUMIFS(H184:H213,J184:J213,"小")+SUMIFS(U184:U213,W184:W213,"小")+SUMIFS(H227:H256,J227:J256,"小")+SUMIFS(U227:U256,W227:W256,"小")</f>
        <v>0</v>
      </c>
      <c r="BQ3" s="702">
        <f>SUMIFS(H13:H22,J13:J22,"中")+SUMIFS(U13:U22,W13:W22,"中")+SUMIFS(H55:H84,J55:J84,"中")+SUMIFS(U55:U84,W55:W84,"中")+SUMIFS(H98:H127,J98:J127,"中")+SUMIFS(U98:U127,W98:W127,"中")+SUMIFS(H141:H170,J141:J170,"中")+SUMIFS(U141:U170,W141:W170,"中")+SUMIFS(H184:H213,J184:J213,"中")+SUMIFS(U184:U213,W184:W213,"中")+SUMIFS(H227:H256,J227:J256,"中")+SUMIFS(U227:U256,W227:W256,"中")</f>
        <v>0</v>
      </c>
      <c r="BR3" s="702">
        <f>SUMIFS(H13:H22,J13:J22,"引")+SUMIFS(U13:U22,W13:W22,"引")+SUMIFS(H55:H84,J55:J84,"引")+SUMIFS(U55:U84,W55:W84,"引")+SUMIFS(H98:H127,J98:J127,"引")+SUMIFS(U98:U127,W98:W127,"引")+SUMIFS(H141:H170,J141:J170,"引")+SUMIFS(U141:U170,W141:W170,"引")+SUMIFS(H184:H213,J184:J213,"引")+SUMIFS(U184:U213,W184:W213,"引")+SUMIFS(H227:H256,J227:J256,"引")+SUMIFS(U227:U256,W227:W256,"引")</f>
        <v>0</v>
      </c>
      <c r="BS3" s="702">
        <f>SUMIFS(H13:H22,J13:J22,"一")+SUMIFS(U13:U22,W13:W22,"一")+SUMIFS(H55:H84,J55:J84,"一")+SUMIFS(U55:U84,W55:W84,"一")+SUMIFS(H98:H127,J98:J127,"一")+SUMIFS(U98:U127,W98:W127,"一")+SUMIFS(H141:H170,J141:J170,"一")+SUMIFS(U141:U170,W141:W170,"一")+SUMIFS(H184:H213,J184:J213,"一")+SUMIFS(U184:U213,W184:W213,"一")+SUMIFS(H227:H256,J227:J256,"一")+SUMIFS(U227:U256,W227:W256,"一")</f>
        <v>0</v>
      </c>
      <c r="BT3" s="702">
        <f>SUM(BP3:BS3)</f>
        <v>0</v>
      </c>
      <c r="BU3" s="702"/>
      <c r="BV3" s="702"/>
      <c r="BW3" s="702"/>
      <c r="BX3" s="703"/>
      <c r="BY3" s="703"/>
      <c r="CC3" s="695" t="s">
        <v>1680</v>
      </c>
      <c r="CD3" s="702">
        <f>BP3-BT38</f>
        <v>0</v>
      </c>
      <c r="CE3" s="695">
        <f>IF(OR(CD3="",CD3=0),0,117)</f>
        <v>0</v>
      </c>
      <c r="CF3" s="704">
        <v>330</v>
      </c>
      <c r="CG3" s="520">
        <v>117</v>
      </c>
      <c r="CH3" s="695">
        <v>1</v>
      </c>
      <c r="CI3" s="701" t="str">
        <f t="shared" ref="CI3:CI17" si="0">INDEX($CC$3:$CC$119,MATCH($CK3,$CE$3:$CE$119,0))</f>
        <v>小・泊</v>
      </c>
      <c r="CJ3" s="701">
        <f t="shared" ref="CJ3:CJ17" si="1">INDEX($CD$3:$CD$119,MATCH($CK3,$CE$3:$CE$119,0))</f>
        <v>0</v>
      </c>
      <c r="CK3" s="696">
        <f t="shared" ref="CK3:CK17" si="2">LARGE($CE$3:$CE$119,ROW(A1))</f>
        <v>0</v>
      </c>
      <c r="CM3" s="695">
        <v>1</v>
      </c>
      <c r="CN3" s="520" t="str">
        <f>INDEX($CC$11:$CC$118,MATCH($CP3,$CE$11:$CE$118,0))</f>
        <v>小泊/準</v>
      </c>
      <c r="CO3" s="520">
        <f>INDEX($CD$11:$CD$118,MATCH($CP3,$CE$11:$CE$118,0))</f>
        <v>0</v>
      </c>
      <c r="CP3" s="520">
        <f>LARGE($CE$11:$CE$118,ROW(A1))</f>
        <v>0</v>
      </c>
      <c r="CQ3" s="520">
        <f>INDEX($CF$11:$CF$118,MATCH($CP3,$CE$11:$CE$118,0))</f>
        <v>330</v>
      </c>
    </row>
    <row r="4" spans="1:95" ht="36" customHeight="1">
      <c r="A4" s="176" t="s">
        <v>71</v>
      </c>
      <c r="B4" s="176"/>
      <c r="C4" s="1851">
        <f>'01 使用承認申請書'!D4</f>
        <v>0</v>
      </c>
      <c r="D4" s="1851"/>
      <c r="E4" s="1851"/>
      <c r="F4" s="1851"/>
      <c r="G4" s="1851"/>
      <c r="H4" s="1851"/>
      <c r="I4" s="1851"/>
      <c r="J4" s="1851"/>
      <c r="K4" s="1851"/>
      <c r="L4" s="1851"/>
      <c r="M4" s="1851"/>
      <c r="N4" s="1851"/>
      <c r="O4" s="1851"/>
      <c r="P4" s="1851"/>
      <c r="Q4" s="1851"/>
      <c r="R4" s="1851"/>
      <c r="S4" s="1851"/>
      <c r="T4" s="1851"/>
      <c r="U4" s="178"/>
      <c r="V4" s="178"/>
      <c r="W4" s="178"/>
      <c r="X4" s="178"/>
      <c r="Y4" s="178"/>
      <c r="Z4" s="178"/>
      <c r="AA4" s="1881" t="s">
        <v>71</v>
      </c>
      <c r="AB4" s="1881"/>
      <c r="AC4" s="1755" t="s">
        <v>70</v>
      </c>
      <c r="AD4" s="1755"/>
      <c r="AE4" s="1755"/>
      <c r="AF4" s="1755"/>
      <c r="AG4" s="1755"/>
      <c r="AH4" s="1755"/>
      <c r="AI4" s="1755"/>
      <c r="AJ4" s="1755"/>
      <c r="AK4" s="1755"/>
      <c r="AL4" s="1755"/>
      <c r="AM4" s="1755"/>
      <c r="AN4" s="1755"/>
      <c r="AO4" s="1755"/>
      <c r="AP4" s="1755"/>
      <c r="AQ4" s="1755"/>
      <c r="AR4" s="1755"/>
      <c r="AS4" s="1755"/>
      <c r="AT4" s="1755"/>
      <c r="AU4" s="178"/>
      <c r="AV4" s="178"/>
      <c r="AW4" s="178"/>
      <c r="AX4" s="178"/>
      <c r="AY4" s="178"/>
      <c r="AZ4" s="178"/>
      <c r="BA4" s="705"/>
      <c r="BD4" s="520" t="s">
        <v>289</v>
      </c>
      <c r="BF4" s="695" t="s">
        <v>380</v>
      </c>
      <c r="BO4" s="695" t="s">
        <v>39</v>
      </c>
      <c r="BP4" s="702">
        <f>SUMIFS(I13:I22,J13:J22,"小")+SUMIFS(V13:V22,W13:W22,"小")+SUMIFS(I55:I84,J55:J84,"小")+SUMIFS(V55:V84,W55:W84,"小")+SUMIFS(I98:I127,J98:J127,"小")+SUMIFS(V98:V127,W98:W127,"小")+SUMIFS(I141:I170,J141:J170,"小")+SUMIFS(V141:V170,W141:W170,"小")+SUMIFS(I184:I213,J184:J213,"小")+SUMIFS(V184:V213,W184:W213,"小")+SUMIFS(I227:I256,J227:J256,"小")+SUMIFS(V227:V256,W227:W256,"小")</f>
        <v>0</v>
      </c>
      <c r="BQ4" s="702">
        <f>SUMIFS(I13:I22,J13:J22,"中")+SUMIFS(V13:V22,W13:W22,"中")+SUMIFS(I55:I84,J55:J84,"中")+SUMIFS(V55:V84,W55:W84,"中")+SUMIFS(I98:I127,J98:J127,"中")+SUMIFS(V98:V127,W98:W127,"中")+SUMIFS(I141:I170,J141:J170,"中")+SUMIFS(V141:V170,W141:W170,"中")+SUMIFS(I184:I213,J184:J213,"中")+SUMIFS(V184:V213,W184:W213,"中")+SUMIFS(I227:I256,J227:J256,"中")+SUMIFS(V227:V256,W227:W256,"中")</f>
        <v>0</v>
      </c>
      <c r="BR4" s="702">
        <f>SUMIFS(I13:I22,J13:J22,"引")+SUMIFS(V13:V22,W13:W22,"引")+SUMIFS(I55:I84,J55:J84,"引")+SUMIFS(V55:V84,W55:W84,"引")+SUMIFS(I98:I127,J98:J127,"引")+SUMIFS(V98:V127,W98:W127,"引")+SUMIFS(I141:I170,J141:J170,"引")+SUMIFS(V141:V170,W141:W170,"引")+SUMIFS(I184:I213,J184:J213,"引")+SUMIFS(V184:V213,W184:W213,"引")+SUMIFS(I227:I256,J227:J256,"引")+SUMIFS(V227:V256,W227:W256,"引")</f>
        <v>0</v>
      </c>
      <c r="BS4" s="702">
        <f>SUMIFS(I13:I22,J13:J22,"一")+SUMIFS(V13:V22,W13:W22,"一")+SUMIFS(I55:I84,J55:J84,"一")+SUMIFS(V55:V84,W55:W84,"一")+SUMIFS(I98:I127,J98:J127,"一")+SUMIFS(V98:V127,W98:W127,"一")+SUMIFS(I141:I170,J141:J170,"一")+SUMIFS(V141:V170,W141:W170,"一")+SUMIFS(I184:I213,J184:J213,"一")+SUMIFS(V184:V213,W184:W213,"一")+SUMIFS(I227:I256,J227:J256,"一")+SUMIFS(V227:V256,W227:W256,"一")</f>
        <v>0</v>
      </c>
      <c r="BT4" s="702">
        <f>SUM(BP4:BS4)</f>
        <v>0</v>
      </c>
      <c r="BU4" s="702"/>
      <c r="BV4" s="702"/>
      <c r="BW4" s="702"/>
      <c r="BX4" s="706"/>
      <c r="BY4" s="706"/>
      <c r="CC4" s="695" t="s">
        <v>1671</v>
      </c>
      <c r="CD4" s="702">
        <f>BP4-BU38</f>
        <v>0</v>
      </c>
      <c r="CE4" s="695">
        <f>IF(OR(CD4="",CD4=0),0,90)</f>
        <v>0</v>
      </c>
      <c r="CF4" s="704">
        <v>110</v>
      </c>
      <c r="CG4" s="707">
        <v>90</v>
      </c>
      <c r="CH4" s="695">
        <v>2</v>
      </c>
      <c r="CI4" s="701" t="str">
        <f t="shared" si="0"/>
        <v>小・泊</v>
      </c>
      <c r="CJ4" s="701">
        <f t="shared" si="1"/>
        <v>0</v>
      </c>
      <c r="CK4" s="696">
        <f t="shared" si="2"/>
        <v>0</v>
      </c>
      <c r="CM4" s="695">
        <v>2</v>
      </c>
      <c r="CN4" s="520" t="str">
        <f t="shared" ref="CN4:CN9" si="3">INDEX($CC$11:$CC$118,MATCH($CP4,$CE$11:$CE$118,0))</f>
        <v>小泊/準</v>
      </c>
      <c r="CO4" s="520">
        <f t="shared" ref="CO4:CO9" si="4">INDEX($CD$11:$CD$118,MATCH($CP4,$CE$11:$CE$118,0))</f>
        <v>0</v>
      </c>
      <c r="CP4" s="520">
        <f t="shared" ref="CP4:CP9" si="5">LARGE($CE$11:$CE$118,ROW(A2))</f>
        <v>0</v>
      </c>
      <c r="CQ4" s="520">
        <f t="shared" ref="CQ4:CQ9" si="6">INDEX($CF$11:$CF$118,MATCH($CP4,$CE$11:$CE$118,0))</f>
        <v>330</v>
      </c>
    </row>
    <row r="5" spans="1:95" ht="15.95" customHeight="1">
      <c r="A5" s="1203" t="s">
        <v>69</v>
      </c>
      <c r="B5" s="1203"/>
      <c r="C5" s="1725" t="str">
        <f>'01 使用承認申請書'!B12</f>
        <v>令和</v>
      </c>
      <c r="D5" s="1725">
        <f>'01 使用承認申請書'!F12</f>
        <v>0</v>
      </c>
      <c r="E5" s="1634" t="s">
        <v>14</v>
      </c>
      <c r="F5" s="1725">
        <f>'01 使用承認申請書'!C14</f>
        <v>0</v>
      </c>
      <c r="G5" s="1634" t="s">
        <v>13</v>
      </c>
      <c r="H5" s="1825">
        <f>'01 使用承認申請書'!F14</f>
        <v>0</v>
      </c>
      <c r="I5" s="1634" t="s">
        <v>12</v>
      </c>
      <c r="J5" s="1634" t="s">
        <v>290</v>
      </c>
      <c r="K5" s="1825">
        <f>'01 使用承認申請書'!J14</f>
        <v>0</v>
      </c>
      <c r="L5" s="1634" t="s">
        <v>291</v>
      </c>
      <c r="M5" s="1634" t="s">
        <v>27</v>
      </c>
      <c r="N5" s="1825">
        <f>'01 使用承認申請書'!C16</f>
        <v>0</v>
      </c>
      <c r="O5" s="1634" t="s">
        <v>13</v>
      </c>
      <c r="P5" s="1825">
        <f>'01 使用承認申請書'!F16</f>
        <v>0</v>
      </c>
      <c r="Q5" s="1634" t="s">
        <v>12</v>
      </c>
      <c r="R5" s="1634" t="s">
        <v>292</v>
      </c>
      <c r="S5" s="1825">
        <f>'01 使用承認申請書'!J16</f>
        <v>0</v>
      </c>
      <c r="T5" s="1634" t="s">
        <v>293</v>
      </c>
      <c r="U5" s="1819"/>
      <c r="V5" s="1819"/>
      <c r="W5" s="187">
        <f>'01 使用承認申請書'!L13</f>
        <v>0</v>
      </c>
      <c r="X5" s="153" t="s">
        <v>38</v>
      </c>
      <c r="Y5" s="187">
        <f>'01 使用承認申請書'!Q13</f>
        <v>0</v>
      </c>
      <c r="Z5" s="153" t="s">
        <v>12</v>
      </c>
      <c r="AA5" s="1883" t="s">
        <v>69</v>
      </c>
      <c r="AB5" s="1883"/>
      <c r="AC5" s="1884" t="s">
        <v>3019</v>
      </c>
      <c r="AD5" s="1884"/>
      <c r="AE5" s="1819" t="s">
        <v>14</v>
      </c>
      <c r="AF5" s="1882" t="s">
        <v>294</v>
      </c>
      <c r="AG5" s="1819" t="s">
        <v>13</v>
      </c>
      <c r="AH5" s="1754" t="s">
        <v>2671</v>
      </c>
      <c r="AI5" s="1819" t="s">
        <v>12</v>
      </c>
      <c r="AJ5" s="1819" t="s">
        <v>295</v>
      </c>
      <c r="AK5" s="1754" t="s">
        <v>2662</v>
      </c>
      <c r="AL5" s="1819" t="s">
        <v>296</v>
      </c>
      <c r="AM5" s="1819" t="s">
        <v>297</v>
      </c>
      <c r="AN5" s="1754" t="s">
        <v>298</v>
      </c>
      <c r="AO5" s="1819" t="s">
        <v>13</v>
      </c>
      <c r="AP5" s="1754" t="s">
        <v>2661</v>
      </c>
      <c r="AQ5" s="1819" t="s">
        <v>12</v>
      </c>
      <c r="AR5" s="1819" t="s">
        <v>290</v>
      </c>
      <c r="AS5" s="1754" t="s">
        <v>2663</v>
      </c>
      <c r="AT5" s="1819" t="s">
        <v>299</v>
      </c>
      <c r="AU5" s="1819"/>
      <c r="AV5" s="1819"/>
      <c r="AW5" s="187">
        <v>1</v>
      </c>
      <c r="AX5" s="153" t="s">
        <v>38</v>
      </c>
      <c r="AY5" s="187">
        <v>2</v>
      </c>
      <c r="AZ5" s="153" t="s">
        <v>12</v>
      </c>
      <c r="BD5" s="520" t="s">
        <v>300</v>
      </c>
      <c r="BF5" s="695" t="s">
        <v>379</v>
      </c>
      <c r="BO5" s="695" t="s">
        <v>1725</v>
      </c>
      <c r="BP5" s="702">
        <f>SUM(BP3:BP4)</f>
        <v>0</v>
      </c>
      <c r="BQ5" s="702">
        <f>SUM(BQ3:BQ4)</f>
        <v>0</v>
      </c>
      <c r="BR5" s="702">
        <f>SUM(BR3:BR4)</f>
        <v>0</v>
      </c>
      <c r="BS5" s="702">
        <f>SUM(BS3:BS4)</f>
        <v>0</v>
      </c>
      <c r="BT5" s="702">
        <f>SUM(BT3:BT4)</f>
        <v>0</v>
      </c>
      <c r="CC5" s="695" t="s">
        <v>1681</v>
      </c>
      <c r="CD5" s="702">
        <f>BQ3-BV38</f>
        <v>0</v>
      </c>
      <c r="CE5" s="695">
        <f>IF(OR(CD5="",CD5=0),0,63)</f>
        <v>0</v>
      </c>
      <c r="CF5" s="704">
        <v>330</v>
      </c>
      <c r="CG5" s="708">
        <v>63</v>
      </c>
      <c r="CH5" s="695">
        <v>3</v>
      </c>
      <c r="CI5" s="701" t="str">
        <f t="shared" si="0"/>
        <v>小・泊</v>
      </c>
      <c r="CJ5" s="701">
        <f t="shared" si="1"/>
        <v>0</v>
      </c>
      <c r="CK5" s="696">
        <f t="shared" si="2"/>
        <v>0</v>
      </c>
      <c r="CM5" s="695">
        <v>3</v>
      </c>
      <c r="CN5" s="520" t="str">
        <f t="shared" si="3"/>
        <v>小泊/準</v>
      </c>
      <c r="CO5" s="520">
        <f t="shared" si="4"/>
        <v>0</v>
      </c>
      <c r="CP5" s="520">
        <f t="shared" si="5"/>
        <v>0</v>
      </c>
      <c r="CQ5" s="520">
        <f t="shared" si="6"/>
        <v>330</v>
      </c>
    </row>
    <row r="6" spans="1:95" ht="15.95" customHeight="1">
      <c r="A6" s="1144"/>
      <c r="B6" s="1144"/>
      <c r="C6" s="1726"/>
      <c r="D6" s="1726"/>
      <c r="E6" s="1880"/>
      <c r="F6" s="1726"/>
      <c r="G6" s="1880"/>
      <c r="H6" s="1726"/>
      <c r="I6" s="1880"/>
      <c r="J6" s="1880"/>
      <c r="K6" s="1726"/>
      <c r="L6" s="1880"/>
      <c r="M6" s="1880"/>
      <c r="N6" s="1726"/>
      <c r="O6" s="1880"/>
      <c r="P6" s="1726"/>
      <c r="Q6" s="1880"/>
      <c r="R6" s="1880"/>
      <c r="S6" s="1726"/>
      <c r="T6" s="1880"/>
      <c r="U6" s="1819"/>
      <c r="V6" s="1819"/>
      <c r="W6" s="1819" t="s">
        <v>39</v>
      </c>
      <c r="X6" s="1819"/>
      <c r="Y6" s="189" t="str">
        <f>CONCATENATE('01 使用承認申請書'!V13)</f>
        <v/>
      </c>
      <c r="Z6" s="153" t="s">
        <v>12</v>
      </c>
      <c r="AA6" s="1881"/>
      <c r="AB6" s="1881"/>
      <c r="AC6" s="1885"/>
      <c r="AD6" s="1885"/>
      <c r="AE6" s="1820"/>
      <c r="AF6" s="1755"/>
      <c r="AG6" s="1820"/>
      <c r="AH6" s="1755"/>
      <c r="AI6" s="1820"/>
      <c r="AJ6" s="1820"/>
      <c r="AK6" s="1755"/>
      <c r="AL6" s="1820"/>
      <c r="AM6" s="1820"/>
      <c r="AN6" s="1755"/>
      <c r="AO6" s="1820"/>
      <c r="AP6" s="1755"/>
      <c r="AQ6" s="1820"/>
      <c r="AR6" s="1820"/>
      <c r="AS6" s="1755"/>
      <c r="AT6" s="1820"/>
      <c r="AU6" s="1819"/>
      <c r="AV6" s="1819"/>
      <c r="AW6" s="1819" t="s">
        <v>39</v>
      </c>
      <c r="AX6" s="1819"/>
      <c r="AY6" s="189"/>
      <c r="AZ6" s="153" t="s">
        <v>12</v>
      </c>
      <c r="BD6" s="520" t="s">
        <v>301</v>
      </c>
      <c r="BF6" s="695" t="s">
        <v>378</v>
      </c>
      <c r="BN6" s="1727" t="s">
        <v>395</v>
      </c>
      <c r="BO6" s="1727"/>
      <c r="BP6" s="702">
        <f>BP5-SUM(BT39:BU39)</f>
        <v>0</v>
      </c>
      <c r="BQ6" s="702">
        <f>BQ5-SUM(BV39:BW39)</f>
        <v>0</v>
      </c>
      <c r="BR6" s="702">
        <f>BR5-SUM(BX39,BY39)</f>
        <v>0</v>
      </c>
      <c r="BS6" s="709">
        <f>(BS5-(BG70+BZ17+CA17))</f>
        <v>0</v>
      </c>
      <c r="CC6" s="695" t="s">
        <v>1674</v>
      </c>
      <c r="CD6" s="702">
        <f>BQ4-BW38</f>
        <v>0</v>
      </c>
      <c r="CE6" s="695">
        <f>IF(OR(CD6="",CD6=0),0,36)</f>
        <v>0</v>
      </c>
      <c r="CF6" s="704">
        <v>110</v>
      </c>
      <c r="CG6" s="710">
        <v>36</v>
      </c>
      <c r="CH6" s="695">
        <v>4</v>
      </c>
      <c r="CI6" s="701" t="str">
        <f t="shared" si="0"/>
        <v>小・泊</v>
      </c>
      <c r="CJ6" s="701">
        <f t="shared" si="1"/>
        <v>0</v>
      </c>
      <c r="CK6" s="696">
        <f t="shared" si="2"/>
        <v>0</v>
      </c>
      <c r="CM6" s="695">
        <v>4</v>
      </c>
      <c r="CN6" s="520" t="str">
        <f t="shared" si="3"/>
        <v>小泊/準</v>
      </c>
      <c r="CO6" s="520">
        <f t="shared" si="4"/>
        <v>0</v>
      </c>
      <c r="CP6" s="520">
        <f t="shared" si="5"/>
        <v>0</v>
      </c>
      <c r="CQ6" s="520">
        <f t="shared" si="6"/>
        <v>330</v>
      </c>
    </row>
    <row r="7" spans="1:95" ht="24.95" customHeight="1">
      <c r="A7" s="190"/>
      <c r="B7" s="190"/>
      <c r="C7" s="190"/>
      <c r="D7" s="190"/>
      <c r="E7" s="190"/>
      <c r="F7" s="190"/>
      <c r="G7" s="190"/>
      <c r="H7" s="190"/>
      <c r="I7" s="190"/>
      <c r="J7" s="190"/>
      <c r="K7" s="190"/>
      <c r="L7" s="190"/>
      <c r="M7" s="190"/>
      <c r="N7" s="190"/>
      <c r="O7" s="190"/>
      <c r="P7" s="190"/>
      <c r="Q7" s="190"/>
      <c r="R7" s="190"/>
      <c r="S7" s="190"/>
      <c r="T7" s="190"/>
      <c r="U7" s="191"/>
      <c r="V7" s="191"/>
      <c r="W7" s="191"/>
      <c r="X7" s="191"/>
      <c r="Y7" s="191"/>
      <c r="Z7" s="191"/>
      <c r="AA7" s="1883"/>
      <c r="AB7" s="1883"/>
      <c r="AC7" s="1883"/>
      <c r="AD7" s="1883"/>
      <c r="AE7" s="1883"/>
      <c r="AF7" s="1883"/>
      <c r="AG7" s="1883"/>
      <c r="AH7" s="1883"/>
      <c r="AI7" s="1883"/>
      <c r="AJ7" s="1883"/>
      <c r="AK7" s="1883"/>
      <c r="AL7" s="1883"/>
      <c r="AM7" s="1883"/>
      <c r="AN7" s="1883"/>
      <c r="AO7" s="1883"/>
      <c r="AP7" s="1883"/>
      <c r="AQ7" s="1883"/>
      <c r="AR7" s="1883"/>
      <c r="AS7" s="1883"/>
      <c r="AT7" s="1883"/>
      <c r="AU7" s="1271"/>
      <c r="AV7" s="1271"/>
      <c r="AW7" s="1271"/>
      <c r="AX7" s="1271"/>
      <c r="AY7" s="1271"/>
      <c r="AZ7" s="1271"/>
      <c r="BA7" s="711"/>
      <c r="BD7" s="520" t="s">
        <v>302</v>
      </c>
      <c r="BF7" s="695" t="s">
        <v>2838</v>
      </c>
      <c r="BN7" s="1727" t="s">
        <v>1231</v>
      </c>
      <c r="BO7" s="1727"/>
      <c r="BR7" s="702">
        <f>(BY39-BR4)*-1</f>
        <v>0</v>
      </c>
      <c r="BS7" s="709">
        <f>BS3-BS10</f>
        <v>0</v>
      </c>
      <c r="CC7" s="695" t="s">
        <v>1682</v>
      </c>
      <c r="CD7" s="702">
        <f>BR3-BX38</f>
        <v>0</v>
      </c>
      <c r="CE7" s="695">
        <f>IF(OR(CD7="",CD7=0),0,9)</f>
        <v>0</v>
      </c>
      <c r="CF7" s="704">
        <v>330</v>
      </c>
      <c r="CG7" s="520">
        <v>9</v>
      </c>
      <c r="CH7" s="695">
        <v>5</v>
      </c>
      <c r="CI7" s="701" t="str">
        <f t="shared" si="0"/>
        <v>小・泊</v>
      </c>
      <c r="CJ7" s="701">
        <f t="shared" si="1"/>
        <v>0</v>
      </c>
      <c r="CK7" s="696">
        <f t="shared" si="2"/>
        <v>0</v>
      </c>
      <c r="CM7" s="695">
        <v>5</v>
      </c>
      <c r="CN7" s="520" t="str">
        <f t="shared" si="3"/>
        <v>小泊/準</v>
      </c>
      <c r="CO7" s="520">
        <f t="shared" si="4"/>
        <v>0</v>
      </c>
      <c r="CP7" s="520">
        <f t="shared" si="5"/>
        <v>0</v>
      </c>
      <c r="CQ7" s="520">
        <f t="shared" si="6"/>
        <v>330</v>
      </c>
    </row>
    <row r="8" spans="1:95" ht="13.5" customHeight="1">
      <c r="A8" s="1786" t="s">
        <v>303</v>
      </c>
      <c r="B8" s="1729" t="s">
        <v>108</v>
      </c>
      <c r="C8" s="1730"/>
      <c r="D8" s="1730"/>
      <c r="E8" s="1730"/>
      <c r="F8" s="1730"/>
      <c r="G8" s="1848"/>
      <c r="H8" s="1847" t="s">
        <v>109</v>
      </c>
      <c r="I8" s="1848"/>
      <c r="J8" s="1729" t="s">
        <v>110</v>
      </c>
      <c r="K8" s="1730"/>
      <c r="L8" s="1730"/>
      <c r="M8" s="1731"/>
      <c r="N8" s="1877" t="s">
        <v>304</v>
      </c>
      <c r="O8" s="1729" t="s">
        <v>108</v>
      </c>
      <c r="P8" s="1730"/>
      <c r="Q8" s="1730"/>
      <c r="R8" s="1730"/>
      <c r="S8" s="1730"/>
      <c r="T8" s="1848"/>
      <c r="U8" s="1847" t="s">
        <v>109</v>
      </c>
      <c r="V8" s="1848"/>
      <c r="W8" s="1729" t="s">
        <v>110</v>
      </c>
      <c r="X8" s="1730"/>
      <c r="Y8" s="1730"/>
      <c r="Z8" s="1731"/>
      <c r="AA8" s="1786" t="s">
        <v>305</v>
      </c>
      <c r="AB8" s="1729" t="s">
        <v>108</v>
      </c>
      <c r="AC8" s="1730"/>
      <c r="AD8" s="1730"/>
      <c r="AE8" s="1730"/>
      <c r="AF8" s="1730"/>
      <c r="AG8" s="1848"/>
      <c r="AH8" s="1847" t="s">
        <v>109</v>
      </c>
      <c r="AI8" s="1848"/>
      <c r="AJ8" s="1729" t="s">
        <v>110</v>
      </c>
      <c r="AK8" s="1730"/>
      <c r="AL8" s="1730"/>
      <c r="AM8" s="1731"/>
      <c r="AN8" s="1858" t="s">
        <v>306</v>
      </c>
      <c r="AO8" s="1729" t="s">
        <v>108</v>
      </c>
      <c r="AP8" s="1730"/>
      <c r="AQ8" s="1730"/>
      <c r="AR8" s="1730"/>
      <c r="AS8" s="1730"/>
      <c r="AT8" s="1848"/>
      <c r="AU8" s="1847" t="s">
        <v>109</v>
      </c>
      <c r="AV8" s="1848"/>
      <c r="AW8" s="1729" t="s">
        <v>110</v>
      </c>
      <c r="AX8" s="1730"/>
      <c r="AY8" s="1730"/>
      <c r="AZ8" s="1731"/>
      <c r="BA8" s="695"/>
      <c r="BD8" s="520" t="s">
        <v>307</v>
      </c>
      <c r="BF8" s="520">
        <f>IF(BI74=TRUE,0,H13)</f>
        <v>0</v>
      </c>
      <c r="BN8" s="1727" t="s">
        <v>1232</v>
      </c>
      <c r="BO8" s="1727"/>
      <c r="BS8" s="709"/>
      <c r="CC8" s="695" t="s">
        <v>1683</v>
      </c>
      <c r="CD8" s="702">
        <f>BR4-BY38</f>
        <v>0</v>
      </c>
      <c r="CE8" s="695">
        <f>IF(OR(CD8="",CD8=0),0,7)</f>
        <v>0</v>
      </c>
      <c r="CF8" s="704">
        <v>110</v>
      </c>
      <c r="CG8" s="520">
        <v>7</v>
      </c>
      <c r="CH8" s="695">
        <v>6</v>
      </c>
      <c r="CI8" s="701" t="str">
        <f t="shared" si="0"/>
        <v>小・泊</v>
      </c>
      <c r="CJ8" s="701">
        <f t="shared" si="1"/>
        <v>0</v>
      </c>
      <c r="CK8" s="696">
        <f t="shared" si="2"/>
        <v>0</v>
      </c>
      <c r="CM8" s="695">
        <v>6</v>
      </c>
      <c r="CN8" s="520" t="str">
        <f t="shared" si="3"/>
        <v>小泊/準</v>
      </c>
      <c r="CO8" s="520">
        <f t="shared" si="4"/>
        <v>0</v>
      </c>
      <c r="CP8" s="520">
        <f t="shared" si="5"/>
        <v>0</v>
      </c>
      <c r="CQ8" s="520">
        <f t="shared" si="6"/>
        <v>330</v>
      </c>
    </row>
    <row r="9" spans="1:95" ht="13.5" customHeight="1">
      <c r="A9" s="1786"/>
      <c r="B9" s="1855"/>
      <c r="C9" s="1856"/>
      <c r="D9" s="1856"/>
      <c r="E9" s="1856"/>
      <c r="F9" s="1856"/>
      <c r="G9" s="1857"/>
      <c r="H9" s="1732"/>
      <c r="I9" s="1849"/>
      <c r="J9" s="1732"/>
      <c r="K9" s="1733"/>
      <c r="L9" s="1733"/>
      <c r="M9" s="1734"/>
      <c r="N9" s="1841"/>
      <c r="O9" s="1855"/>
      <c r="P9" s="1856"/>
      <c r="Q9" s="1856"/>
      <c r="R9" s="1856"/>
      <c r="S9" s="1856"/>
      <c r="T9" s="1857"/>
      <c r="U9" s="1732"/>
      <c r="V9" s="1849"/>
      <c r="W9" s="1732"/>
      <c r="X9" s="1733"/>
      <c r="Y9" s="1733"/>
      <c r="Z9" s="1734"/>
      <c r="AA9" s="1786"/>
      <c r="AB9" s="1855"/>
      <c r="AC9" s="1856"/>
      <c r="AD9" s="1856"/>
      <c r="AE9" s="1856"/>
      <c r="AF9" s="1856"/>
      <c r="AG9" s="1857"/>
      <c r="AH9" s="1732"/>
      <c r="AI9" s="1849"/>
      <c r="AJ9" s="1732"/>
      <c r="AK9" s="1733"/>
      <c r="AL9" s="1733"/>
      <c r="AM9" s="1734"/>
      <c r="AN9" s="1859"/>
      <c r="AO9" s="1855"/>
      <c r="AP9" s="1856"/>
      <c r="AQ9" s="1856"/>
      <c r="AR9" s="1856"/>
      <c r="AS9" s="1856"/>
      <c r="AT9" s="1857"/>
      <c r="AU9" s="1732"/>
      <c r="AV9" s="1849"/>
      <c r="AW9" s="1732"/>
      <c r="AX9" s="1733"/>
      <c r="AY9" s="1733"/>
      <c r="AZ9" s="1734"/>
      <c r="BA9" s="695"/>
      <c r="BD9" s="520" t="s">
        <v>308</v>
      </c>
      <c r="BN9" s="1727" t="s">
        <v>1723</v>
      </c>
      <c r="BO9" s="1727"/>
      <c r="BS9" s="709">
        <f>CA17</f>
        <v>0</v>
      </c>
      <c r="CC9" s="695" t="s">
        <v>1684</v>
      </c>
      <c r="CD9" s="702">
        <f>BS3-BZ38</f>
        <v>0</v>
      </c>
      <c r="CE9" s="695">
        <f>IF(OR(CD9="",CD9=0),0,5)</f>
        <v>0</v>
      </c>
      <c r="CF9" s="704">
        <v>1100</v>
      </c>
      <c r="CG9" s="520">
        <v>5</v>
      </c>
      <c r="CH9" s="695">
        <v>7</v>
      </c>
      <c r="CI9" s="701" t="str">
        <f t="shared" si="0"/>
        <v>小・泊</v>
      </c>
      <c r="CJ9" s="701">
        <f t="shared" si="1"/>
        <v>0</v>
      </c>
      <c r="CK9" s="696">
        <f t="shared" si="2"/>
        <v>0</v>
      </c>
      <c r="CM9" s="695">
        <v>7</v>
      </c>
      <c r="CN9" s="520" t="str">
        <f t="shared" si="3"/>
        <v>小泊/準</v>
      </c>
      <c r="CO9" s="520">
        <f t="shared" si="4"/>
        <v>0</v>
      </c>
      <c r="CP9" s="520">
        <f t="shared" si="5"/>
        <v>0</v>
      </c>
      <c r="CQ9" s="520">
        <f t="shared" si="6"/>
        <v>330</v>
      </c>
    </row>
    <row r="10" spans="1:95" ht="26.1" customHeight="1">
      <c r="A10" s="1786"/>
      <c r="B10" s="1855"/>
      <c r="C10" s="1856"/>
      <c r="D10" s="1856"/>
      <c r="E10" s="1856"/>
      <c r="F10" s="1856"/>
      <c r="G10" s="1857"/>
      <c r="H10" s="1798" t="s">
        <v>40</v>
      </c>
      <c r="I10" s="1796" t="s">
        <v>39</v>
      </c>
      <c r="J10" s="1832" t="s">
        <v>375</v>
      </c>
      <c r="K10" s="1735" t="s">
        <v>374</v>
      </c>
      <c r="L10" s="1736"/>
      <c r="M10" s="1737"/>
      <c r="N10" s="1859"/>
      <c r="O10" s="1855"/>
      <c r="P10" s="1856"/>
      <c r="Q10" s="1856"/>
      <c r="R10" s="1856"/>
      <c r="S10" s="1856"/>
      <c r="T10" s="1857"/>
      <c r="U10" s="1798" t="s">
        <v>40</v>
      </c>
      <c r="V10" s="1796" t="s">
        <v>39</v>
      </c>
      <c r="W10" s="1832" t="s">
        <v>375</v>
      </c>
      <c r="X10" s="1735" t="s">
        <v>374</v>
      </c>
      <c r="Y10" s="1736"/>
      <c r="Z10" s="1737"/>
      <c r="AA10" s="1786"/>
      <c r="AB10" s="1855"/>
      <c r="AC10" s="1856"/>
      <c r="AD10" s="1856"/>
      <c r="AE10" s="1856"/>
      <c r="AF10" s="1856"/>
      <c r="AG10" s="1857"/>
      <c r="AH10" s="1798" t="s">
        <v>40</v>
      </c>
      <c r="AI10" s="1796" t="s">
        <v>39</v>
      </c>
      <c r="AJ10" s="1832" t="s">
        <v>375</v>
      </c>
      <c r="AK10" s="1735" t="s">
        <v>374</v>
      </c>
      <c r="AL10" s="1736"/>
      <c r="AM10" s="1737"/>
      <c r="AN10" s="1859"/>
      <c r="AO10" s="1855"/>
      <c r="AP10" s="1856"/>
      <c r="AQ10" s="1856"/>
      <c r="AR10" s="1856"/>
      <c r="AS10" s="1856"/>
      <c r="AT10" s="1857"/>
      <c r="AU10" s="1798" t="s">
        <v>40</v>
      </c>
      <c r="AV10" s="1796" t="s">
        <v>39</v>
      </c>
      <c r="AW10" s="1832" t="s">
        <v>375</v>
      </c>
      <c r="AX10" s="1735" t="s">
        <v>374</v>
      </c>
      <c r="AY10" s="1736"/>
      <c r="AZ10" s="1737"/>
      <c r="BA10" s="695"/>
      <c r="BD10" s="520" t="s">
        <v>309</v>
      </c>
      <c r="BN10" s="1727" t="s">
        <v>1724</v>
      </c>
      <c r="BO10" s="1727"/>
      <c r="BS10" s="709">
        <f>BZ17</f>
        <v>0</v>
      </c>
      <c r="CC10" s="695" t="s">
        <v>1678</v>
      </c>
      <c r="CD10" s="702">
        <f>BS4-CA38-(BK70*2)</f>
        <v>0</v>
      </c>
      <c r="CE10" s="695">
        <f>IF(OR(CD10="",CD10=0),0,3)</f>
        <v>0</v>
      </c>
      <c r="CF10" s="704">
        <v>350</v>
      </c>
      <c r="CG10" s="520">
        <v>3</v>
      </c>
      <c r="CH10" s="695">
        <v>8</v>
      </c>
      <c r="CI10" s="701" t="str">
        <f t="shared" si="0"/>
        <v>小・泊</v>
      </c>
      <c r="CJ10" s="701">
        <f t="shared" si="1"/>
        <v>0</v>
      </c>
      <c r="CK10" s="696">
        <f t="shared" si="2"/>
        <v>0</v>
      </c>
      <c r="CM10" s="695" t="s">
        <v>1703</v>
      </c>
      <c r="CN10" s="1727">
        <f>SUM(CO3:CO8)</f>
        <v>0</v>
      </c>
      <c r="CO10" s="1727"/>
      <c r="CP10" s="1727"/>
    </row>
    <row r="11" spans="1:95" ht="26.1" customHeight="1">
      <c r="A11" s="1786"/>
      <c r="B11" s="1855"/>
      <c r="C11" s="1856"/>
      <c r="D11" s="1856"/>
      <c r="E11" s="1856"/>
      <c r="F11" s="1856"/>
      <c r="G11" s="1857"/>
      <c r="H11" s="1798"/>
      <c r="I11" s="1796"/>
      <c r="J11" s="1833"/>
      <c r="K11" s="1735"/>
      <c r="L11" s="1736"/>
      <c r="M11" s="1737"/>
      <c r="N11" s="1859"/>
      <c r="O11" s="1855"/>
      <c r="P11" s="1856"/>
      <c r="Q11" s="1856"/>
      <c r="R11" s="1856"/>
      <c r="S11" s="1856"/>
      <c r="T11" s="1857"/>
      <c r="U11" s="1798"/>
      <c r="V11" s="1796"/>
      <c r="W11" s="1833"/>
      <c r="X11" s="1735"/>
      <c r="Y11" s="1736"/>
      <c r="Z11" s="1737"/>
      <c r="AA11" s="1786"/>
      <c r="AB11" s="1855"/>
      <c r="AC11" s="1856"/>
      <c r="AD11" s="1856"/>
      <c r="AE11" s="1856"/>
      <c r="AF11" s="1856"/>
      <c r="AG11" s="1857"/>
      <c r="AH11" s="1798"/>
      <c r="AI11" s="1796"/>
      <c r="AJ11" s="1833"/>
      <c r="AK11" s="1735"/>
      <c r="AL11" s="1736"/>
      <c r="AM11" s="1737"/>
      <c r="AN11" s="1859"/>
      <c r="AO11" s="1855"/>
      <c r="AP11" s="1856"/>
      <c r="AQ11" s="1856"/>
      <c r="AR11" s="1856"/>
      <c r="AS11" s="1856"/>
      <c r="AT11" s="1857"/>
      <c r="AU11" s="1798"/>
      <c r="AV11" s="1796"/>
      <c r="AW11" s="1833"/>
      <c r="AX11" s="1735"/>
      <c r="AY11" s="1736"/>
      <c r="AZ11" s="1737"/>
      <c r="BA11" s="695"/>
      <c r="BD11" s="520" t="s">
        <v>310</v>
      </c>
      <c r="BF11" s="695" t="s">
        <v>343</v>
      </c>
      <c r="BS11" s="695" t="s">
        <v>383</v>
      </c>
      <c r="BT11" s="699" t="s">
        <v>1688</v>
      </c>
      <c r="BU11" s="699" t="s">
        <v>1689</v>
      </c>
      <c r="BV11" s="699" t="s">
        <v>1690</v>
      </c>
      <c r="BW11" s="699" t="s">
        <v>1691</v>
      </c>
      <c r="BX11" s="699" t="s">
        <v>1692</v>
      </c>
      <c r="BY11" s="699" t="s">
        <v>1693</v>
      </c>
      <c r="BZ11" s="699" t="s">
        <v>1694</v>
      </c>
      <c r="CA11" s="699" t="s">
        <v>1695</v>
      </c>
      <c r="CC11" s="695" t="str">
        <f t="shared" ref="CC11:CC36" si="7">$BT$11&amp;BF12</f>
        <v>小泊/準</v>
      </c>
      <c r="CD11" s="712">
        <f>BT12</f>
        <v>0</v>
      </c>
      <c r="CE11" s="695">
        <f>IF(OR(BT12="",BT12=0),0,116)</f>
        <v>0</v>
      </c>
      <c r="CF11" s="695">
        <v>330</v>
      </c>
      <c r="CG11" s="707">
        <v>116</v>
      </c>
      <c r="CH11" s="695">
        <v>9</v>
      </c>
      <c r="CI11" s="701" t="str">
        <f t="shared" si="0"/>
        <v>小・泊</v>
      </c>
      <c r="CJ11" s="701">
        <f t="shared" si="1"/>
        <v>0</v>
      </c>
      <c r="CK11" s="696">
        <f t="shared" si="2"/>
        <v>0</v>
      </c>
    </row>
    <row r="12" spans="1:95" ht="26.1" customHeight="1">
      <c r="A12" s="1786"/>
      <c r="B12" s="1732"/>
      <c r="C12" s="1733"/>
      <c r="D12" s="1733"/>
      <c r="E12" s="1733"/>
      <c r="F12" s="1733"/>
      <c r="G12" s="1849"/>
      <c r="H12" s="1798"/>
      <c r="I12" s="1796"/>
      <c r="J12" s="1833"/>
      <c r="K12" s="1738"/>
      <c r="L12" s="1739"/>
      <c r="M12" s="1740"/>
      <c r="N12" s="1860"/>
      <c r="O12" s="1732"/>
      <c r="P12" s="1733"/>
      <c r="Q12" s="1733"/>
      <c r="R12" s="1733"/>
      <c r="S12" s="1733"/>
      <c r="T12" s="1849"/>
      <c r="U12" s="1798"/>
      <c r="V12" s="1796"/>
      <c r="W12" s="1833"/>
      <c r="X12" s="1738"/>
      <c r="Y12" s="1739"/>
      <c r="Z12" s="1740"/>
      <c r="AA12" s="1786"/>
      <c r="AB12" s="1732"/>
      <c r="AC12" s="1733"/>
      <c r="AD12" s="1733"/>
      <c r="AE12" s="1733"/>
      <c r="AF12" s="1733"/>
      <c r="AG12" s="1849"/>
      <c r="AH12" s="1798"/>
      <c r="AI12" s="1796"/>
      <c r="AJ12" s="1833"/>
      <c r="AK12" s="1738"/>
      <c r="AL12" s="1739"/>
      <c r="AM12" s="1740"/>
      <c r="AN12" s="1860"/>
      <c r="AO12" s="1732"/>
      <c r="AP12" s="1733"/>
      <c r="AQ12" s="1733"/>
      <c r="AR12" s="1733"/>
      <c r="AS12" s="1733"/>
      <c r="AT12" s="1849"/>
      <c r="AU12" s="1798"/>
      <c r="AV12" s="1796"/>
      <c r="AW12" s="1833"/>
      <c r="AX12" s="1738"/>
      <c r="AY12" s="1739"/>
      <c r="AZ12" s="1740"/>
      <c r="BA12" s="695"/>
      <c r="BD12" s="520" t="s">
        <v>311</v>
      </c>
      <c r="BF12" s="713" t="s">
        <v>344</v>
      </c>
      <c r="BG12" s="707">
        <f>COUNTIF(K13:M22,"準")</f>
        <v>0</v>
      </c>
      <c r="BH12" s="714">
        <f>COUNTIF(X13:$Z$22,"準")</f>
        <v>0</v>
      </c>
      <c r="BI12" s="715">
        <f>COUNTIF(K55:$M$84,"準")</f>
        <v>0</v>
      </c>
      <c r="BJ12" s="715">
        <f>COUNTIF(X55:$Z$84,"準")</f>
        <v>0</v>
      </c>
      <c r="BK12" s="715">
        <f>COUNTIF(K98:$M$127,"準")</f>
        <v>0</v>
      </c>
      <c r="BL12" s="715">
        <f>COUNTIF(X98:$Z$127,"準")</f>
        <v>0</v>
      </c>
      <c r="BM12" s="715">
        <f>COUNTIF(K141:$M$170,"準")</f>
        <v>0</v>
      </c>
      <c r="BN12" s="715">
        <f>COUNTIF(X141:$Z$170,"準")</f>
        <v>0</v>
      </c>
      <c r="BO12" s="715">
        <f>COUNTIF(K184:$M$213,"準")</f>
        <v>0</v>
      </c>
      <c r="BP12" s="715">
        <f>COUNTIF(X184:$Z$213,"準")</f>
        <v>0</v>
      </c>
      <c r="BQ12" s="715">
        <f>COUNTIF(K227:$M$256,"準")</f>
        <v>0</v>
      </c>
      <c r="BR12" s="715">
        <f>COUNTIF(X227:$Z$256,"準")</f>
        <v>0</v>
      </c>
      <c r="BS12" s="715">
        <f>SUM(BG12:BR12)</f>
        <v>0</v>
      </c>
      <c r="BT12" s="715">
        <f>SUMIFS($H$13:$H$22,$J$13:$J$22,"小",$K$13:$K$22,"準")+SUMIFS($U$13:$U$22,$W$13:$W$22,"小",$X$13:$X$22,"準")+SUMIFS($H$55:$H$84,$J$55:$J$84,"小",$K$55:$K$84,"準")+SUMIFS($U$55:$U$84,$W$55:$W$84,"小",$X$55:$X$84,"準")+SUMIFS($H$98:$H$127,$J$98:$J$127,"小",$K$98:$K$127,"準")+SUMIFS($H$141:$H$170,$J$141:$J$170,"小",$K$141:$K$170,"準")+SUMIFS($H$184:$H$213,$J$184:$J$213,"小",$K$184:$K$213,"準")+SUMIFS($H$227:$H$256,$J$227:$J$256,"小",$K$227:$K$256,"準")+SUMIFS($U$98:$U$127,$W$98:$W$127,"小",$X$98:$X$127,"準")+SUMIFS($U$141:$U$170,$W$141:$W$170,"小",$X$141:$X$170,"準")+SUMIFS($U$184:$U$213,$W$184:$W$213,"小",$X$184:$X$213,"準")+SUMIFS($U$227:$U$256,$W$227:$W$256,"小",$X$227:$X$256,"準")</f>
        <v>0</v>
      </c>
      <c r="BU12" s="715">
        <f>SUMIFS($I$13:$I$22,$J$13:$J$22,"小",$K$13:$K$22,"準")+SUMIFS(V13:V22,W13:W22,"小",X13:X22,"準")+SUMIFS(I55:I84,J55:J84,"小",K55:K84,"準")+SUMIFS(V55:V84,W55:W84,"小",X55:X84,"準")+SUMIFS(I98:I127,J98:J127,"小",K98:K127,"準")+SUMIFS(I141:I170,J141:J170,"小",K141:K170,"準")+SUMIFS(I184:I213,J184:J213,"小",K184:K213,"準")+SUMIFS(I227:I256,J227:J256,"小",K227:K256,"準")+SUMIFS(V98:V127,W98:W127,"小",X98:X127,"準")+SUMIFS(V141:V170,W141:W170,"小",X141:X170,"準")+SUMIFS(V184:V213,W184:W213,"小",X184:X213,"準")+SUMIFS(V227:V256,W227:W256,"小",X227:X256,"準")</f>
        <v>0</v>
      </c>
      <c r="BV12" s="715">
        <f>SUMIFS($H$13:$H$22,$J$13:$J$22,"中",$K$13:$K$22,"準")+SUMIFS($U$13:$U$22,$W$13:$W$22,"中",$X$13:$X$22,"準")+SUMIFS($H$55:$H$84,$J$55:$J$84,"中",$K$55:$K$84,"準")+SUMIFS($U$55:$U$84,$W$55:$W$84,"中",$X$55:$X$84,"準")+SUMIFS($H$98:$H$127,$J$98:$J$127,"中",$K$98:$K$127,"準")+SUMIFS($H$141:$H$170,$J$141:$J$170,"中",$K$141:$K$170,"準")+SUMIFS($H$184:$H$213,$J$184:$J$213,"中",$K$184:$K$213,"準")+SUMIFS($H$227:$H$256,$J$227:$J$256,"中",$K$227:$K$256,"準")+SUMIFS($U$98:$U$127,$W$98:$W$127,"中",$X$98:$X$127,"準")+SUMIFS($U$141:$U$170,$W$141:$W$170,"中",$X$141:$X$170,"準")+SUMIFS($U$184:$U$213,$W$184:$W$213,"中",$X$184:$X$213,"準")+SUMIFS($U$227:$U$256,$W$227:$W$256,"中",$X$227:$X$256,"準")</f>
        <v>0</v>
      </c>
      <c r="BW12" s="715">
        <f>SUMIFS($I$13:$I$22,$J$13:$J$22,"中",$K$13:$K$22,"準")+SUMIFS($V$13:$V$22,$W$13:$W$22,"中",$X$13:$X$22,"準")+SUMIFS($I$55:$I$84,$J$55:$J$84,"中",$K$55:$K$84,"準")+SUMIFS($V$55:$V$84,$W$55:$W$84,"中",$X$55:$X$84,"準")+SUMIFS($I$98:$I$127,$J$98:$J$127,"中",$K$98:$K$127,"準")+SUMIFS($I$141:$I$170,$J$141:$J$170,"中",$K$141:$K$170,"準")+SUMIFS($I$184:$I$213,$J$184:$J$213,"中",$K$184:$K$213,"準")+SUMIFS($I$227:$I$256,$J$227:$J$256,"中",$K$227:$K$256,"準")+SUMIFS($V$98:$V$127,$W$98:$W$127,"中",$X$98:$X$127,"準")+SUMIFS($V$141:$V$170,$W$141:$W$170,"中",$X$141:$X$170,"準")+SUMIFS($V$184:$V$213,$W$184:$W$213,"中",$X$184:$X$213,"準")+SUMIFS($V$227:$V$256,$W$227:$W$256,"中",$X$227:$X$256,"準")</f>
        <v>0</v>
      </c>
      <c r="BX12" s="707"/>
      <c r="BY12" s="707"/>
      <c r="BZ12" s="707"/>
      <c r="CA12" s="707"/>
      <c r="CC12" s="695" t="str">
        <f t="shared" si="7"/>
        <v>小泊/特</v>
      </c>
      <c r="CD12" s="712">
        <f t="shared" ref="CD12:CD36" si="8">BT13</f>
        <v>0</v>
      </c>
      <c r="CE12" s="695">
        <f>IF(OR(BT13="",BT13=0),0,115)</f>
        <v>0</v>
      </c>
      <c r="CF12" s="695">
        <v>330</v>
      </c>
      <c r="CG12" s="707">
        <v>115</v>
      </c>
      <c r="CH12" s="695">
        <v>10</v>
      </c>
      <c r="CI12" s="701" t="str">
        <f t="shared" si="0"/>
        <v>小・泊</v>
      </c>
      <c r="CJ12" s="701">
        <f t="shared" si="1"/>
        <v>0</v>
      </c>
      <c r="CK12" s="696">
        <f t="shared" si="2"/>
        <v>0</v>
      </c>
    </row>
    <row r="13" spans="1:95" ht="26.1" customHeight="1">
      <c r="A13" s="192">
        <v>1</v>
      </c>
      <c r="B13" s="1775"/>
      <c r="C13" s="1776"/>
      <c r="D13" s="1776"/>
      <c r="E13" s="1776"/>
      <c r="F13" s="1776"/>
      <c r="G13" s="1777"/>
      <c r="H13" s="193"/>
      <c r="I13" s="194"/>
      <c r="J13" s="195"/>
      <c r="K13" s="1744"/>
      <c r="L13" s="1745"/>
      <c r="M13" s="1746"/>
      <c r="N13" s="196">
        <v>11</v>
      </c>
      <c r="O13" s="1775"/>
      <c r="P13" s="1776"/>
      <c r="Q13" s="1776"/>
      <c r="R13" s="1776"/>
      <c r="S13" s="1776"/>
      <c r="T13" s="1777"/>
      <c r="U13" s="193"/>
      <c r="V13" s="194"/>
      <c r="W13" s="195"/>
      <c r="X13" s="1744"/>
      <c r="Y13" s="1745"/>
      <c r="Z13" s="1746"/>
      <c r="AA13" s="192">
        <v>1</v>
      </c>
      <c r="AB13" s="1867" t="s">
        <v>3178</v>
      </c>
      <c r="AC13" s="1868"/>
      <c r="AD13" s="1868"/>
      <c r="AE13" s="1868"/>
      <c r="AF13" s="1868"/>
      <c r="AG13" s="1869"/>
      <c r="AH13" s="226">
        <v>1</v>
      </c>
      <c r="AI13" s="444"/>
      <c r="AJ13" s="195" t="s">
        <v>381</v>
      </c>
      <c r="AK13" s="1741"/>
      <c r="AL13" s="1742"/>
      <c r="AM13" s="1743"/>
      <c r="AN13" s="197">
        <v>11</v>
      </c>
      <c r="AO13" s="1867" t="s">
        <v>3159</v>
      </c>
      <c r="AP13" s="1868"/>
      <c r="AQ13" s="1868"/>
      <c r="AR13" s="1868"/>
      <c r="AS13" s="1868"/>
      <c r="AT13" s="1869"/>
      <c r="AU13" s="226">
        <v>1</v>
      </c>
      <c r="AV13" s="444"/>
      <c r="AW13" s="195" t="s">
        <v>381</v>
      </c>
      <c r="AX13" s="1741"/>
      <c r="AY13" s="1742"/>
      <c r="AZ13" s="1743"/>
      <c r="BA13" s="716">
        <v>1</v>
      </c>
      <c r="BB13" s="717">
        <f t="shared" ref="BB13:BB22" si="9">COUNTA(H13:I13)</f>
        <v>0</v>
      </c>
      <c r="BC13" s="520">
        <f t="shared" ref="BC13:BC22" si="10">COUNTA(K13)</f>
        <v>0</v>
      </c>
      <c r="BD13" s="702">
        <f t="shared" ref="BD13:BE22" si="11">BB13-COUNTA(H13)</f>
        <v>0</v>
      </c>
      <c r="BE13" s="702">
        <f t="shared" si="11"/>
        <v>0</v>
      </c>
      <c r="BF13" s="713" t="s">
        <v>345</v>
      </c>
      <c r="BG13" s="715">
        <f>COUNTIF(K13:$M$22,"特")</f>
        <v>0</v>
      </c>
      <c r="BH13" s="714">
        <f>COUNTIF(X13:$Z$22,"特")</f>
        <v>0</v>
      </c>
      <c r="BI13" s="715">
        <f>COUNTIF(K55:$M$84,"特")</f>
        <v>0</v>
      </c>
      <c r="BJ13" s="715">
        <f>COUNTIF(X55:$Z$84,"特")</f>
        <v>0</v>
      </c>
      <c r="BK13" s="715">
        <f>COUNTIF(K98:$M$127,"特")</f>
        <v>0</v>
      </c>
      <c r="BL13" s="715">
        <f>COUNTIF(X98:$Z$127,"特")</f>
        <v>0</v>
      </c>
      <c r="BM13" s="715">
        <f>COUNTIF(K141:$M$170,"特")</f>
        <v>0</v>
      </c>
      <c r="BN13" s="715">
        <f>COUNTIF(X141:$Z$170,"特")</f>
        <v>0</v>
      </c>
      <c r="BO13" s="715">
        <f>COUNTIF(K184:$M$213,"特")</f>
        <v>0</v>
      </c>
      <c r="BP13" s="715">
        <f>COUNTIF(X184:$Z$213,"特")</f>
        <v>0</v>
      </c>
      <c r="BQ13" s="715">
        <f>COUNTIF(K227:$M$256,"特")</f>
        <v>0</v>
      </c>
      <c r="BR13" s="715">
        <f>COUNTIF(X227:$Z$256,"特")</f>
        <v>0</v>
      </c>
      <c r="BS13" s="715">
        <f t="shared" ref="BS13:BS36" si="12">SUM(BG13:BR13)</f>
        <v>0</v>
      </c>
      <c r="BT13" s="715">
        <f>SUMIFS($H$13:$H$22,$J$13:$J$22,"小",$K$13:$K$22,"特")+SUMIFS($U$13:$U$22,$W$13:$W$22,"小",$X$13:$X$22,"特")+SUMIFS($H$55:$H$84,$J$55:$J$84,"小",$K$55:$K$84,"特")+SUMIFS($U$55:$U$84,$W$55:$W$84,"小",$X$55:$X$84,"特")+SUMIFS($H$98:$H$127,$J$98:$J$127,"小",$K$98:$K$127,"特")+SUMIFS($H$141:$H$170,$J$141:$J$170,"小",$K$141:$K$170,"特")+SUMIFS($H$184:$H$213,$J$184:$J$213,"小",$K$184:$K$213,"特")+SUMIFS($H$227:$H$256,$J$227:$J$256,"小",$K$227:$K$256,"特")+SUMIFS($U$98:$U$127,$W$98:$W$127,"小",$X$98:$X$127,"特")+SUMIFS($U$141:$U$170,$W$141:$W$170,"小",$X$141:$X$170,"特")+SUMIFS($U$184:$U$213,$W$184:$W$213,"小",$X$184:$X$213,"特")+SUMIFS($U$227:$U$256,$W$227:$W$256,"小",$X$227:$X$256,"特")</f>
        <v>0</v>
      </c>
      <c r="BU13" s="715">
        <f>SUMIFS($I$13:$I$22,$J$13:$J$22,"小",$K$13:$K$22,"特")+SUMIFS($V$13:$V$22,$W$13:$W$22,"小",$X$13:$X$22,"特")+SUMIFS($I$55:$I$84,$J$55:$J$84,"小",$K$55:$K$84,"特")+SUMIFS($V$55:$V$84,$W$55:$W$84,"小",$X$55:$X$84,"特")+SUMIFS($I$98:$I$127,$J$98:$J$127,"小",$K$98:$K$127,"特")+SUMIFS($I$141:$I$170,$J$141:$J$170,"小",$K$141:$K$170,"特")+SUMIFS($I$184:$I$213,$J$184:$J$213,"小",$K$184:$K$213,"特")+SUMIFS($I$227:$I$256,$J$227:$J$256,"小",$K$227:$K$256,"特")+SUMIFS($V$98:$V$127,$W$98:$W$127,"小",$X$98:$X$127,"特")+SUMIFS($V$141:$V$170,$W$141:$W$170,"小",$X$141:$X$170,"特")+SUMIFS($V$184:$V$213,$W$184:$W$213,"小",$X$184:$X$213,"特")+SUMIFS($V$227:$V$256,$W$227:$W$256,"小",$X$227:$X$256,"特")</f>
        <v>0</v>
      </c>
      <c r="BV13" s="715">
        <f>SUMIFS($H$13:$H$22,$J$13:$J$22,"中",$K$13:$K$22,"特")+SUMIFS($U$13:$U$22,$W$13:$W$22,"中",$X$13:$X$22,"特")+SUMIFS($H$55:$H$84,$J$55:$J$84,"中",$K$55:$K$84,"特")+SUMIFS($U$55:$U$84,$W$55:$W$84,"中",$X$55:$X$84,"特")+SUMIFS($H$98:$H$127,$J$98:$J$127,"中",$K$98:$K$127,"特")+SUMIFS($H$141:$H$170,$J$141:$J$170,"中",$K$141:$K$170,"特")+SUMIFS($H$184:$H$213,$J$184:$J$213,"中",$K$184:$K$213,"特")+SUMIFS($H$227:$H$256,$J$227:$J$256,"中",$K$227:$K$256,"特")+SUMIFS($U$98:$U$127,$W$98:$W$127,"中",$X$98:$X$127,"特")+SUMIFS($U$141:$U$170,$W$141:$W$170,"中",$X$141:$X$170,"特")+SUMIFS($U$184:$U$213,$W$184:$W$213,"中",$X$184:$X$213,"特")+SUMIFS($U$227:$U$256,$W$227:$W$256,"中",$X$227:$X$256,"特")</f>
        <v>0</v>
      </c>
      <c r="BW13" s="715">
        <f>SUMIFS($I$13:$I$22,$J$13:$J$22,"中",$K$13:$K$22,"特")+SUMIFS($V$13:$V$22,$W$13:$W$22,"中",$X$13:$X$22,"特")+SUMIFS($I$55:$I$84,$J$55:$J$84,"中",$K$55:$K$84,"特")+SUMIFS($V$55:$V$84,$W$55:$W$84,"中",$X$55:$X$84,"特")+SUMIFS($I$98:$I$127,$J$98:$J$127,"中",$K$98:$K$127,"特")+SUMIFS($I$141:$I$170,$J$141:$J$170,"中",$K$141:$K$170,"特")+SUMIFS($I$184:$I$213,$J$184:$J$213,"中",$K$184:$K$213,"特")+SUMIFS($I$227:$I$256,$J$227:$J$256,"中",$K$227:$K$256,"特")+SUMIFS($V$98:$V$127,$W$98:$W$127,"中",$X$98:$X$127,"特")+SUMIFS($V$141:$V$170,$W$141:$W$170,"中",$X$141:$X$170,"特")+SUMIFS($V$184:$V$213,$W$184:$W$213,"中",$X$184:$X$213,"特")+SUMIFS($V$227:$V$256,$W$227:$W$256,"中",$X$227:$X$256,"特")</f>
        <v>0</v>
      </c>
      <c r="BX13" s="707"/>
      <c r="BY13" s="707"/>
      <c r="BZ13" s="707"/>
      <c r="CA13" s="707"/>
      <c r="CC13" s="695" t="str">
        <f t="shared" si="7"/>
        <v>小泊/身</v>
      </c>
      <c r="CD13" s="712">
        <f t="shared" si="8"/>
        <v>0</v>
      </c>
      <c r="CE13" s="695">
        <f>IF(OR(BT14="",BT14=0),0,114)</f>
        <v>0</v>
      </c>
      <c r="CF13" s="695">
        <v>330</v>
      </c>
      <c r="CG13" s="707">
        <v>114</v>
      </c>
      <c r="CH13" s="695">
        <v>11</v>
      </c>
      <c r="CI13" s="701" t="str">
        <f t="shared" si="0"/>
        <v>小・泊</v>
      </c>
      <c r="CJ13" s="701">
        <f t="shared" si="1"/>
        <v>0</v>
      </c>
      <c r="CK13" s="696">
        <f t="shared" si="2"/>
        <v>0</v>
      </c>
    </row>
    <row r="14" spans="1:95" ht="26.1" customHeight="1">
      <c r="A14" s="192">
        <v>2</v>
      </c>
      <c r="B14" s="1775"/>
      <c r="C14" s="1776"/>
      <c r="D14" s="1776"/>
      <c r="E14" s="1776"/>
      <c r="F14" s="1776"/>
      <c r="G14" s="1777"/>
      <c r="H14" s="193"/>
      <c r="I14" s="194"/>
      <c r="J14" s="195"/>
      <c r="K14" s="1744"/>
      <c r="L14" s="1745"/>
      <c r="M14" s="1746"/>
      <c r="N14" s="197">
        <v>12</v>
      </c>
      <c r="O14" s="1775"/>
      <c r="P14" s="1776"/>
      <c r="Q14" s="1776"/>
      <c r="R14" s="1776"/>
      <c r="S14" s="1776"/>
      <c r="T14" s="1777"/>
      <c r="U14" s="193"/>
      <c r="V14" s="194"/>
      <c r="W14" s="195"/>
      <c r="X14" s="1744"/>
      <c r="Y14" s="1745"/>
      <c r="Z14" s="1746"/>
      <c r="AA14" s="192">
        <v>2</v>
      </c>
      <c r="AB14" s="1867" t="s">
        <v>2670</v>
      </c>
      <c r="AC14" s="1868"/>
      <c r="AD14" s="1868"/>
      <c r="AE14" s="1868"/>
      <c r="AF14" s="1868"/>
      <c r="AG14" s="1869"/>
      <c r="AH14" s="226">
        <v>1</v>
      </c>
      <c r="AI14" s="444"/>
      <c r="AJ14" s="195" t="s">
        <v>381</v>
      </c>
      <c r="AK14" s="1741"/>
      <c r="AL14" s="1742"/>
      <c r="AM14" s="1743"/>
      <c r="AN14" s="197">
        <v>12</v>
      </c>
      <c r="AO14" s="1867" t="s">
        <v>3161</v>
      </c>
      <c r="AP14" s="1868"/>
      <c r="AQ14" s="1868"/>
      <c r="AR14" s="1868"/>
      <c r="AS14" s="1868"/>
      <c r="AT14" s="1869"/>
      <c r="AU14" s="226">
        <v>1</v>
      </c>
      <c r="AV14" s="444"/>
      <c r="AW14" s="195" t="s">
        <v>381</v>
      </c>
      <c r="AX14" s="1744" t="s">
        <v>366</v>
      </c>
      <c r="AY14" s="1745"/>
      <c r="AZ14" s="1746"/>
      <c r="BA14" s="716">
        <v>2</v>
      </c>
      <c r="BB14" s="717">
        <f t="shared" si="9"/>
        <v>0</v>
      </c>
      <c r="BC14" s="520">
        <f t="shared" si="10"/>
        <v>0</v>
      </c>
      <c r="BD14" s="702">
        <f t="shared" si="11"/>
        <v>0</v>
      </c>
      <c r="BE14" s="702">
        <f t="shared" si="11"/>
        <v>0</v>
      </c>
      <c r="BF14" s="695" t="s">
        <v>346</v>
      </c>
      <c r="BG14" s="712">
        <f>COUNTIF($K$13:$M$22,"身")</f>
        <v>0</v>
      </c>
      <c r="BH14" s="718">
        <f>COUNTIF(X13:$Z$22,"身")</f>
        <v>0</v>
      </c>
      <c r="BI14" s="712">
        <f>COUNTIF(K55:$M$84,"身")</f>
        <v>0</v>
      </c>
      <c r="BJ14" s="712">
        <f>COUNTIF(X55:$Z$84,"身")</f>
        <v>0</v>
      </c>
      <c r="BK14" s="712">
        <f>COUNTIF(K98:$M$127,"身")</f>
        <v>0</v>
      </c>
      <c r="BL14" s="712">
        <f>COUNTIF(X98:$Z$127,"身")</f>
        <v>0</v>
      </c>
      <c r="BM14" s="712">
        <f>COUNTIF(K141:$M$170,"身")</f>
        <v>0</v>
      </c>
      <c r="BN14" s="712">
        <f>COUNTIF(X141:$Z$170,"身")</f>
        <v>0</v>
      </c>
      <c r="BO14" s="712">
        <f>COUNTIF(K184:$M$213,"身")</f>
        <v>0</v>
      </c>
      <c r="BP14" s="712">
        <f>COUNTIF(X184:$Z$213,"身")</f>
        <v>0</v>
      </c>
      <c r="BQ14" s="712">
        <f>COUNTIF(K227:$M$256,"身")</f>
        <v>0</v>
      </c>
      <c r="BR14" s="712">
        <f>COUNTIF(X227:$Z$256,"身")</f>
        <v>0</v>
      </c>
      <c r="BS14" s="712">
        <f t="shared" si="12"/>
        <v>0</v>
      </c>
      <c r="BT14" s="712">
        <f>SUMIFS($H$13:$H$22,$J$13:$J$22,"小",$K$13:$K$22,"身")+SUMIFS($U$13:$U$22,$W$13:$W$22,"小",$X$13:$X$22,"身")+SUMIFS($H$55:$H$84,$J$55:$J$84,"小",$K$55:$K$84,"身")+SUMIFS($U$55:$U$84,$W$55:$W$84,"小",$X$55:$X$84,"身")+SUMIFS($H$98:$H$127,$J$98:$J$127,"小",$K$98:$K$127,"身")+SUMIFS($H$141:$H$170,$J$141:$J$170,"小",$K$141:$K$170,"身")+SUMIFS($H$184:$H$213,$J$184:$J$213,"小",$K$184:$K$213,"身")+SUMIFS($H$227:$H$256,$J$227:$J$256,"小",$K$227:$K$256,"身")+SUMIFS($U$98:$U$127,$W$98:$W$127,"小",$X$98:$X$127,"身")+SUMIFS($U$141:$U$170,$W$141:$W$170,"小",$X$141:$X$170,"身")+SUMIFS($U$184:$U$213,$W$184:$W$213,"小",$X$184:$X$213,"身")+SUMIFS($U$227:$U$256,$W$227:$W$256,"小",$X$227:$X$256,"身")</f>
        <v>0</v>
      </c>
      <c r="BU14" s="712">
        <f>SUMIFS($I$13:$I$22,$J$13:$J$22,"小",$K$13:$K$22,"身")+SUMIFS($V$13:$V$22,$W$13:$W$22,"小",$X$13:$X$22,"身")+SUMIFS($I$55:$I$84,$J$55:$J$84,"小",$K$55:$K$84,"身")+SUMIFS($V$55:$V$84,$W$55:$W$84,"小",$X$55:$X$84,"身")+SUMIFS($I$98:$I$127,$J$98:$J$127,"小",$K$98:$K$127,"身")+SUMIFS($I$141:$I$170,$J$141:$J$170,"小",$K$141:$K$170,"身")+SUMIFS($I$184:$I$213,$J$184:$J$213,"小",$K$184:$K$213,"身")+SUMIFS($I$227:$I$256,$J$227:$J$256,"小",$K$227:$K$256,"身")+SUMIFS($V$98:$V$127,$W$98:$W$127,"小",$X$98:$X$127,"身")+SUMIFS($V$141:$V$170,$W$141:$W$170,"小",$X$141:$X$170,"身")+SUMIFS($V$184:$V$213,$W$184:$W$213,"小",$X$184:$X$213,"身")+SUMIFS($V$227:$V$256,$W$227:$W$256,"小",$X$227:$X$256,"身")</f>
        <v>0</v>
      </c>
      <c r="BV14" s="712">
        <f>SUMIFS($H$13:$H$22,$J$13:$J$22,"中",$K$13:$K$22,"身")+SUMIFS($U$13:$U$22,$W$13:$W$22,"中",$X$13:$X$22,"身")+SUMIFS($H$55:$H$84,$J$55:$J$84,"中",$K$55:$K$84,"身")+SUMIFS($U$55:$U$84,$W$55:$W$84,"中",$X$55:$X$84,"身")+SUMIFS($H$98:$H$127,$J$98:$J$127,"中",$K$98:$K$127,"身")+SUMIFS($H$141:$H$170,$J$141:$J$170,"中",$K$141:$K$170,"身")+SUMIFS($H$184:$H$213,$J$184:$J$213,"中",$K$184:$K$213,"身")+SUMIFS($H$227:$H$256,$J$227:$J$256,"中",$K$227:$K$256,"身")+SUMIFS($U$98:$U$127,$W$98:$W$127,"中",$X$98:$X$127,"身")+SUMIFS($U$141:$U$170,$W$141:$W$170,"中",$X$141:$X$170,"身")+SUMIFS($U$184:$U$213,$W$184:$W$213,"中",$X$184:$X$213,"身")+SUMIFS($U$227:$U$256,$W$227:$W$256,"中",$X$227:$X$256,"身")</f>
        <v>0</v>
      </c>
      <c r="BW14" s="712">
        <f>SUMIFS($I$13:$I$22,$J$13:$J$22,"中",$K$13:$K$22,"身")+SUMIFS($V$13:$V$22,$W$13:$W$22,"中",$X$13:$X$22,"身")+SUMIFS($I$55:$I$84,$J$55:$J$84,"中",$K$55:$K$84,"身")+SUMIFS($V$55:$V$84,$W$55:$W$84,"中",$X$55:$X$84,"身")+SUMIFS($I$98:$I$127,$J$98:$J$127,"中",$K$98:$K$127,"身")+SUMIFS($I$141:$I$170,$J$141:$J$170,"中",$K$141:$K$170,"身")+SUMIFS($I$184:$I$213,$J$184:$J$213,"中",$K$184:$K$213,"身")+SUMIFS($I$227:$I$256,$J$227:$J$256,"中",$K$227:$K$256,"身")+SUMIFS($V$98:$V$127,$W$98:$W$127,"中",$X$98:$X$127,"身")+SUMIFS($V$141:$V$170,$W$141:$W$170,"中",$X$141:$X$170,"身")+SUMIFS($V$184:$V$213,$W$184:$W$213,"中",$X$184:$X$213,"身")+SUMIFS($V$227:$V$256,$W$227:$W$256,"中",$X$227:$X$256,"身")</f>
        <v>0</v>
      </c>
      <c r="CC14" s="695" t="str">
        <f t="shared" si="7"/>
        <v>小泊/療</v>
      </c>
      <c r="CD14" s="712">
        <f t="shared" si="8"/>
        <v>0</v>
      </c>
      <c r="CE14" s="695">
        <f>IF(OR(BT15="",BT15=0),0,113)</f>
        <v>0</v>
      </c>
      <c r="CF14" s="695">
        <v>330</v>
      </c>
      <c r="CG14" s="707">
        <v>113</v>
      </c>
      <c r="CH14" s="695">
        <v>12</v>
      </c>
      <c r="CI14" s="701" t="str">
        <f t="shared" si="0"/>
        <v>小・泊</v>
      </c>
      <c r="CJ14" s="701">
        <f t="shared" si="1"/>
        <v>0</v>
      </c>
      <c r="CK14" s="696">
        <f t="shared" si="2"/>
        <v>0</v>
      </c>
    </row>
    <row r="15" spans="1:95" ht="26.1" customHeight="1">
      <c r="A15" s="192">
        <v>3</v>
      </c>
      <c r="B15" s="1775"/>
      <c r="C15" s="1776"/>
      <c r="D15" s="1776"/>
      <c r="E15" s="1776"/>
      <c r="F15" s="1776"/>
      <c r="G15" s="1777"/>
      <c r="H15" s="193"/>
      <c r="I15" s="194"/>
      <c r="J15" s="195"/>
      <c r="K15" s="1744"/>
      <c r="L15" s="1745"/>
      <c r="M15" s="1746"/>
      <c r="N15" s="197">
        <v>13</v>
      </c>
      <c r="O15" s="1775"/>
      <c r="P15" s="1776"/>
      <c r="Q15" s="1776"/>
      <c r="R15" s="1776"/>
      <c r="S15" s="1776"/>
      <c r="T15" s="1777"/>
      <c r="U15" s="193"/>
      <c r="V15" s="194"/>
      <c r="W15" s="195"/>
      <c r="X15" s="1744"/>
      <c r="Y15" s="1745"/>
      <c r="Z15" s="1746"/>
      <c r="AA15" s="192">
        <v>3</v>
      </c>
      <c r="AB15" s="1867" t="s">
        <v>3175</v>
      </c>
      <c r="AC15" s="1868"/>
      <c r="AD15" s="1868"/>
      <c r="AE15" s="1868"/>
      <c r="AF15" s="1868"/>
      <c r="AG15" s="1869"/>
      <c r="AH15" s="226">
        <v>1</v>
      </c>
      <c r="AI15" s="444"/>
      <c r="AJ15" s="195" t="s">
        <v>381</v>
      </c>
      <c r="AK15" s="1741"/>
      <c r="AL15" s="1742"/>
      <c r="AM15" s="1743"/>
      <c r="AN15" s="197">
        <v>13</v>
      </c>
      <c r="AO15" s="1867" t="s">
        <v>3160</v>
      </c>
      <c r="AP15" s="1868"/>
      <c r="AQ15" s="1868"/>
      <c r="AR15" s="1868"/>
      <c r="AS15" s="1868"/>
      <c r="AT15" s="1869"/>
      <c r="AU15" s="226">
        <v>1</v>
      </c>
      <c r="AV15" s="444"/>
      <c r="AW15" s="195" t="s">
        <v>381</v>
      </c>
      <c r="AX15" s="1741"/>
      <c r="AY15" s="1742"/>
      <c r="AZ15" s="1743"/>
      <c r="BA15" s="716">
        <v>3</v>
      </c>
      <c r="BB15" s="717">
        <f t="shared" si="9"/>
        <v>0</v>
      </c>
      <c r="BC15" s="520">
        <f t="shared" si="10"/>
        <v>0</v>
      </c>
      <c r="BD15" s="702">
        <f t="shared" si="11"/>
        <v>0</v>
      </c>
      <c r="BE15" s="702">
        <f t="shared" si="11"/>
        <v>0</v>
      </c>
      <c r="BF15" s="695" t="s">
        <v>347</v>
      </c>
      <c r="BG15" s="712">
        <f>COUNTIF($K$13:$M$22,"療")</f>
        <v>0</v>
      </c>
      <c r="BH15" s="718">
        <f>COUNTIF($X$13:$Z$22,"療")</f>
        <v>0</v>
      </c>
      <c r="BI15" s="712">
        <f>COUNTIF($K$55:$M$84,"療")</f>
        <v>0</v>
      </c>
      <c r="BJ15" s="712">
        <f>COUNTIF($X$55:$Z$84,"療")</f>
        <v>0</v>
      </c>
      <c r="BK15" s="712">
        <f>COUNTIF($K$98:$M$127,"療")</f>
        <v>0</v>
      </c>
      <c r="BL15" s="712">
        <f>COUNTIF($X$98:$Z$127,"療")</f>
        <v>0</v>
      </c>
      <c r="BM15" s="712">
        <f>COUNTIF($K$141:$M$170,"療")</f>
        <v>0</v>
      </c>
      <c r="BN15" s="712">
        <f>COUNTIF($X$141:$Z$170,"療")</f>
        <v>0</v>
      </c>
      <c r="BO15" s="712">
        <f>COUNTIF($K$184:$M$213,"療")</f>
        <v>0</v>
      </c>
      <c r="BP15" s="712">
        <f>COUNTIF($X$184:$Z$213,"療")</f>
        <v>0</v>
      </c>
      <c r="BQ15" s="712">
        <f>COUNTIF($K$227:$M$256,"療")</f>
        <v>0</v>
      </c>
      <c r="BR15" s="712">
        <f>COUNTIF($X$227:$Z$256,"療")</f>
        <v>0</v>
      </c>
      <c r="BS15" s="712">
        <f t="shared" si="12"/>
        <v>0</v>
      </c>
      <c r="BT15" s="712">
        <f>SUMIFS($H$13:$H$22,$J$13:$J$22,"小",$K$13:$K$22,"療")+SUMIFS($U$13:$U$22,$W$13:$W$22,"小",$X$13:$X$22,"療")+SUMIFS($H$55:$H$84,$J$55:$J$84,"小",$K$55:$K$84,"療")+SUMIFS($U$55:$U$84,$W$55:$W$84,"小",$X$55:$X$84,"療")+SUMIFS($H$98:$H$127,$J$98:$J$127,"小",$K$98:$K$127,"療")+SUMIFS($H$141:$H$170,$J$141:$J$170,"小",$K$141:$K$170,"療")+SUMIFS($H$184:$H$213,$J$184:$J$213,"小",$K$184:$K$213,"療")+SUMIFS($H$227:$H$256,$J$227:$J$256,"小",$K$227:$K$256,"療")+SUMIFS($U$98:$U$127,$W$98:$W$127,"小",$X$98:$X$127,"療")+SUMIFS($U$141:$U$170,$W$141:$W$170,"小",$X$141:$X$170,"療")+SUMIFS($U$184:$U$213,$W$184:$W$213,"小",$X$184:$X$213,"療")+SUMIFS($U$227:$U$256,$W$227:$W$256,"小",$X$227:$X$256,"療")</f>
        <v>0</v>
      </c>
      <c r="BU15" s="712">
        <f>SUMIFS($I$13:$I$22,$J$13:$J$22,"小",$K$13:$K$22,"療")+SUMIFS($V$13:$V$22,$W$13:$W$22,"小",$X$13:$X$22,"療")+SUMIFS($I$55:$I$84,$J$55:$J$84,"小",$K$55:$K$84,"療")+SUMIFS($V$55:$V$84,$W$55:$W$84,"小",$X$55:$X$84,"療")+SUMIFS($I$98:$I$127,$J$98:$J$127,"小",$K$98:$K$127,"療")+SUMIFS($I$141:$I$170,$J$141:$J$170,"小",$K$141:$K$170,"療")+SUMIFS($I$184:$I$213,$J$184:$J$213,"小",$K$184:$K$213,"療")+SUMIFS($I$227:$I$256,$J$227:$J$256,"小",$K$227:$K$256,"療")+SUMIFS($V$98:$V$127,$W$98:$W$127,"小",$X$98:$X$127,"療")+SUMIFS($V$141:$V$170,$W$141:$W$170,"小",$X$141:$X$170,"療")+SUMIFS($V$184:$V$213,$W$184:$W$213,"小",$X$184:$X$213,"療")+SUMIFS($V$227:$V$256,$W$227:$W$256,"小",$X$227:$X$256,"療")</f>
        <v>0</v>
      </c>
      <c r="BV15" s="712">
        <f>SUMIFS($H$13:$H$22,$J$13:$J$22,"中",$K$13:$K$22,"療")+SUMIFS($U$13:$U$22,$W$13:$W$22,"中",$X$13:$X$22,"療")+SUMIFS($H$55:$H$84,$J$55:$J$84,"中",$K$55:$K$84,"療")+SUMIFS($U$55:$U$84,$W$55:$W$84,"中",$X$55:$X$84,"療")+SUMIFS($H$98:$H$127,$J$98:$J$127,"中",$K$98:$K$127,"療")+SUMIFS($H$141:$H$170,$J$141:$J$170,"中",$K$141:$K$170,"療")+SUMIFS($H$184:$H$213,$J$184:$J$213,"中",$K$184:$K$213,"療")+SUMIFS($H$227:$H$256,$J$227:$J$256,"中",$K$227:$K$256,"療")+SUMIFS($U$98:$U$127,$W$98:$W$127,"中",$X$98:$X$127,"療")+SUMIFS($U$141:$U$170,$W$141:$W$170,"中",$X$141:$X$170,"療")+SUMIFS($U$184:$U$213,$W$184:$W$213,"中",$X$184:$X$213,"療")+SUMIFS($U$227:$U$256,$W$227:$W$256,"中",$X$227:$X$256,"療")</f>
        <v>0</v>
      </c>
      <c r="BW15" s="712">
        <f>SUMIFS($I$13:$I$22,$J$13:$J$22,"中",$K$13:$K$22,"療")+SUMIFS($V$13:$V$22,$W$13:$W$22,"中",$X$13:$X$22,"療")+SUMIFS($I$55:$I$84,$J$55:$J$84,"中",$K$55:$K$84,"療")+SUMIFS($V$55:$V$84,$W$55:$W$84,"中",$X$55:$X$84,"療")+SUMIFS($I$98:$I$127,$J$98:$J$127,"中",$K$98:$K$127,"療")+SUMIFS($I$141:$I$170,$J$141:$J$170,"中",$K$141:$K$170,"療")+SUMIFS($I$184:$I$213,$J$184:$J$213,"中",$K$184:$K$213,"療")+SUMIFS($I$227:$I$256,$J$227:$J$256,"中",$K$227:$K$256,"療")+SUMIFS($V$98:$V$127,$W$98:$W$127,"中",$X$98:$X$127,"療")+SUMIFS($V$141:$V$170,$W$141:$W$170,"中",$X$141:$X$170,"療")+SUMIFS($V$184:$V$213,$W$184:$W$213,"中",$X$184:$X$213,"療")+SUMIFS($V$227:$V$256,$W$227:$W$256,"中",$X$227:$X$256,"療")</f>
        <v>0</v>
      </c>
      <c r="CC15" s="695" t="str">
        <f t="shared" si="7"/>
        <v>小泊/精</v>
      </c>
      <c r="CD15" s="712">
        <f t="shared" si="8"/>
        <v>0</v>
      </c>
      <c r="CE15" s="695">
        <f>IF(OR(BT16="",BT16=0),0,112)</f>
        <v>0</v>
      </c>
      <c r="CF15" s="695">
        <v>330</v>
      </c>
      <c r="CG15" s="707">
        <v>112</v>
      </c>
      <c r="CH15" s="695">
        <v>13</v>
      </c>
      <c r="CI15" s="701" t="str">
        <f t="shared" si="0"/>
        <v>小・泊</v>
      </c>
      <c r="CJ15" s="701">
        <f t="shared" si="1"/>
        <v>0</v>
      </c>
      <c r="CK15" s="696">
        <f t="shared" si="2"/>
        <v>0</v>
      </c>
    </row>
    <row r="16" spans="1:95" ht="26.1" customHeight="1">
      <c r="A16" s="192">
        <v>4</v>
      </c>
      <c r="B16" s="1775"/>
      <c r="C16" s="1776"/>
      <c r="D16" s="1776"/>
      <c r="E16" s="1776"/>
      <c r="F16" s="1776"/>
      <c r="G16" s="1777"/>
      <c r="H16" s="193"/>
      <c r="I16" s="194"/>
      <c r="J16" s="195"/>
      <c r="K16" s="1744"/>
      <c r="L16" s="1745"/>
      <c r="M16" s="1746"/>
      <c r="N16" s="197">
        <v>14</v>
      </c>
      <c r="O16" s="1775"/>
      <c r="P16" s="1776"/>
      <c r="Q16" s="1776"/>
      <c r="R16" s="1776"/>
      <c r="S16" s="1776"/>
      <c r="T16" s="1777"/>
      <c r="U16" s="193"/>
      <c r="V16" s="194"/>
      <c r="W16" s="195"/>
      <c r="X16" s="1744"/>
      <c r="Y16" s="1745"/>
      <c r="Z16" s="1746"/>
      <c r="AA16" s="192">
        <v>4</v>
      </c>
      <c r="AB16" s="1867" t="s">
        <v>3179</v>
      </c>
      <c r="AC16" s="1868"/>
      <c r="AD16" s="1868"/>
      <c r="AE16" s="1868"/>
      <c r="AF16" s="1868"/>
      <c r="AG16" s="1869"/>
      <c r="AH16" s="226">
        <v>1</v>
      </c>
      <c r="AI16" s="444"/>
      <c r="AJ16" s="195" t="s">
        <v>381</v>
      </c>
      <c r="AK16" s="1741"/>
      <c r="AL16" s="1742"/>
      <c r="AM16" s="1743"/>
      <c r="AN16" s="197">
        <v>14</v>
      </c>
      <c r="AO16" s="1867" t="s">
        <v>3162</v>
      </c>
      <c r="AP16" s="1868"/>
      <c r="AQ16" s="1868"/>
      <c r="AR16" s="1868"/>
      <c r="AS16" s="1868"/>
      <c r="AT16" s="1869"/>
      <c r="AU16" s="226">
        <v>1</v>
      </c>
      <c r="AV16" s="444"/>
      <c r="AW16" s="195" t="s">
        <v>379</v>
      </c>
      <c r="AX16" s="1741"/>
      <c r="AY16" s="1742"/>
      <c r="AZ16" s="1743"/>
      <c r="BA16" s="716">
        <v>4</v>
      </c>
      <c r="BB16" s="717">
        <f t="shared" si="9"/>
        <v>0</v>
      </c>
      <c r="BC16" s="520">
        <f t="shared" si="10"/>
        <v>0</v>
      </c>
      <c r="BD16" s="702">
        <f t="shared" si="11"/>
        <v>0</v>
      </c>
      <c r="BE16" s="702">
        <f t="shared" si="11"/>
        <v>0</v>
      </c>
      <c r="BF16" s="695" t="s">
        <v>348</v>
      </c>
      <c r="BG16" s="712">
        <f>COUNTIF($K$13:$M$22,"精")</f>
        <v>0</v>
      </c>
      <c r="BH16" s="718">
        <f>COUNTIF($X$13:$Z$22,"精")</f>
        <v>0</v>
      </c>
      <c r="BI16" s="712">
        <f>COUNTIF($K$55:$M$84,"精")</f>
        <v>0</v>
      </c>
      <c r="BJ16" s="712">
        <f>COUNTIF($X$55:$Z$84,"精")</f>
        <v>0</v>
      </c>
      <c r="BK16" s="712">
        <f>COUNTIF($K$98:$M$127,"精")</f>
        <v>0</v>
      </c>
      <c r="BL16" s="712">
        <f>COUNTIF($X$98:$Z$127,"精")</f>
        <v>0</v>
      </c>
      <c r="BM16" s="712">
        <f>COUNTIF($K$141:$M$170,"精")</f>
        <v>0</v>
      </c>
      <c r="BN16" s="712">
        <f>COUNTIF($X$141:$Z$170,"精")</f>
        <v>0</v>
      </c>
      <c r="BO16" s="712">
        <f>COUNTIF($K$184:$M$213,"精")</f>
        <v>0</v>
      </c>
      <c r="BP16" s="712">
        <f>COUNTIF($X$184:$Z$213,"精")</f>
        <v>0</v>
      </c>
      <c r="BQ16" s="712">
        <f>COUNTIF($K$227:$M$256,"精")</f>
        <v>0</v>
      </c>
      <c r="BR16" s="712">
        <f>COUNTIF($X$227:$Z$256,"精")</f>
        <v>0</v>
      </c>
      <c r="BS16" s="712">
        <f t="shared" si="12"/>
        <v>0</v>
      </c>
      <c r="BT16" s="712">
        <f>SUMIFS($H$13:$H$22,$J$13:$J$22,"小",$K$13:$K$22,"精")+SUMIFS($U$13:$U$22,$W$13:$W$22,"小",$X$13:$X$22,"精")+SUMIFS($H$55:$H$84,$J$55:$J$84,"小",$K$55:$K$84,"精")+SUMIFS($U$55:$U$84,$W$55:$W$84,"小",$X$55:$X$84,"精")+SUMIFS($H$98:$H$127,$J$98:$J$127,"小",$K$98:$K$127,"精")+SUMIFS($H$141:$H$170,$J$141:$J$170,"小",$K$141:$K$170,"精")+SUMIFS($H$184:$H$213,$J$184:$J$213,"小",$K$184:$K$213,"精")+SUMIFS($H$227:$H$256,$J$227:$J$256,"小",$K$227:$K$256,"精")+SUMIFS($U$98:$U$127,$W$98:$W$127,"小",$X$98:$X$127,"精")+SUMIFS($U$141:$U$170,$W$141:$W$170,"小",$X$141:$X$170,"精")+SUMIFS($U$184:$U$213,$W$184:$W$213,"小",$X$184:$X$213,"精")+SUMIFS($U$227:$U$256,$W$227:$W$256,"小",$X$227:$X$256,"精")</f>
        <v>0</v>
      </c>
      <c r="BU16" s="712">
        <f>SUMIFS($I$13:$I$22,$J$13:$J$22,"小",$K$13:$K$22,"精")+SUMIFS($V$13:$V$22,$W$13:$W$22,"小",$X$13:$X$22,"精")+SUMIFS($I$55:$I$84,$J$55:$J$84,"小",$K$55:$K$84,"精")+SUMIFS($V$55:$V$84,$W$55:$W$84,"小",$X$55:$X$84,"精")+SUMIFS($I$98:$I$127,$J$98:$J$127,"小",$K$98:$K$127,"精")+SUMIFS($I$141:$I$170,$J$141:$J$170,"小",$K$141:$K$170,"精")+SUMIFS($I$184:$I$213,$J$184:$J$213,"小",$K$184:$K$213,"精")+SUMIFS($I$227:$I$256,$J$227:$J$256,"小",$K$227:$K$256,"精")+SUMIFS($V$98:$V$127,$W$98:$W$127,"小",$X$98:$X$127,"精")+SUMIFS($V$141:$V$170,$W$141:$W$170,"小",$X$141:$X$170,"精")+SUMIFS($V$184:$V$213,$W$184:$W$213,"小",$X$184:$X$213,"精")+SUMIFS($V$227:$V$256,$W$227:$W$256,"小",$X$227:$X$256,"精")</f>
        <v>0</v>
      </c>
      <c r="BV16" s="712">
        <f>SUMIFS($H$13:$H$22,$J$13:$J$22,"中",$K$13:$K$22,"精")+SUMIFS($U$13:$U$22,$W$13:$W$22,"中",$X$13:$X$22,"精")+SUMIFS($H$55:$H$84,$J$55:$J$84,"中",$K$55:$K$84,"精")+SUMIFS($U$55:$U$84,$W$55:$W$84,"中",$X$55:$X$84,"精")+SUMIFS($H$98:$H$127,$J$98:$J$127,"中",$K$98:$K$127,"精")+SUMIFS($H$141:$H$170,$J$141:$J$170,"中",$K$141:$K$170,"精")+SUMIFS($H$184:$H$213,$J$184:$J$213,"中",$K$184:$K$213,"精")+SUMIFS($H$227:$H$256,$J$227:$J$256,"中",$K$227:$K$256,"精")+SUMIFS($U$98:$U$127,$W$98:$W$127,"中",$X$98:$X$127,"精")+SUMIFS($U$141:$U$170,$W$141:$W$170,"中",$X$141:$X$170,"精")+SUMIFS($U$184:$U$213,$W$184:$W$213,"中",$X$184:$X$213,"精")+SUMIFS($U$227:$U$256,$W$227:$W$256,"中",$X$227:$X$256,"精")</f>
        <v>0</v>
      </c>
      <c r="BW16" s="712">
        <f>SUMIFS($I$13:$I$22,$J$13:$J$22,"中",$K$13:$K$22,"精")+SUMIFS($V$13:$V$22,$W$13:$W$22,"中",$X$13:$X$22,"精")+SUMIFS($I$55:$I$84,$J$55:$J$84,"中",$K$55:$K$84,"精")+SUMIFS($V$55:$V$84,$W$55:$W$84,"中",$X$55:$X$84,"精")+SUMIFS($I$98:$I$127,$J$98:$J$127,"中",$K$98:$K$127,"精")+SUMIFS($I$141:$I$170,$J$141:$J$170,"中",$K$141:$K$170,"精")+SUMIFS($I$184:$I$213,$J$184:$J$213,"中",$K$184:$K$213,"精")+SUMIFS($I$227:$I$256,$J$227:$J$256,"中",$K$227:$K$256,"精")+SUMIFS($V$98:$V$127,$W$98:$W$127,"中",$X$98:$X$127,"精")+SUMIFS($V$141:$V$170,$W$141:$W$170,"中",$X$141:$X$170,"精")+SUMIFS($V$184:$V$213,$W$184:$W$213,"中",$X$184:$X$213,"精")+SUMIFS($V$227:$V$256,$W$227:$W$256,"中",$X$227:$X$256,"精")</f>
        <v>0</v>
      </c>
      <c r="CC16" s="695" t="str">
        <f t="shared" si="7"/>
        <v>小泊/介添</v>
      </c>
      <c r="CD16" s="712">
        <f t="shared" si="8"/>
        <v>0</v>
      </c>
      <c r="CE16" s="695">
        <f>IF(OR(BT17="",BT17=0),0,111)</f>
        <v>0</v>
      </c>
      <c r="CF16" s="695">
        <v>330</v>
      </c>
      <c r="CG16" s="707">
        <v>111</v>
      </c>
      <c r="CH16" s="695">
        <v>14</v>
      </c>
      <c r="CI16" s="701" t="str">
        <f t="shared" si="0"/>
        <v>小・泊</v>
      </c>
      <c r="CJ16" s="701">
        <f t="shared" si="1"/>
        <v>0</v>
      </c>
      <c r="CK16" s="696">
        <f t="shared" si="2"/>
        <v>0</v>
      </c>
    </row>
    <row r="17" spans="1:106" ht="26.1" customHeight="1">
      <c r="A17" s="192">
        <v>5</v>
      </c>
      <c r="B17" s="1775"/>
      <c r="C17" s="1776"/>
      <c r="D17" s="1776"/>
      <c r="E17" s="1776"/>
      <c r="F17" s="1776"/>
      <c r="G17" s="1777"/>
      <c r="H17" s="193"/>
      <c r="I17" s="194"/>
      <c r="J17" s="195"/>
      <c r="K17" s="1744"/>
      <c r="L17" s="1745"/>
      <c r="M17" s="1746"/>
      <c r="N17" s="197">
        <v>15</v>
      </c>
      <c r="O17" s="1775"/>
      <c r="P17" s="1776"/>
      <c r="Q17" s="1776"/>
      <c r="R17" s="1776"/>
      <c r="S17" s="1776"/>
      <c r="T17" s="1777"/>
      <c r="U17" s="193"/>
      <c r="V17" s="194"/>
      <c r="W17" s="195"/>
      <c r="X17" s="1744"/>
      <c r="Y17" s="1745"/>
      <c r="Z17" s="1746"/>
      <c r="AA17" s="192">
        <v>5</v>
      </c>
      <c r="AB17" s="1867" t="s">
        <v>3174</v>
      </c>
      <c r="AC17" s="1868"/>
      <c r="AD17" s="1868"/>
      <c r="AE17" s="1868"/>
      <c r="AF17" s="1868"/>
      <c r="AG17" s="1869"/>
      <c r="AH17" s="226">
        <v>1</v>
      </c>
      <c r="AI17" s="444"/>
      <c r="AJ17" s="195" t="s">
        <v>381</v>
      </c>
      <c r="AK17" s="1744" t="s">
        <v>344</v>
      </c>
      <c r="AL17" s="1745"/>
      <c r="AM17" s="1746"/>
      <c r="AN17" s="197">
        <v>15</v>
      </c>
      <c r="AO17" s="1867" t="s">
        <v>3163</v>
      </c>
      <c r="AP17" s="1868"/>
      <c r="AQ17" s="1868"/>
      <c r="AR17" s="1868"/>
      <c r="AS17" s="1868"/>
      <c r="AT17" s="1869"/>
      <c r="AU17" s="226">
        <v>1</v>
      </c>
      <c r="AV17" s="444"/>
      <c r="AW17" s="195" t="s">
        <v>379</v>
      </c>
      <c r="AX17" s="1741"/>
      <c r="AY17" s="1742"/>
      <c r="AZ17" s="1743"/>
      <c r="BA17" s="716">
        <v>5</v>
      </c>
      <c r="BB17" s="717">
        <f t="shared" si="9"/>
        <v>0</v>
      </c>
      <c r="BC17" s="520">
        <f t="shared" si="10"/>
        <v>0</v>
      </c>
      <c r="BD17" s="702">
        <f t="shared" si="11"/>
        <v>0</v>
      </c>
      <c r="BE17" s="702">
        <f t="shared" si="11"/>
        <v>0</v>
      </c>
      <c r="BF17" s="719" t="s">
        <v>382</v>
      </c>
      <c r="BG17" s="720">
        <f>COUNTIF($K$13:$M$22,"介添")</f>
        <v>0</v>
      </c>
      <c r="BH17" s="721">
        <f>COUNTIF($X$13:$Z$22,"介添")</f>
        <v>0</v>
      </c>
      <c r="BI17" s="720">
        <f>COUNTIF($K$55:$M$84,"介添")</f>
        <v>0</v>
      </c>
      <c r="BJ17" s="720">
        <f>COUNTIF($X$55:$Z$84,"介添")</f>
        <v>0</v>
      </c>
      <c r="BK17" s="720">
        <f>COUNTIF($K$98:$M$127,"介添")</f>
        <v>0</v>
      </c>
      <c r="BL17" s="720">
        <f>COUNTIF($X$98:$Z$127,"介添")</f>
        <v>0</v>
      </c>
      <c r="BM17" s="720">
        <f>COUNTIF($K$141:$M$170,"介添")</f>
        <v>0</v>
      </c>
      <c r="BN17" s="720">
        <f>COUNTIF($X$141:$Z$170,"介添")</f>
        <v>0</v>
      </c>
      <c r="BO17" s="720">
        <f>COUNTIF($K$184:$M$213,"介添")</f>
        <v>0</v>
      </c>
      <c r="BP17" s="720">
        <f>COUNTIF($X$184:$Z$213,"介添")</f>
        <v>0</v>
      </c>
      <c r="BQ17" s="720">
        <f>COUNTIF($K$227:$M$256,"介添")</f>
        <v>0</v>
      </c>
      <c r="BR17" s="720">
        <f>COUNTIF($X$227:$Z$256,"介添")</f>
        <v>0</v>
      </c>
      <c r="BS17" s="720">
        <f t="shared" si="12"/>
        <v>0</v>
      </c>
      <c r="BT17" s="720"/>
      <c r="BU17" s="720"/>
      <c r="BV17" s="720"/>
      <c r="BW17" s="720"/>
      <c r="BX17" s="720">
        <f>SUMIFS($H$13:$H$22,$J$13:$J$22,"引",$K$13:$K$22,"介添")+SUMIFS($U$13:$U$22,$W$13:$W$22,"引",$X$13:$X$22,"介添")+SUMIFS($H$55:$H$84,$J$55:$J$84,"引",$K$55:$K$84,"介添")+SUMIFS($U$55:$U$84,$W$55:$W$84,"引",$X$55:$X$84,"介添")+SUMIFS($H$98:$H$127,$J$98:$J$127,"引",$K$98:$K$127,"介添")+SUMIFS($H$141:$H$170,$J$141:$J$170,"引",$K$141:$K$170,"介添")+SUMIFS($H$184:$H$213,$J$184:$J$213,"引",$K$184:$K$213,"介添")+SUMIFS($H$227:$H$256,$J$227:$J$256,"引",$K$227:$K$256,"介添")+SUMIFS($U$98:$U$127,$W$98:$W$127,"引",$X$98:$X$127,"介添")+SUMIFS($U$141:$U$170,$W$141:$W$170,"引",$X$141:$X$170,"介添")+SUMIFS($U$184:$U$213,$W$184:$W$213,"引",$X$184:$X$213,"介添")+SUMIFS($U$227:$U$256,$W$227:$W$256,"引",$X$227:$X$256,"介添")</f>
        <v>0</v>
      </c>
      <c r="BY17" s="720">
        <f>SUMIFS($I$13:$I$22,$J$13:$J$22,"引",$K$13:$K$22,"介添")+SUMIFS($V$13:$V$22,$W$13:$W$22,"引",$X$13:$X$22,"介添")+SUMIFS($I$55:$I$84,$J$55:$J$84,"引",$K$55:$K$84,"介添")+SUMIFS($V$55:$V$84,$W$55:$W$84,"引",$X$55:$X$84,"介添")+SUMIFS($I$98:$I$127,$J$98:$J$127,"引",$K$98:$K$127,"介添")+SUMIFS($I$141:$I$170,$J$141:$J$170,"引",$K$141:$K$170,"介添")+SUMIFS($I$184:$I$213,$J$184:$J$213,"引",$K$184:$K$213,"介添")+SUMIFS($I$227:$I$256,$J$227:$J$256,"引",$K$227:$K$256,"介添")+SUMIFS($V$98:$V$127,$W$98:$W$127,"引",$X$98:$X$127,"介添")+SUMIFS($V$141:$V$170,$W$141:$W$170,"引",$X$141:$X$170,"介添")+SUMIFS($V$184:$V$213,$W$184:$W$213,"引",$X$184:$X$213,"介添")+SUMIFS($V$227:$V$256,$W$227:$W$256,"引",$X$227:$X$256,"介添")</f>
        <v>0</v>
      </c>
      <c r="BZ17" s="722">
        <f>SUMIFS($H$13:$H$22,$J$13:$J$22,"一",$K$13:$K$22,"介添")+SUMIFS($U$13:$U$22,$W$13:$W$22,"一",$X$13:$X$22,"介添")+SUMIFS($H$55:$H$84,$J$55:$J$84,"一",$K$55:$K$84,"介添")+SUMIFS($U$55:$U$84,$W$55:$W$84,"一",$X$55:$X$84,"介添")+SUMIFS($H$98:$H$127,$J$98:$J$127,"一",$K$98:$K$127,"介添")+SUMIFS($H$141:$H$170,$J$141:$J$170,"一",$K$141:$K$170,"介添")+SUMIFS($H$184:$H$213,$J$184:$J$213,"一",$K$184:$K$213,"介添")+SUMIFS($H$227:$H$256,$J$227:$J$256,"一",$K$227:$K$256,"介添")+SUMIFS($U$98:$U$127,$W$98:$W$127,"一",$X$98:$X$127,"介添")+SUMIFS($U$141:$U$170,$W$141:$W$170,"一",$X$141:$X$170,"介添")+SUMIFS($U$184:$U$213,$W$184:$W$213,"一",$X$184:$X$213,"介添")+SUMIFS($U$227:$U$256,$W$227:$W$256,"一",$X$227:$X$256,"介添")</f>
        <v>0</v>
      </c>
      <c r="CA17" s="720">
        <f>SUMIFS($I$13:$I$22,$J$13:$J$22,"一",$K$13:$K$22,"介添")+SUMIFS($V$13:$V$22,$W$13:$W$22,"一",$X$13:$X$22,"介添")+SUMIFS($I$55:$I$84,$J$55:$J$84,"一",$K$55:$K$84,"介添")+SUMIFS($V$55:$V$84,$W$55:$W$84,"一",$X$55:$X$84,"介添")+SUMIFS($I$98:$I$127,$J$98:$J$127,"一",$K$98:$K$127,"介添")+SUMIFS($I$141:$I$170,$J$141:$J$170,"一",$K$141:$K$170,"介添")+SUMIFS($I$184:$I$213,$J$184:$J$213,"一",$K$184:$K$213,"介添")+SUMIFS($I$227:$I$256,$J$227:$J$256,"一",$K$227:$K$256,"介添")+SUMIFS($V$98:$V$127,$W$98:$W$127,"一",$X$98:$X$127,"介添")+SUMIFS($V$141:$V$170,$W$141:$W$170,"一",$X$141:$X$170,"介添")+SUMIFS($V$184:$V$213,$W$184:$W$213,"一",$X$184:$X$213,"介添")+SUMIFS($V$227:$V$256,$W$227:$W$256,"一",$X$227:$X$256,"介添")</f>
        <v>0</v>
      </c>
      <c r="CC17" s="695" t="str">
        <f t="shared" si="7"/>
        <v>小泊/準・特</v>
      </c>
      <c r="CD17" s="712">
        <f t="shared" si="8"/>
        <v>0</v>
      </c>
      <c r="CE17" s="695">
        <f>IF(OR(BT18="",BT18=0),0,110)</f>
        <v>0</v>
      </c>
      <c r="CF17" s="695">
        <v>330</v>
      </c>
      <c r="CG17" s="707">
        <v>110</v>
      </c>
      <c r="CH17" s="695">
        <v>15</v>
      </c>
      <c r="CI17" s="701" t="str">
        <f t="shared" si="0"/>
        <v>小・泊</v>
      </c>
      <c r="CJ17" s="701">
        <f t="shared" si="1"/>
        <v>0</v>
      </c>
      <c r="CK17" s="696">
        <f t="shared" si="2"/>
        <v>0</v>
      </c>
    </row>
    <row r="18" spans="1:106" ht="26.1" customHeight="1">
      <c r="A18" s="192">
        <v>6</v>
      </c>
      <c r="B18" s="1775"/>
      <c r="C18" s="1776"/>
      <c r="D18" s="1776"/>
      <c r="E18" s="1776"/>
      <c r="F18" s="1776"/>
      <c r="G18" s="1777"/>
      <c r="H18" s="193"/>
      <c r="I18" s="194"/>
      <c r="J18" s="195"/>
      <c r="K18" s="1744"/>
      <c r="L18" s="1745"/>
      <c r="M18" s="1746"/>
      <c r="N18" s="197">
        <v>16</v>
      </c>
      <c r="O18" s="1775"/>
      <c r="P18" s="1776"/>
      <c r="Q18" s="1776"/>
      <c r="R18" s="1776"/>
      <c r="S18" s="1776"/>
      <c r="T18" s="1777"/>
      <c r="U18" s="193"/>
      <c r="V18" s="194"/>
      <c r="W18" s="195"/>
      <c r="X18" s="1744"/>
      <c r="Y18" s="1745"/>
      <c r="Z18" s="1746"/>
      <c r="AA18" s="192">
        <v>6</v>
      </c>
      <c r="AB18" s="1867" t="s">
        <v>3173</v>
      </c>
      <c r="AC18" s="1868"/>
      <c r="AD18" s="1868"/>
      <c r="AE18" s="1868"/>
      <c r="AF18" s="1868"/>
      <c r="AG18" s="1869"/>
      <c r="AH18" s="226">
        <v>1</v>
      </c>
      <c r="AI18" s="444"/>
      <c r="AJ18" s="195" t="s">
        <v>381</v>
      </c>
      <c r="AK18" s="1741"/>
      <c r="AL18" s="1742"/>
      <c r="AM18" s="1743"/>
      <c r="AN18" s="197">
        <v>16</v>
      </c>
      <c r="AO18" s="1867" t="s">
        <v>3164</v>
      </c>
      <c r="AP18" s="1868"/>
      <c r="AQ18" s="1868"/>
      <c r="AR18" s="1868"/>
      <c r="AS18" s="1868"/>
      <c r="AT18" s="1869"/>
      <c r="AU18" s="226">
        <v>1</v>
      </c>
      <c r="AV18" s="444"/>
      <c r="AW18" s="195" t="s">
        <v>379</v>
      </c>
      <c r="AX18" s="1744" t="s">
        <v>382</v>
      </c>
      <c r="AY18" s="1745"/>
      <c r="AZ18" s="1746"/>
      <c r="BA18" s="716">
        <v>6</v>
      </c>
      <c r="BB18" s="717">
        <f t="shared" si="9"/>
        <v>0</v>
      </c>
      <c r="BC18" s="520">
        <f t="shared" si="10"/>
        <v>0</v>
      </c>
      <c r="BD18" s="702">
        <f t="shared" si="11"/>
        <v>0</v>
      </c>
      <c r="BE18" s="702">
        <f t="shared" si="11"/>
        <v>0</v>
      </c>
      <c r="BF18" s="713" t="s">
        <v>355</v>
      </c>
      <c r="BG18" s="715">
        <f>COUNTIF($K$13:$M$22,"準・特")</f>
        <v>0</v>
      </c>
      <c r="BH18" s="714">
        <f>COUNTIF($X$13:$Z$22,"準・特")</f>
        <v>0</v>
      </c>
      <c r="BI18" s="715">
        <f>COUNTIF($K$55:$M$84,"準・特")</f>
        <v>0</v>
      </c>
      <c r="BJ18" s="715">
        <f>COUNTIF($X$55:$Z$84,"準・特")</f>
        <v>0</v>
      </c>
      <c r="BK18" s="715">
        <f>COUNTIF($K$98:$M$127,"準・特")</f>
        <v>0</v>
      </c>
      <c r="BL18" s="715">
        <f>COUNTIF($X$98:$Z$127,"準・特")</f>
        <v>0</v>
      </c>
      <c r="BM18" s="715">
        <f>COUNTIF($K$141:$M$170,"準・特")</f>
        <v>0</v>
      </c>
      <c r="BN18" s="715">
        <f>COUNTIF($X$141:$Z$170,"準・特")</f>
        <v>0</v>
      </c>
      <c r="BO18" s="715">
        <f>COUNTIF($K$184:$M$213,"準・特")</f>
        <v>0</v>
      </c>
      <c r="BP18" s="715">
        <f>COUNTIF($X$184:$Z$213,"準・特")</f>
        <v>0</v>
      </c>
      <c r="BQ18" s="715">
        <f>COUNTIF($K$227:$M$256,"準・特")</f>
        <v>0</v>
      </c>
      <c r="BR18" s="715">
        <f>COUNTIF($X$227:$Z$256,"準・特")</f>
        <v>0</v>
      </c>
      <c r="BS18" s="715">
        <f t="shared" si="12"/>
        <v>0</v>
      </c>
      <c r="BT18" s="715">
        <f>SUMIFS($H$13:$H$22,$J$13:$J$22,"小",$K$13:$K$22,"準・特")+SUMIFS($U$13:$U$22,$W$13:$W$22,"小",$X$13:$X$22,"準・特")+SUMIFS($H$55:$H$84,$J$55:$J$84,"小",$K$55:$K$84,"準・特")+SUMIFS($U$55:$U$84,$W$55:$W$84,"小",$X$55:$X$84,"準・特")+SUMIFS($H$98:$H$127,$J$98:$J$127,"小",$K$98:$K$127,"準・特")+SUMIFS($H$141:$H$170,$J$141:$J$170,"小",$K$141:$K$170,"準・特")+SUMIFS($H$184:$H$213,$J$184:$J$213,"小",$K$184:$K$213,"準・特")+SUMIFS($H$227:$H$256,$J$227:$J$256,"小",$K$227:$K$256,"準・特")+SUMIFS($U$98:$U$127,$W$98:$W$127,"小",$X$98:$X$127,"準・特")+SUMIFS($U$141:$U$170,$W$141:$W$170,"小",$X$141:$X$170,"準・特")+SUMIFS($U$184:$U$213,$W$184:$W$213,"小",$X$184:$X$213,"準・特")+SUMIFS($U$227:$U$256,$W$227:$W$256,"小",$X$227:$X$256,"準・特")</f>
        <v>0</v>
      </c>
      <c r="BU18" s="715">
        <f>SUMIFS($I$13:$I$22,$J$13:$J$22,"小",$K$13:$K$22,"準・特")+SUMIFS($V$13:$V$22,$W$13:$W$22,"小",$X$13:$X$22,"準・特")+SUMIFS($I$55:$I$84,$J$55:$J$84,"小",$K$55:$K$84,"準・特")+SUMIFS($V$55:$V$84,$W$55:$W$84,"小",$X$55:$X$84,"準・特")+SUMIFS($I$98:$I$127,$J$98:$J$127,"小",$K$98:$K$127,"準・特")+SUMIFS($I$141:$I$170,$J$141:$J$170,"小",$K$141:$K$170,"準・特")+SUMIFS($I$184:$I$213,$J$184:$J$213,"小",$K$184:$K$213,"準・特")+SUMIFS($I$227:$I$256,$J$227:$J$256,"小",$K$227:$K$256,"準・特")+SUMIFS($V$98:$V$127,$W$98:$W$127,"小",$X$98:$X$127,"準・特")+SUMIFS($V$141:$V$170,$W$141:$W$170,"小",$X$141:$X$170,"準・特")+SUMIFS($V$184:$V$213,$W$184:$W$213,"小",$X$184:$X$213,"準・特")+SUMIFS($V$227:$V$256,$W$227:$W$256,"小",$X$227:$X$256,"準・特")</f>
        <v>0</v>
      </c>
      <c r="BV18" s="715">
        <f>SUMIFS($H$13:$H$22,$J$13:$J$22,"中",$K$13:$K$22,"準・特")+SUMIFS($U$13:$U$22,$W$13:$W$22,"中",$X$13:$X$22,"準・特")+SUMIFS($H$55:$H$84,$J$55:$J$84,"中",$K$55:$K$84,"準・特")+SUMIFS($U$55:$U$84,$W$55:$W$84,"中",$X$55:$X$84,"準・特")+SUMIFS($H$98:$H$127,$J$98:$J$127,"中",$K$98:$K$127,"準・特")+SUMIFS($H$141:$H$170,$J$141:$J$170,"中",$K$141:$K$170,"準・特")+SUMIFS($H$184:$H$213,$J$184:$J$213,"中",$K$184:$K$213,"準・特")+SUMIFS($H$227:$H$256,$J$227:$J$256,"中",$K$227:$K$256,"準・特")+SUMIFS($U$98:$U$127,$W$98:$W$127,"中",$X$98:$X$127,"準・特")+SUMIFS($U$141:$U$170,$W$141:$W$170,"中",$X$141:$X$170,"準・特")+SUMIFS($U$184:$U$213,$W$184:$W$213,"中",$X$184:$X$213,"準・特")+SUMIFS($U$227:$U$256,$W$227:$W$256,"中",$X$227:$X$256,"準・特")</f>
        <v>0</v>
      </c>
      <c r="BW18" s="715">
        <f>SUMIFS($I$13:$I$22,$J$13:$J$22,"中",$K$13:$K$22,"準・特")+SUMIFS($V$13:$V$22,$W$13:$W$22,"中",$X$13:$X$22,"準・特")+SUMIFS($I$55:$I$84,$J$55:$J$84,"中",$K$55:$K$84,"準・特")+SUMIFS($V$55:$V$84,$W$55:$W$84,"中",$X$55:$X$84,"準・特")+SUMIFS($I$98:$I$127,$J$98:$J$127,"中",$K$98:$K$127,"準・特")+SUMIFS($I$141:$I$170,$J$141:$J$170,"中",$K$141:$K$170,"準・特")+SUMIFS($I$184:$I$213,$J$184:$J$213,"中",$K$184:$K$213,"準・特")+SUMIFS($I$227:$I$256,$J$227:$J$256,"中",$K$227:$K$256,"準・特")+SUMIFS($V$98:$V$127,$W$98:$W$127,"中",$X$98:$X$127,"準・特")+SUMIFS($V$141:$V$170,$W$141:$W$170,"中",$X$141:$X$170,"準・特")+SUMIFS($V$184:$V$213,$W$184:$W$213,"中",$X$184:$X$213,"準・特")+SUMIFS($V$227:$V$256,$W$227:$W$256,"中",$X$227:$X$256,"準・特")</f>
        <v>0</v>
      </c>
      <c r="BX18" s="707"/>
      <c r="BY18" s="707"/>
      <c r="BZ18" s="707"/>
      <c r="CA18" s="707"/>
      <c r="CC18" s="695" t="str">
        <f t="shared" si="7"/>
        <v>小泊/準・身</v>
      </c>
      <c r="CD18" s="712">
        <f t="shared" si="8"/>
        <v>0</v>
      </c>
      <c r="CE18" s="695">
        <f>IF(OR(BT19="",BT19=0),0,109)</f>
        <v>0</v>
      </c>
      <c r="CF18" s="695">
        <v>330</v>
      </c>
      <c r="CG18" s="707">
        <v>109</v>
      </c>
      <c r="CI18" s="699"/>
    </row>
    <row r="19" spans="1:106" ht="26.1" customHeight="1">
      <c r="A19" s="192">
        <v>7</v>
      </c>
      <c r="B19" s="1775"/>
      <c r="C19" s="1776"/>
      <c r="D19" s="1776"/>
      <c r="E19" s="1776"/>
      <c r="F19" s="1776"/>
      <c r="G19" s="1777"/>
      <c r="H19" s="193"/>
      <c r="I19" s="194"/>
      <c r="J19" s="195"/>
      <c r="K19" s="1744"/>
      <c r="L19" s="1745"/>
      <c r="M19" s="1746"/>
      <c r="N19" s="197">
        <v>17</v>
      </c>
      <c r="O19" s="1775"/>
      <c r="P19" s="1776"/>
      <c r="Q19" s="1776"/>
      <c r="R19" s="1776"/>
      <c r="S19" s="1776"/>
      <c r="T19" s="1777"/>
      <c r="U19" s="193"/>
      <c r="V19" s="194"/>
      <c r="W19" s="195"/>
      <c r="X19" s="1744"/>
      <c r="Y19" s="1745"/>
      <c r="Z19" s="1746"/>
      <c r="AA19" s="192">
        <v>7</v>
      </c>
      <c r="AB19" s="1867" t="s">
        <v>3176</v>
      </c>
      <c r="AC19" s="1868"/>
      <c r="AD19" s="1868"/>
      <c r="AE19" s="1868"/>
      <c r="AF19" s="1868"/>
      <c r="AG19" s="1869"/>
      <c r="AH19" s="226">
        <v>1</v>
      </c>
      <c r="AI19" s="444"/>
      <c r="AJ19" s="195" t="s">
        <v>381</v>
      </c>
      <c r="AK19" s="1741"/>
      <c r="AL19" s="1742"/>
      <c r="AM19" s="1743"/>
      <c r="AN19" s="197">
        <v>17</v>
      </c>
      <c r="AO19" s="1867" t="s">
        <v>3165</v>
      </c>
      <c r="AP19" s="1868"/>
      <c r="AQ19" s="1868"/>
      <c r="AR19" s="1868"/>
      <c r="AS19" s="1868"/>
      <c r="AT19" s="1869"/>
      <c r="AU19" s="226">
        <v>1</v>
      </c>
      <c r="AV19" s="444"/>
      <c r="AW19" s="195" t="s">
        <v>379</v>
      </c>
      <c r="AX19" s="1741"/>
      <c r="AY19" s="1742"/>
      <c r="AZ19" s="1743"/>
      <c r="BA19" s="716">
        <v>7</v>
      </c>
      <c r="BB19" s="717">
        <f t="shared" si="9"/>
        <v>0</v>
      </c>
      <c r="BC19" s="520">
        <f t="shared" si="10"/>
        <v>0</v>
      </c>
      <c r="BD19" s="702">
        <f t="shared" si="11"/>
        <v>0</v>
      </c>
      <c r="BE19" s="702">
        <f t="shared" si="11"/>
        <v>0</v>
      </c>
      <c r="BF19" s="695" t="s">
        <v>356</v>
      </c>
      <c r="BG19" s="712">
        <f>COUNTIF($K$13:$M$22,"準・身")</f>
        <v>0</v>
      </c>
      <c r="BH19" s="718">
        <f>COUNTIF($X$13:$Z$22,"準・身")</f>
        <v>0</v>
      </c>
      <c r="BI19" s="712">
        <f>COUNTIF($K$55:$M$84,"準・身")</f>
        <v>0</v>
      </c>
      <c r="BJ19" s="712">
        <f>COUNTIF($X$55:$Z$84,"準・身")</f>
        <v>0</v>
      </c>
      <c r="BK19" s="712">
        <f>COUNTIF($K$98:$M$127,"準・身")</f>
        <v>0</v>
      </c>
      <c r="BL19" s="712">
        <f>COUNTIF($X$98:$Z$127,"準・身")</f>
        <v>0</v>
      </c>
      <c r="BM19" s="712">
        <f>COUNTIF($K$141:$M$170,"準・身")</f>
        <v>0</v>
      </c>
      <c r="BN19" s="712">
        <f>COUNTIF($X$141:$Z$170,"準・身")</f>
        <v>0</v>
      </c>
      <c r="BO19" s="712">
        <f>COUNTIF($K$184:$M$213,"準・身")</f>
        <v>0</v>
      </c>
      <c r="BP19" s="712">
        <f>COUNTIF($X$184:$Z$213,"準・身")</f>
        <v>0</v>
      </c>
      <c r="BQ19" s="712">
        <f>COUNTIF($K$227:$M$256,"準・身")</f>
        <v>0</v>
      </c>
      <c r="BR19" s="712">
        <f>COUNTIF($X$227:$Z$256,"準・身")</f>
        <v>0</v>
      </c>
      <c r="BS19" s="712">
        <f t="shared" si="12"/>
        <v>0</v>
      </c>
      <c r="BT19" s="712">
        <f>SUMIFS($H$13:$H$22,$J$13:$J$22,"小",$K$13:$K$22,"準・身")+SUMIFS($U$13:$U$22,$W$13:$W$22,"小",$X$13:$X$22,"準・身")+SUMIFS($H$55:$H$84,$J$55:$J$84,"小",$K$55:$K$84,"準・身")+SUMIFS($U$55:$U$84,$W$55:$W$84,"小",$X$55:$X$84,"準・身")+SUMIFS($H$98:$H$127,$J$98:$J$127,"小",$K$98:$K$127,"準・身")+SUMIFS($H$141:$H$170,$J$141:$J$170,"小",$K$141:$K$170,"準・身")+SUMIFS($H$184:$H$213,$J$184:$J$213,"小",$K$184:$K$213,"準・身")+SUMIFS($H$227:$H$256,$J$227:$J$256,"小",$K$227:$K$256,"準・身")+SUMIFS($U$98:$U$127,$W$98:$W$127,"小",$X$98:$X$127,"準・身")+SUMIFS($U$141:$U$170,$W$141:$W$170,"小",$X$141:$X$170,"準・身")+SUMIFS($U$184:$U$213,$W$184:$W$213,"小",$X$184:$X$213,"準・身")+SUMIFS($U$227:$U$256,$W$227:$W$256,"小",$X$227:$X$256,"準・身")</f>
        <v>0</v>
      </c>
      <c r="BU19" s="712">
        <f>SUMIFS($I$13:$I$22,$J$13:$J$22,"小",$K$13:$K$22,"準・身")+SUMIFS($V$13:$V$22,$W$13:$W$22,"小",$X$13:$X$22,"準・身")+SUMIFS($I$55:$I$84,$J$55:$J$84,"小",$K$55:$K$84,"準・身")+SUMIFS($V$55:$V$84,$W$55:$W$84,"小",$X$55:$X$84,"準・身")+SUMIFS($I$98:$I$127,$J$98:$J$127,"小",$K$98:$K$127,"準・身")+SUMIFS($I$141:$I$170,$J$141:$J$170,"小",$K$141:$K$170,"準・身")+SUMIFS($I$184:$I$213,$J$184:$J$213,"小",$K$184:$K$213,"準・身")+SUMIFS($I$227:$I$256,$J$227:$J$256,"小",$K$227:$K$256,"準・身")+SUMIFS($V$98:$V$127,$W$98:$W$127,"小",$X$98:$X$127,"準・身")+SUMIFS($V$141:$V$170,$W$141:$W$170,"小",$X$141:$X$170,"準・身")+SUMIFS($V$184:$V$213,$W$184:$W$213,"小",$X$184:$X$213,"準・身")+SUMIFS($V$227:$V$256,$W$227:$W$256,"小",$X$227:$X$256,"準・身")</f>
        <v>0</v>
      </c>
      <c r="BV19" s="712">
        <f>SUMIFS($H$13:$H$22,$J$13:$J$22,"中",$K$13:$K$22,"準・身")+SUMIFS($U$13:$U$22,$W$13:$W$22,"中",$X$13:$X$22,"準・身")+SUMIFS($H$55:$H$84,$J$55:$J$84,"中",$K$55:$K$84,"準・身")+SUMIFS($U$55:$U$84,$W$55:$W$84,"中",$X$55:$X$84,"準・身")+SUMIFS($H$98:$H$127,$J$98:$J$127,"中",$K$98:$K$127,"準・身")+SUMIFS($H$141:$H$170,$J$141:$J$170,"中",$K$141:$K$170,"準・身")+SUMIFS($H$184:$H$213,$J$184:$J$213,"中",$K$184:$K$213,"準・身")+SUMIFS($H$227:$H$256,$J$227:$J$256,"中",$K$227:$K$256,"準・身")+SUMIFS($U$98:$U$127,$W$98:$W$127,"中",$X$98:$X$127,"準・身")+SUMIFS($U$141:$U$170,$W$141:$W$170,"中",$X$141:$X$170,"準・身")+SUMIFS($U$184:$U$213,$W$184:$W$213,"中",$X$184:$X$213,"準・身")+SUMIFS($U$227:$U$256,$W$227:$W$256,"中",$X$227:$X$256,"準・身")</f>
        <v>0</v>
      </c>
      <c r="BW19" s="712">
        <f>SUMIFS($I$13:$I$22,$J$13:$J$22,"中",$K$13:$K$22,"準・身")+SUMIFS($V$13:$V$22,$W$13:$W$22,"中",$X$13:$X$22,"準・身")+SUMIFS($I$55:$I$84,$J$55:$J$84,"中",$K$55:$K$84,"準・身")+SUMIFS($V$55:$V$84,$W$55:$W$84,"中",$X$55:$X$84,"準・身")+SUMIFS($I$98:$I$127,$J$98:$J$127,"中",$K$98:$K$127,"準・身")+SUMIFS($I$141:$I$170,$J$141:$J$170,"中",$K$141:$K$170,"準・身")+SUMIFS($I$184:$I$213,$J$184:$J$213,"中",$K$184:$K$213,"準・身")+SUMIFS($I$227:$I$256,$J$227:$J$256,"中",$K$227:$K$256,"準・身")+SUMIFS($V$98:$V$127,$W$98:$W$127,"中",$X$98:$X$127,"準・身")+SUMIFS($V$141:$V$170,$W$141:$W$170,"中",$X$141:$X$170,"準・身")+SUMIFS($V$184:$V$213,$W$184:$W$213,"中",$X$184:$X$213,"準・身")+SUMIFS($V$227:$V$256,$W$227:$W$256,"中",$X$227:$X$256,"準・身")</f>
        <v>0</v>
      </c>
      <c r="CC19" s="695" t="str">
        <f t="shared" si="7"/>
        <v>小泊/準・療</v>
      </c>
      <c r="CD19" s="712">
        <f t="shared" si="8"/>
        <v>0</v>
      </c>
      <c r="CE19" s="695">
        <f>IF(OR(BT20="",BT20=0),0,108)</f>
        <v>0</v>
      </c>
      <c r="CF19" s="695">
        <v>330</v>
      </c>
      <c r="CG19" s="707">
        <v>108</v>
      </c>
    </row>
    <row r="20" spans="1:106" ht="26.1" customHeight="1">
      <c r="A20" s="192">
        <v>8</v>
      </c>
      <c r="B20" s="1775"/>
      <c r="C20" s="1776"/>
      <c r="D20" s="1776"/>
      <c r="E20" s="1776"/>
      <c r="F20" s="1776"/>
      <c r="G20" s="1777"/>
      <c r="H20" s="193"/>
      <c r="I20" s="194"/>
      <c r="J20" s="195"/>
      <c r="K20" s="1744"/>
      <c r="L20" s="1745"/>
      <c r="M20" s="1746"/>
      <c r="N20" s="197">
        <v>18</v>
      </c>
      <c r="O20" s="1775"/>
      <c r="P20" s="1776"/>
      <c r="Q20" s="1776"/>
      <c r="R20" s="1776"/>
      <c r="S20" s="1776"/>
      <c r="T20" s="1777"/>
      <c r="U20" s="193"/>
      <c r="V20" s="194"/>
      <c r="W20" s="195"/>
      <c r="X20" s="1744"/>
      <c r="Y20" s="1745"/>
      <c r="Z20" s="1746"/>
      <c r="AA20" s="192">
        <v>8</v>
      </c>
      <c r="AB20" s="1867" t="s">
        <v>3177</v>
      </c>
      <c r="AC20" s="1868"/>
      <c r="AD20" s="1868"/>
      <c r="AE20" s="1868"/>
      <c r="AF20" s="1868"/>
      <c r="AG20" s="1869"/>
      <c r="AH20" s="226">
        <v>1</v>
      </c>
      <c r="AI20" s="444"/>
      <c r="AJ20" s="195" t="s">
        <v>381</v>
      </c>
      <c r="AK20" s="1741"/>
      <c r="AL20" s="1742"/>
      <c r="AM20" s="1743"/>
      <c r="AN20" s="197">
        <v>18</v>
      </c>
      <c r="AO20" s="1867" t="s">
        <v>3166</v>
      </c>
      <c r="AP20" s="1868"/>
      <c r="AQ20" s="1868"/>
      <c r="AR20" s="1868"/>
      <c r="AS20" s="1868"/>
      <c r="AT20" s="1869"/>
      <c r="AU20" s="226">
        <v>1</v>
      </c>
      <c r="AV20" s="444"/>
      <c r="AW20" s="195" t="s">
        <v>379</v>
      </c>
      <c r="AX20" s="1741"/>
      <c r="AY20" s="1742"/>
      <c r="AZ20" s="1743"/>
      <c r="BA20" s="716">
        <v>8</v>
      </c>
      <c r="BB20" s="717">
        <f t="shared" si="9"/>
        <v>0</v>
      </c>
      <c r="BC20" s="520">
        <f t="shared" si="10"/>
        <v>0</v>
      </c>
      <c r="BD20" s="702">
        <f t="shared" si="11"/>
        <v>0</v>
      </c>
      <c r="BE20" s="702">
        <f t="shared" si="11"/>
        <v>0</v>
      </c>
      <c r="BF20" s="695" t="s">
        <v>357</v>
      </c>
      <c r="BG20" s="712">
        <f>COUNTIF($K$13:$M$22,"準・療")</f>
        <v>0</v>
      </c>
      <c r="BH20" s="718">
        <f>COUNTIF($X$13:$Z$22,"準・療")</f>
        <v>0</v>
      </c>
      <c r="BI20" s="712">
        <f>COUNTIF($K$55:$M$84,"準・療")</f>
        <v>0</v>
      </c>
      <c r="BJ20" s="712">
        <f>COUNTIF($X$55:$Z$84,"準・療")</f>
        <v>0</v>
      </c>
      <c r="BK20" s="712">
        <f>COUNTIF($K$98:$M$127,"準・療")</f>
        <v>0</v>
      </c>
      <c r="BL20" s="712">
        <f>COUNTIF($X$98:$Z$127,"準・療")</f>
        <v>0</v>
      </c>
      <c r="BM20" s="712">
        <f>COUNTIF($K$141:$M$170,"準・療")</f>
        <v>0</v>
      </c>
      <c r="BN20" s="712">
        <f>COUNTIF($X$141:$Z$170,"準・療")</f>
        <v>0</v>
      </c>
      <c r="BO20" s="712">
        <f>COUNTIF($K$184:$M$213,"準・療")</f>
        <v>0</v>
      </c>
      <c r="BP20" s="712">
        <f>COUNTIF($X$184:$Z$213,"準・療")</f>
        <v>0</v>
      </c>
      <c r="BQ20" s="712">
        <f>COUNTIF($K$227:$M$256,"準・療")</f>
        <v>0</v>
      </c>
      <c r="BR20" s="712">
        <f>COUNTIF($X$227:$Z$256,"準・療")</f>
        <v>0</v>
      </c>
      <c r="BS20" s="712">
        <f t="shared" si="12"/>
        <v>0</v>
      </c>
      <c r="BT20" s="712">
        <f>SUMIFS($H$13:$H$22,$J$13:$J$22,"小",$K$13:$K$22,"準・療")+SUMIFS($U$13:$U$22,$W$13:$W$22,"小",$X$13:$X$22,"準・療")+SUMIFS($H$55:$H$84,$J$55:$J$84,"小",$K$55:$K$84,"準・療")+SUMIFS($U$55:$U$84,$W$55:$W$84,"小",$X$55:$X$84,"準・療")+SUMIFS($H$98:$H$127,$J$98:$J$127,"小",$K$98:$K$127,"準・療")+SUMIFS($H$141:$H$170,$J$141:$J$170,"小",$K$141:$K$170,"準・療")+SUMIFS($H$184:$H$213,$J$184:$J$213,"小",$K$184:$K$213,"準・療")+SUMIFS($H$227:$H$256,$J$227:$J$256,"小",$K$227:$K$256,"準・療")+SUMIFS($U$98:$U$127,$W$98:$W$127,"小",$X$98:$X$127,"準・療")+SUMIFS($U$141:$U$170,$W$141:$W$170,"小",$X$141:$X$170,"準・療")+SUMIFS($U$184:$U$213,$W$184:$W$213,"小",$X$184:$X$213,"準・療")+SUMIFS($U$227:$U$256,$W$227:$W$256,"小",$X$227:$X$256,"準・療")</f>
        <v>0</v>
      </c>
      <c r="BU20" s="712">
        <f>SUMIFS($I$13:$I$22,$J$13:$J$22,"小",$K$13:$K$22,"準・身")+SUMIFS($V$13:$V$22,$W$13:$W$22,"小",$X$13:$X$22,"準・身")+SUMIFS($I$55:$I$84,$J$55:$J$84,"小",$K$55:$K$84,"準・身")+SUMIFS($V$55:$V$84,$W$55:$W$84,"小",$X$55:$X$84,"準・療")+SUMIFS($I$98:$I$127,$J$98:$J$127,"小",$K$98:$K$127,"準・療")+SUMIFS($I$141:$I$170,$J$141:$J$170,"小",$K$141:$K$170,"準・療")+SUMIFS($I$184:$I$213,$J$184:$J$213,"小",$K$184:$K$213,"準・療")+SUMIFS($I$227:$I$256,$J$227:$J$256,"小",$K$227:$K$256,"準・療")+SUMIFS($V$98:$V$127,$W$98:$W$127,"小",$X$98:$X$127,"準・療")+SUMIFS($V$141:$V$170,$W$141:$W$170,"小",$X$141:$X$170,"準・療")+SUMIFS($V$184:$V$213,$W$184:$W$213,"小",$X$184:$X$213,"準・療")+SUMIFS($V$227:$V$256,$W$227:$W$256,"小",$X$227:$X$256,"準・療")</f>
        <v>0</v>
      </c>
      <c r="BV20" s="712">
        <f>SUMIFS($H$13:$H$22,$J$13:$J$22,"中",$K$13:$K$22,"準・療")+SUMIFS($U$13:$U$22,$W$13:$W$22,"中",$X$13:$X$22,"準・療")+SUMIFS($H$55:$H$84,$J$55:$J$84,"中",$K$55:$K$84,"準・療")+SUMIFS($U$55:$U$84,$W$55:$W$84,"中",$X$55:$X$84,"準・療")+SUMIFS($H$98:$H$127,$J$98:$J$127,"中",$K$98:$K$127,"準・療")+SUMIFS($H$141:$H$170,$J$141:$J$170,"中",$K$141:$K$170,"準・療")+SUMIFS($H$184:$H$213,$J$184:$J$213,"中",$K$184:$K$213,"準・療")+SUMIFS($H$227:$H$256,$J$227:$J$256,"中",$K$227:$K$256,"準・療")+SUMIFS($U$98:$U$127,$W$98:$W$127,"中",$X$98:$X$127,"準・療")+SUMIFS($U$141:$U$170,$W$141:$W$170,"中",$X$141:$X$170,"準・療")+SUMIFS($U$184:$U$213,$W$184:$W$213,"中",$X$184:$X$213,"準・療")+SUMIFS($U$227:$U$256,$W$227:$W$256,"中",$X$227:$X$256,"準・療")</f>
        <v>0</v>
      </c>
      <c r="BW20" s="712">
        <f>SUMIFS($I$13:$I$22,$J$13:$J$22,"中",$K$13:$K$22,"準・身")+SUMIFS($V$13:$V$22,$W$13:$W$22,"中",$X$13:$X$22,"準・身")+SUMIFS($I$55:$I$84,$J$55:$J$84,"中",$K$55:$K$84,"準・身")+SUMIFS($V$55:$V$84,$W$55:$W$84,"中",$X$55:$X$84,"準・療")+SUMIFS($I$98:$I$127,$J$98:$J$127,"中",$K$98:$K$127,"準・療")+SUMIFS($I$141:$I$170,$J$141:$J$170,"中",$K$141:$K$170,"準・療")+SUMIFS($I$184:$I$213,$J$184:$J$213,"中",$K$184:$K$213,"準・療")+SUMIFS($I$227:$I$256,$J$227:$J$256,"中",$K$227:$K$256,"準・療")+SUMIFS($V$98:$V$127,$W$98:$W$127,"中",$X$98:$X$127,"準・療")+SUMIFS($V$141:$V$170,$W$141:$W$170,"中",$X$141:$X$170,"準・療")+SUMIFS($V$184:$V$213,$W$184:$W$213,"中",$X$184:$X$213,"準・療")+SUMIFS($V$227:$V$256,$W$227:$W$256,"中",$X$227:$X$256,"準・療")</f>
        <v>0</v>
      </c>
      <c r="CC20" s="695" t="str">
        <f t="shared" si="7"/>
        <v>小泊/準・精</v>
      </c>
      <c r="CD20" s="712">
        <f t="shared" si="8"/>
        <v>0</v>
      </c>
      <c r="CE20" s="695">
        <f>IF(OR(BT21="",BT21=0),0,107)</f>
        <v>0</v>
      </c>
      <c r="CF20" s="695">
        <v>330</v>
      </c>
      <c r="CG20" s="707">
        <v>107</v>
      </c>
    </row>
    <row r="21" spans="1:106" ht="26.1" customHeight="1">
      <c r="A21" s="192">
        <v>9</v>
      </c>
      <c r="B21" s="1775"/>
      <c r="C21" s="1776"/>
      <c r="D21" s="1776"/>
      <c r="E21" s="1776"/>
      <c r="F21" s="1776"/>
      <c r="G21" s="1777"/>
      <c r="H21" s="193"/>
      <c r="I21" s="194"/>
      <c r="J21" s="195"/>
      <c r="K21" s="1744"/>
      <c r="L21" s="1745"/>
      <c r="M21" s="1746"/>
      <c r="N21" s="197">
        <v>19</v>
      </c>
      <c r="O21" s="1775"/>
      <c r="P21" s="1776"/>
      <c r="Q21" s="1776"/>
      <c r="R21" s="1776"/>
      <c r="S21" s="1776"/>
      <c r="T21" s="1777"/>
      <c r="U21" s="193"/>
      <c r="V21" s="194"/>
      <c r="W21" s="195"/>
      <c r="X21" s="1744"/>
      <c r="Y21" s="1745"/>
      <c r="Z21" s="1746"/>
      <c r="AA21" s="192">
        <v>9</v>
      </c>
      <c r="AB21" s="1867" t="s">
        <v>3167</v>
      </c>
      <c r="AC21" s="1868"/>
      <c r="AD21" s="1868"/>
      <c r="AE21" s="1868"/>
      <c r="AF21" s="1868"/>
      <c r="AG21" s="1869"/>
      <c r="AH21" s="226">
        <v>1</v>
      </c>
      <c r="AI21" s="444"/>
      <c r="AJ21" s="195" t="s">
        <v>381</v>
      </c>
      <c r="AK21" s="1741"/>
      <c r="AL21" s="1742"/>
      <c r="AM21" s="1743"/>
      <c r="AN21" s="197">
        <v>19</v>
      </c>
      <c r="AO21" s="1867" t="s">
        <v>3168</v>
      </c>
      <c r="AP21" s="1868"/>
      <c r="AQ21" s="1868"/>
      <c r="AR21" s="1868"/>
      <c r="AS21" s="1868"/>
      <c r="AT21" s="1869"/>
      <c r="AU21" s="445"/>
      <c r="AV21" s="227">
        <v>1</v>
      </c>
      <c r="AW21" s="195" t="s">
        <v>378</v>
      </c>
      <c r="AX21" s="1741"/>
      <c r="AY21" s="1742"/>
      <c r="AZ21" s="1743"/>
      <c r="BA21" s="716">
        <v>9</v>
      </c>
      <c r="BB21" s="717">
        <f t="shared" si="9"/>
        <v>0</v>
      </c>
      <c r="BC21" s="520">
        <f t="shared" si="10"/>
        <v>0</v>
      </c>
      <c r="BD21" s="702">
        <f t="shared" si="11"/>
        <v>0</v>
      </c>
      <c r="BE21" s="723">
        <f t="shared" si="11"/>
        <v>0</v>
      </c>
      <c r="BF21" s="695" t="s">
        <v>358</v>
      </c>
      <c r="BG21" s="712">
        <f>COUNTIF($K$13:$M$22,"準・精")</f>
        <v>0</v>
      </c>
      <c r="BH21" s="718">
        <f>COUNTIF($X$13:$Z$22,"準・精")</f>
        <v>0</v>
      </c>
      <c r="BI21" s="712">
        <f>COUNTIF($K$55:$M$84,"準・精")</f>
        <v>0</v>
      </c>
      <c r="BJ21" s="712">
        <f>COUNTIF($X$55:$Z$84,"準・精")</f>
        <v>0</v>
      </c>
      <c r="BK21" s="712">
        <f>COUNTIF($K$98:$M$127,"準・精")</f>
        <v>0</v>
      </c>
      <c r="BL21" s="712">
        <f>COUNTIF($X$98:$Z$127,"準・精")</f>
        <v>0</v>
      </c>
      <c r="BM21" s="712">
        <f>COUNTIF($K$141:$M$170,"準・精")</f>
        <v>0</v>
      </c>
      <c r="BN21" s="712">
        <f>COUNTIF($X$141:$Z$170,"準・精")</f>
        <v>0</v>
      </c>
      <c r="BO21" s="712">
        <f>COUNTIF($K$184:$M$213,"準・精")</f>
        <v>0</v>
      </c>
      <c r="BP21" s="712">
        <f>COUNTIF($X$184:$Z$213,"準・精")</f>
        <v>0</v>
      </c>
      <c r="BQ21" s="712">
        <f>COUNTIF($K$227:$M$256,"準・精")</f>
        <v>0</v>
      </c>
      <c r="BR21" s="712">
        <f>COUNTIF($X$227:$Z$256,"準・精")</f>
        <v>0</v>
      </c>
      <c r="BS21" s="712">
        <f t="shared" si="12"/>
        <v>0</v>
      </c>
      <c r="BT21" s="712">
        <f>SUMIFS($H$13:$H$22,$J$13:$J$22,"小",$K$13:$K$22,"準・精")+SUMIFS($U$13:$U$22,$W$13:$W$22,"小",$X$13:$X$22,"準・精")+SUMIFS($H$55:$H$84,$J$55:$J$84,"小",$K$55:$K$84,"準・精")+SUMIFS($U$55:$U$84,$W$55:$W$84,"小",$X$55:$X$84,"準・精")+SUMIFS($H$98:$H$127,$J$98:$J$127,"小",$K$98:$K$127,"準・精")+SUMIFS($H$141:$H$170,$J$141:$J$170,"小",$K$141:$K$170,"準・精")+SUMIFS($H$184:$H$213,$J$184:$J$213,"小",$K$184:$K$213,"準・精")+SUMIFS($H$227:$H$256,$J$227:$J$256,"小",$K$227:$K$256,"準・精")+SUMIFS($U$98:$U$127,$W$98:$W$127,"小",$X$98:$X$127,"準・精")+SUMIFS($U$141:$U$170,$W$141:$W$170,"小",$X$141:$X$170,"準・精")+SUMIFS($U$184:$U$213,$W$184:$W$213,"小",$X$184:$X$213,"準・精")+SUMIFS($U$227:$U$256,$W$227:$W$256,"小",$X$227:$X$256,"準・精")</f>
        <v>0</v>
      </c>
      <c r="BU21" s="712">
        <f>SUMIFS($I$13:$I$22,$J$13:$J$22,"小",$K$13:$K$22,"準・精")+SUMIFS($V$13:$V$22,$W$13:$W$22,"小",$X$13:$X$22,"準・精")+SUMIFS($I$55:$I$84,$J$55:$J$84,"小",$K$55:$K$84,"準・精")+SUMIFS($V$55:$V$84,$W$55:$W$84,"小",$X$55:$X$84,"準・精")+SUMIFS($I$98:$I$127,$J$98:$J$127,"小",$K$98:$K$127,"準・精")+SUMIFS($I$141:$I$170,$J$141:$J$170,"小",$K$141:$K$170,"準・精")+SUMIFS($I$184:$I$213,$J$184:$J$213,"小",$K$184:$K$213,"準・精")+SUMIFS($I$227:$I$256,$J$227:$J$256,"小",$K$227:$K$256,"準・精")+SUMIFS($V$98:$V$127,$W$98:$W$127,"小",$X$98:$X$127,"準・精")+SUMIFS($V$141:$V$170,$W$141:$W$170,"小",$X$141:$X$170,"準・精")+SUMIFS($V$184:$V$213,$W$184:$W$213,"小",$X$184:$X$213,"準・精")+SUMIFS($V$227:$V$256,$W$227:$W$256,"小",$X$227:$X$256,"準・精")</f>
        <v>0</v>
      </c>
      <c r="BV21" s="712">
        <f>SUMIFS($H$13:$H$22,$J$13:$J$22,"中",$K$13:$K$22,"準・精")+SUMIFS($U$13:$U$22,$W$13:$W$22,"中",$X$13:$X$22,"準・精")+SUMIFS($H$55:$H$84,$J$55:$J$84,"中",$K$55:$K$84,"準・精")+SUMIFS($U$55:$U$84,$W$55:$W$84,"中",$X$55:$X$84,"準・精")+SUMIFS($H$98:$H$127,$J$98:$J$127,"中",$K$98:$K$127,"準・精")+SUMIFS($H$141:$H$170,$J$141:$J$170,"中",$K$141:$K$170,"準・精")+SUMIFS($H$184:$H$213,$J$184:$J$213,"中",$K$184:$K$213,"準・精")+SUMIFS($H$227:$H$256,$J$227:$J$256,"中",$K$227:$K$256,"準・精")+SUMIFS($U$98:$U$127,$W$98:$W$127,"中",$X$98:$X$127,"準・精")+SUMIFS($U$141:$U$170,$W$141:$W$170,"中",$X$141:$X$170,"準・精")+SUMIFS($U$184:$U$213,$W$184:$W$213,"中",$X$184:$X$213,"準・精")+SUMIFS($U$227:$U$256,$W$227:$W$256,"中",$X$227:$X$256,"準・精")</f>
        <v>0</v>
      </c>
      <c r="BW21" s="712">
        <f>SUMIFS($I$13:$I$22,$J$13:$J$22,"中",$K$13:$K$22,"準・精")+SUMIFS($V$13:$V$22,$W$13:$W$22,"中",$X$13:$X$22,"準・精")+SUMIFS($I$55:$I$84,$J$55:$J$84,"中",$K$55:$K$84,"準・精")+SUMIFS($V$55:$V$84,$W$55:$W$84,"中",$X$55:$X$84,"準・精")+SUMIFS($I$98:$I$127,$J$98:$J$127,"中",$K$98:$K$127,"準・精")+SUMIFS($I$141:$I$170,$J$141:$J$170,"中",$K$141:$K$170,"準・精")+SUMIFS($I$184:$I$213,$J$184:$J$213,"中",$K$184:$K$213,"準・精")+SUMIFS($I$227:$I$256,$J$227:$J$256,"中",$K$227:$K$256,"準・精")+SUMIFS($V$98:$V$127,$W$98:$W$127,"中",$X$98:$X$127,"準・精")+SUMIFS($V$141:$V$170,$W$141:$W$170,"中",$X$141:$X$170,"準・精")+SUMIFS($V$184:$V$213,$W$184:$W$213,"中",$X$184:$X$213,"準・精")+SUMIFS($V$227:$V$256,$W$227:$W$256,"中",$X$227:$X$256,"準・精")</f>
        <v>0</v>
      </c>
      <c r="CC21" s="695" t="str">
        <f t="shared" si="7"/>
        <v>小泊/特・身</v>
      </c>
      <c r="CD21" s="712">
        <f t="shared" si="8"/>
        <v>0</v>
      </c>
      <c r="CE21" s="695">
        <f>IF(OR(BT22="",BT22=0),0,106)</f>
        <v>0</v>
      </c>
      <c r="CF21" s="695">
        <v>330</v>
      </c>
      <c r="CG21" s="707">
        <v>106</v>
      </c>
    </row>
    <row r="22" spans="1:106" ht="26.1" customHeight="1">
      <c r="A22" s="192">
        <v>10</v>
      </c>
      <c r="B22" s="1775"/>
      <c r="C22" s="1776"/>
      <c r="D22" s="1776"/>
      <c r="E22" s="1776"/>
      <c r="F22" s="1776"/>
      <c r="G22" s="1777"/>
      <c r="H22" s="193"/>
      <c r="I22" s="194"/>
      <c r="J22" s="195"/>
      <c r="K22" s="1744"/>
      <c r="L22" s="1745"/>
      <c r="M22" s="1746"/>
      <c r="N22" s="197">
        <v>20</v>
      </c>
      <c r="O22" s="1775"/>
      <c r="P22" s="1776"/>
      <c r="Q22" s="1776"/>
      <c r="R22" s="1776"/>
      <c r="S22" s="1776"/>
      <c r="T22" s="1777"/>
      <c r="U22" s="193"/>
      <c r="V22" s="194"/>
      <c r="W22" s="195"/>
      <c r="X22" s="1744"/>
      <c r="Y22" s="1745"/>
      <c r="Z22" s="1746"/>
      <c r="AA22" s="192">
        <v>10</v>
      </c>
      <c r="AB22" s="1867" t="s">
        <v>3180</v>
      </c>
      <c r="AC22" s="1868"/>
      <c r="AD22" s="1868"/>
      <c r="AE22" s="1868"/>
      <c r="AF22" s="1868"/>
      <c r="AG22" s="1869"/>
      <c r="AH22" s="226">
        <v>1</v>
      </c>
      <c r="AI22" s="444"/>
      <c r="AJ22" s="195" t="s">
        <v>381</v>
      </c>
      <c r="AK22" s="1741"/>
      <c r="AL22" s="1742"/>
      <c r="AM22" s="1743"/>
      <c r="AN22" s="197">
        <v>20</v>
      </c>
      <c r="AO22" s="1867" t="s">
        <v>3169</v>
      </c>
      <c r="AP22" s="1868"/>
      <c r="AQ22" s="1868"/>
      <c r="AR22" s="1868"/>
      <c r="AS22" s="1868"/>
      <c r="AT22" s="1869"/>
      <c r="AU22" s="445"/>
      <c r="AV22" s="227">
        <v>2</v>
      </c>
      <c r="AW22" s="195" t="s">
        <v>378</v>
      </c>
      <c r="AX22" s="1741"/>
      <c r="AY22" s="1742"/>
      <c r="AZ22" s="1743"/>
      <c r="BA22" s="716">
        <v>10</v>
      </c>
      <c r="BB22" s="717">
        <f t="shared" si="9"/>
        <v>0</v>
      </c>
      <c r="BC22" s="520">
        <f t="shared" si="10"/>
        <v>0</v>
      </c>
      <c r="BD22" s="702">
        <f t="shared" si="11"/>
        <v>0</v>
      </c>
      <c r="BE22" s="723">
        <f t="shared" si="11"/>
        <v>0</v>
      </c>
      <c r="BF22" s="695" t="s">
        <v>359</v>
      </c>
      <c r="BG22" s="712">
        <f>COUNTIF($K$13:$M$22,"特・身")</f>
        <v>0</v>
      </c>
      <c r="BH22" s="718">
        <f>COUNTIF($X$13:$Z$22,"準・身")</f>
        <v>0</v>
      </c>
      <c r="BI22" s="712">
        <f>COUNTIF($K$55:$M$84,"準・身")</f>
        <v>0</v>
      </c>
      <c r="BJ22" s="712">
        <f>COUNTIF($X$55:$Z$84,"準・身")</f>
        <v>0</v>
      </c>
      <c r="BK22" s="712">
        <f>COUNTIF($K$98:$M$127,"準・身")</f>
        <v>0</v>
      </c>
      <c r="BL22" s="712">
        <f>COUNTIF($X$98:$Z$127,"準・身")</f>
        <v>0</v>
      </c>
      <c r="BM22" s="712">
        <f>COUNTIF($K$141:$M$170,"準・身")</f>
        <v>0</v>
      </c>
      <c r="BN22" s="712">
        <f>COUNTIF($X$141:$Z$170,"準・身")</f>
        <v>0</v>
      </c>
      <c r="BO22" s="712">
        <f>COUNTIF($K$184:$M$213,"準・身")</f>
        <v>0</v>
      </c>
      <c r="BP22" s="712">
        <f>COUNTIF($X$184:$Z$213,"準・身")</f>
        <v>0</v>
      </c>
      <c r="BQ22" s="712">
        <f>COUNTIF($K$227:$M$256,"準・身")</f>
        <v>0</v>
      </c>
      <c r="BR22" s="712">
        <f>COUNTIF($X$227:$Z$256,"準・身")</f>
        <v>0</v>
      </c>
      <c r="BS22" s="712">
        <f t="shared" si="12"/>
        <v>0</v>
      </c>
      <c r="BT22" s="712">
        <f>SUMIFS($H$13:$H$22,$J$13:$J$22,"小",$K$13:$K$22,"特・身")+SUMIFS($U$13:$U$22,$W$13:$W$22,"小",$X$13:$X$22,"特・身")+SUMIFS($H$55:$H$84,$J$55:$J$84,"小",$K$55:$K$84,"特・身")+SUMIFS($U$55:$U$84,$W$55:$W$84,"小",$X$55:$X$84,"特・身")+SUMIFS($H$98:$H$127,$J$98:$J$127,"小",$K$98:$K$127,"特・身")+SUMIFS($H$141:$H$170,$J$141:$J$170,"小",$K$141:$K$170,"特・身")+SUMIFS($H$184:$H$213,$J$184:$J$213,"小",$K$184:$K$213,"特・身")+SUMIFS($H$227:$H$256,$J$227:$J$256,"小",$K$227:$K$256,"特・身")+SUMIFS($U$98:$U$127,$W$98:$W$127,"小",$X$98:$X$127,"特・身")+SUMIFS($U$141:$U$170,$W$141:$W$170,"小",$X$141:$X$170,"特・身")+SUMIFS($U$184:$U$213,$W$184:$W$213,"小",$X$184:$X$213,"特・身")+SUMIFS($U$227:$U$256,$W$227:$W$256,"小",$X$227:$X$256,"特・身")</f>
        <v>0</v>
      </c>
      <c r="BU22" s="712">
        <f>SUMIFS($I$13:$I$22,$J$13:$J$22,"小",$K$13:$K$22,"特・身")+SUMIFS($V$13:$V$22,$W$13:$W$22,"小",$X$13:$X$22,"特・身")+SUMIFS($I$55:$I$84,$J$55:$J$84,"小",$K$55:$K$84,"特・身")+SUMIFS($V$55:$V$84,$W$55:$W$84,"小",$X$55:$X$84,"特・身")+SUMIFS($I$98:$I$127,$J$98:$J$127,"小",$K$98:$K$127,"特・身")+SUMIFS($I$141:$I$170,$J$141:$J$170,"小",$K$141:$K$170,"特・身")+SUMIFS($I$184:$I$213,$J$184:$J$213,"小",$K$184:$K$213,"特・身")+SUMIFS($I$227:$I$256,$J$227:$J$256,"小",$K$227:$K$256,"特・身")+SUMIFS($V$98:$V$127,$W$98:$W$127,"小",$X$98:$X$127,"特・身")+SUMIFS($V$141:$V$170,$W$141:$W$170,"小",$X$141:$X$170,"特・身")+SUMIFS($V$184:$V$213,$W$184:$W$213,"小",$X$184:$X$213,"特・身")+SUMIFS($V$227:$V$256,$W$227:$W$256,"小",$X$227:$X$256,"特・身")</f>
        <v>0</v>
      </c>
      <c r="BV22" s="712">
        <f>SUMIFS($H$13:$H$22,$J$13:$J$22,"中",$K$13:$K$22,"特・身")+SUMIFS($U$13:$U$22,$W$13:$W$22,"中",$X$13:$X$22,"特・身")+SUMIFS($H$55:$H$84,$J$55:$J$84,"中",$K$55:$K$84,"特・身")+SUMIFS($U$55:$U$84,$W$55:$W$84,"中",$X$55:$X$84,"特・身")+SUMIFS($H$98:$H$127,$J$98:$J$127,"中",$K$98:$K$127,"特・身")+SUMIFS($H$141:$H$170,$J$141:$J$170,"中",$K$141:$K$170,"特・身")+SUMIFS($H$184:$H$213,$J$184:$J$213,"中",$K$184:$K$213,"特・身")+SUMIFS($H$227:$H$256,$J$227:$J$256,"中",$K$227:$K$256,"特・身")+SUMIFS($U$98:$U$127,$W$98:$W$127,"中",$X$98:$X$127,"特・身")+SUMIFS($U$141:$U$170,$W$141:$W$170,"中",$X$141:$X$170,"特・身")+SUMIFS($U$184:$U$213,$W$184:$W$213,"中",$X$184:$X$213,"特・身")+SUMIFS($U$227:$U$256,$W$227:$W$256,"中",$X$227:$X$256,"特・身")</f>
        <v>0</v>
      </c>
      <c r="BW22" s="712">
        <f>SUMIFS($I$13:$I$22,$J$13:$J$22,"中",$K$13:$K$22,"特・身")+SUMIFS($V$13:$V$22,$W$13:$W$22,"中",$X$13:$X$22,"特・身")+SUMIFS($I$55:$I$84,$J$55:$J$84,"中",$K$55:$K$84,"特・身")+SUMIFS($V$55:$V$84,$W$55:$W$84,"中",$X$55:$X$84,"特・身")+SUMIFS($I$98:$I$127,$J$98:$J$127,"中",$K$98:$K$127,"特・身")+SUMIFS($I$141:$I$170,$J$141:$J$170,"中",$K$141:$K$170,"特・身")+SUMIFS($I$184:$I$213,$J$184:$J$213,"中",$K$184:$K$213,"特・身")+SUMIFS($I$227:$I$256,$J$227:$J$256,"中",$K$227:$K$256,"特・身")+SUMIFS($V$98:$V$127,$W$98:$W$127,"中",$X$98:$X$127,"特・身")+SUMIFS($V$141:$V$170,$W$141:$W$170,"中",$X$141:$X$170,"特・身")+SUMIFS($V$184:$V$213,$W$184:$W$213,"中",$X$184:$X$213,"特・身")+SUMIFS($V$227:$V$256,$W$227:$W$256,"中",$X$227:$X$256,"特・身")</f>
        <v>0</v>
      </c>
      <c r="CC22" s="695" t="str">
        <f t="shared" si="7"/>
        <v>小泊/特・療</v>
      </c>
      <c r="CD22" s="712">
        <f t="shared" si="8"/>
        <v>0</v>
      </c>
      <c r="CE22" s="695">
        <f>IF(OR(BT23="",BT23=0),0,105)</f>
        <v>0</v>
      </c>
      <c r="CF22" s="695">
        <v>330</v>
      </c>
      <c r="CG22" s="707">
        <v>105</v>
      </c>
    </row>
    <row r="23" spans="1:106" ht="26.1" customHeight="1">
      <c r="A23" s="198"/>
      <c r="B23" s="199"/>
      <c r="C23" s="199"/>
      <c r="D23" s="199"/>
      <c r="E23" s="199"/>
      <c r="F23" s="199"/>
      <c r="G23" s="199"/>
      <c r="H23" s="425">
        <f>COUNTA(H13:H22,U13:U22,H55:H84,U55:U84,H98:H127,U98:U127,H141:H170,U141:U170,H184:H213,U184:U213,H227:H256,U227:U256)</f>
        <v>0</v>
      </c>
      <c r="I23" s="426">
        <f>COUNTA(I13:I22,V13:V22,I55:I84,V55:V84,I98:I127,V98:V127,I141:I170,V141:V170,I184:I213,V184:V213,I227:I256,V227:V256)</f>
        <v>0</v>
      </c>
      <c r="J23" s="200"/>
      <c r="K23" s="200"/>
      <c r="L23" s="201"/>
      <c r="M23" s="201"/>
      <c r="N23" s="198"/>
      <c r="O23" s="199"/>
      <c r="P23" s="199"/>
      <c r="Q23" s="199"/>
      <c r="R23" s="199"/>
      <c r="S23" s="199"/>
      <c r="T23" s="199"/>
      <c r="U23" s="200"/>
      <c r="V23" s="200"/>
      <c r="W23" s="200"/>
      <c r="X23" s="200"/>
      <c r="Y23" s="201"/>
      <c r="Z23" s="201"/>
      <c r="AA23" s="153"/>
      <c r="AB23" s="199"/>
      <c r="AC23" s="199"/>
      <c r="AD23" s="199"/>
      <c r="AE23" s="199"/>
      <c r="AF23" s="199"/>
      <c r="AG23" s="199"/>
      <c r="AH23" s="200"/>
      <c r="AI23" s="200"/>
      <c r="AJ23" s="221"/>
      <c r="AK23" s="221"/>
      <c r="AL23" s="183"/>
      <c r="AM23" s="183"/>
      <c r="AN23" s="153"/>
      <c r="AO23" s="199"/>
      <c r="AP23" s="199"/>
      <c r="AQ23" s="199"/>
      <c r="AR23" s="199"/>
      <c r="AS23" s="199"/>
      <c r="AT23" s="199"/>
      <c r="AU23" s="200"/>
      <c r="AV23" s="200"/>
      <c r="AW23" s="221"/>
      <c r="AX23" s="221"/>
      <c r="AY23" s="183"/>
      <c r="AZ23" s="183"/>
      <c r="BA23" s="716">
        <v>11</v>
      </c>
      <c r="BB23" s="717">
        <f t="shared" ref="BB23:BB32" si="13">COUNTA(U13:V13)</f>
        <v>0</v>
      </c>
      <c r="BC23" s="520">
        <f t="shared" ref="BC23:BC32" si="14">COUNTA(X13)</f>
        <v>0</v>
      </c>
      <c r="BD23" s="702">
        <f t="shared" ref="BD23:BE32" si="15">BB23-COUNTA(U13)</f>
        <v>0</v>
      </c>
      <c r="BE23" s="723">
        <f t="shared" si="15"/>
        <v>0</v>
      </c>
      <c r="BF23" s="695" t="s">
        <v>360</v>
      </c>
      <c r="BG23" s="712">
        <f>COUNTIF($K$13:$M$22,"特・療")</f>
        <v>0</v>
      </c>
      <c r="BH23" s="718">
        <f>COUNTIF($X$13:$Z$22,"特・療")</f>
        <v>0</v>
      </c>
      <c r="BI23" s="712">
        <f>COUNTIF($K$55:$M$84,"特・療")</f>
        <v>0</v>
      </c>
      <c r="BJ23" s="712">
        <f>COUNTIF($X$55:$Z$84,"特・療")</f>
        <v>0</v>
      </c>
      <c r="BK23" s="712">
        <f>COUNTIF($K$98:$M$127,"特・療")</f>
        <v>0</v>
      </c>
      <c r="BL23" s="712">
        <f>COUNTIF($X$98:$Z$127,"特・療")</f>
        <v>0</v>
      </c>
      <c r="BM23" s="712">
        <f>COUNTIF($K$141:$M$170,"特・療")</f>
        <v>0</v>
      </c>
      <c r="BN23" s="712">
        <f>COUNTIF($X$141:$Z$170,"特・療")</f>
        <v>0</v>
      </c>
      <c r="BO23" s="712">
        <f>COUNTIF($K$184:$M$213,"特・療")</f>
        <v>0</v>
      </c>
      <c r="BP23" s="712">
        <f>COUNTIF($X$184:$Z$213,"特・療")</f>
        <v>0</v>
      </c>
      <c r="BQ23" s="712">
        <f>COUNTIF($K$227:$M$256,"特・療")</f>
        <v>0</v>
      </c>
      <c r="BR23" s="712">
        <f>COUNTIF($X$227:$Z$256,"特・療")</f>
        <v>0</v>
      </c>
      <c r="BS23" s="712">
        <f t="shared" si="12"/>
        <v>0</v>
      </c>
      <c r="BT23" s="712">
        <f>SUMIFS($H$13:$H$22,$J$13:$J$22,"小",$K$13:$K$22,"特・療")+SUMIFS($U$13:$U$22,$W$13:$W$22,"小",$X$13:$X$22,"特・療")+SUMIFS($H$55:$H$84,$J$55:$J$84,"小",$K$55:$K$84,"特・療")+SUMIFS($U$55:$U$84,$W$55:$W$84,"小",$X$55:$X$84,"特・療")+SUMIFS($H$98:$H$127,$J$98:$J$127,"小",$K$98:$K$127,"特・療")+SUMIFS($H$141:$H$170,$J$141:$J$170,"小",$K$141:$K$170,"特・療")+SUMIFS($H$184:$H$213,$J$184:$J$213,"小",$K$184:$K$213,"特・療")+SUMIFS($H$227:$H$256,$J$227:$J$256,"小",$K$227:$K$256,"特・療")+SUMIFS($U$98:$U$127,$W$98:$W$127,"小",$X$98:$X$127,"特・療")+SUMIFS($U$141:$U$170,$W$141:$W$170,"小",$X$141:$X$170,"特・療")+SUMIFS($U$184:$U$213,$W$184:$W$213,"小",$X$184:$X$213,"特・療")+SUMIFS($U$227:$U$256,$W$227:$W$256,"小",$X$227:$X$256,"特・療")</f>
        <v>0</v>
      </c>
      <c r="BU23" s="712">
        <f>SUMIFS($I$13:$I$22,$J$13:$J$22,"小",$K$13:$K$22,"特・療")+SUMIFS($V$13:$V$22,$W$13:$W$22,"小",$X$13:$X$22,"特・療")+SUMIFS($I$55:$I$84,$J$55:$J$84,"小",$K$55:$K$84,"特・療")+SUMIFS($V$55:$V$84,$W$55:$W$84,"小",$X$55:$X$84,"特・療")+SUMIFS($I$98:$I$127,$J$98:$J$127,"小",$K$98:$K$127,"特・療")+SUMIFS($I$141:$I$170,$J$141:$J$170,"小",$K$141:$K$170,"特・療")+SUMIFS($I$184:$I$213,$J$184:$J$213,"小",$K$184:$K$213,"特・療")+SUMIFS($I$227:$I$256,$J$227:$J$256,"小",$K$227:$K$256,"特・療")+SUMIFS($V$98:$V$127,$W$98:$W$127,"小",$X$98:$X$127,"特・療")+SUMIFS($V$141:$V$170,$W$141:$W$170,"小",$X$141:$X$170,"特・療")+SUMIFS($V$184:$V$213,$W$184:$W$213,"小",$X$184:$X$213,"特・療")+SUMIFS($V$227:$V$256,$W$227:$W$256,"小",$X$227:$X$256,"特・療")</f>
        <v>0</v>
      </c>
      <c r="BV23" s="712">
        <f>SUMIFS($H$13:$H$22,$J$13:$J$22,"中",$K$13:$K$22,"特・療")+SUMIFS($U$13:$U$22,$W$13:$W$22,"中",$X$13:$X$22,"特・療")+SUMIFS($H$55:$H$84,$J$55:$J$84,"中",$K$55:$K$84,"特・療")+SUMIFS($U$55:$U$84,$W$55:$W$84,"中",$X$55:$X$84,"特・療")+SUMIFS($H$98:$H$127,$J$98:$J$127,"中",$K$98:$K$127,"特・療")+SUMIFS($H$141:$H$170,$J$141:$J$170,"中",$K$141:$K$170,"特・療")+SUMIFS($H$184:$H$213,$J$184:$J$213,"中",$K$184:$K$213,"特・療")+SUMIFS($H$227:$H$256,$J$227:$J$256,"中",$K$227:$K$256,"特・療")+SUMIFS($U$98:$U$127,$W$98:$W$127,"中",$X$98:$X$127,"特・療")+SUMIFS($U$141:$U$170,$W$141:$W$170,"中",$X$141:$X$170,"特・療")+SUMIFS($U$184:$U$213,$W$184:$W$213,"中",$X$184:$X$213,"特・療")+SUMIFS($U$227:$U$256,$W$227:$W$256,"中",$X$227:$X$256,"特・療")</f>
        <v>0</v>
      </c>
      <c r="BW23" s="712">
        <f>SUMIFS($I$13:$I$22,$J$13:$J$22,"中",$K$13:$K$22,"特・療")+SUMIFS($V$13:$V$22,$W$13:$W$22,"中",$X$13:$X$22,"特・療")+SUMIFS($I$55:$I$84,$J$55:$J$84,"中",$K$55:$K$84,"特・療")+SUMIFS($V$55:$V$84,$W$55:$W$84,"中",$X$55:$X$84,"特・療")+SUMIFS($I$98:$I$127,$J$98:$J$127,"中",$K$98:$K$127,"特・療")+SUMIFS($I$141:$I$170,$J$141:$J$170,"中",$K$141:$K$170,"特・療")+SUMIFS($I$184:$I$213,$J$184:$J$213,"中",$K$184:$K$213,"特・療")+SUMIFS($I$227:$I$256,$J$227:$J$256,"中",$K$227:$K$256,"特・療")+SUMIFS($V$98:$V$127,$W$98:$W$127,"中",$X$98:$X$127,"特・療")+SUMIFS($V$141:$V$170,$W$141:$W$170,"中",$X$141:$X$170,"特・療")+SUMIFS($V$184:$V$213,$W$184:$W$213,"中",$X$184:$X$213,"特・療")+SUMIFS($V$227:$V$256,$W$227:$W$256,"中",$X$227:$X$256,"特・療")</f>
        <v>0</v>
      </c>
      <c r="CC23" s="695" t="str">
        <f t="shared" si="7"/>
        <v>小泊/特・精</v>
      </c>
      <c r="CD23" s="712">
        <f t="shared" si="8"/>
        <v>0</v>
      </c>
      <c r="CE23" s="695">
        <f>IF(OR(BT24="",BT24=0),0,104)</f>
        <v>0</v>
      </c>
      <c r="CF23" s="695">
        <v>330</v>
      </c>
      <c r="CG23" s="707">
        <v>104</v>
      </c>
    </row>
    <row r="24" spans="1:106" s="2" customFormat="1" ht="24" customHeight="1">
      <c r="A24" s="1088" t="s">
        <v>2714</v>
      </c>
      <c r="B24" s="1088"/>
      <c r="C24" s="1088"/>
      <c r="D24" s="1088"/>
      <c r="E24" s="1088"/>
      <c r="F24" s="1088"/>
      <c r="G24" s="1088"/>
      <c r="H24" s="1088"/>
      <c r="I24" s="1088"/>
      <c r="J24" s="1088"/>
      <c r="K24" s="1088"/>
      <c r="L24" s="1088"/>
      <c r="M24" s="1088"/>
      <c r="N24" s="1088"/>
      <c r="O24" s="1088"/>
      <c r="P24" s="1088"/>
      <c r="Q24" s="1088"/>
      <c r="R24" s="1088"/>
      <c r="S24" s="1088"/>
      <c r="T24" s="1088"/>
      <c r="U24" s="1088"/>
      <c r="V24" s="1088"/>
      <c r="W24" s="1088"/>
      <c r="X24" s="1088"/>
      <c r="Y24" s="1088"/>
      <c r="Z24" s="1088"/>
      <c r="AA24" s="1088" t="s">
        <v>2714</v>
      </c>
      <c r="AB24" s="1088"/>
      <c r="AC24" s="1088"/>
      <c r="AD24" s="1088"/>
      <c r="AE24" s="1088"/>
      <c r="AF24" s="1088"/>
      <c r="AG24" s="1088"/>
      <c r="AH24" s="1088"/>
      <c r="AI24" s="1088"/>
      <c r="AJ24" s="1088"/>
      <c r="AK24" s="1088"/>
      <c r="AL24" s="1088"/>
      <c r="AM24" s="1088"/>
      <c r="AN24" s="1088"/>
      <c r="AO24" s="1088"/>
      <c r="AP24" s="1088"/>
      <c r="AQ24" s="1088"/>
      <c r="AR24" s="1088"/>
      <c r="AS24" s="1088"/>
      <c r="AT24" s="1088"/>
      <c r="AU24" s="1088"/>
      <c r="AV24" s="1088"/>
      <c r="AW24" s="1088"/>
      <c r="AX24" s="1088"/>
      <c r="AY24" s="1088"/>
      <c r="AZ24" s="1088"/>
      <c r="BA24" s="716">
        <v>12</v>
      </c>
      <c r="BB24" s="717">
        <f t="shared" si="13"/>
        <v>0</v>
      </c>
      <c r="BC24" s="520">
        <f t="shared" si="14"/>
        <v>0</v>
      </c>
      <c r="BD24" s="702">
        <f t="shared" si="15"/>
        <v>0</v>
      </c>
      <c r="BE24" s="723">
        <f t="shared" si="15"/>
        <v>0</v>
      </c>
      <c r="BF24" s="701" t="s">
        <v>361</v>
      </c>
      <c r="BG24" s="712">
        <f>COUNTIF($K$13:$M$22,"特・精")</f>
        <v>0</v>
      </c>
      <c r="BH24" s="718">
        <f>COUNTIF($X$13:$Z$22,"特・精")</f>
        <v>0</v>
      </c>
      <c r="BI24" s="712">
        <f>COUNTIF($K$55:$M$84,"特・精")</f>
        <v>0</v>
      </c>
      <c r="BJ24" s="712">
        <f>COUNTIF($X$55:$Z$84,"特・精")</f>
        <v>0</v>
      </c>
      <c r="BK24" s="712">
        <f>COUNTIF($K$98:$M$127,"特・精")</f>
        <v>0</v>
      </c>
      <c r="BL24" s="712">
        <f>COUNTIF($X$98:$Z$127,"特・精")</f>
        <v>0</v>
      </c>
      <c r="BM24" s="712">
        <f>COUNTIF($K$141:$M$170,"特・精")</f>
        <v>0</v>
      </c>
      <c r="BN24" s="712">
        <f>COUNTIF($X$141:$Z$170,"特・精")</f>
        <v>0</v>
      </c>
      <c r="BO24" s="712">
        <f>COUNTIF($K$184:$M$213,"特・精")</f>
        <v>0</v>
      </c>
      <c r="BP24" s="712">
        <f>COUNTIF($X$184:$Z$213,"特・精")</f>
        <v>0</v>
      </c>
      <c r="BQ24" s="712">
        <f>COUNTIF($K$227:$M$256,"特・精")</f>
        <v>0</v>
      </c>
      <c r="BR24" s="712">
        <f>COUNTIF($X$227:$Z$256,"特・精")</f>
        <v>0</v>
      </c>
      <c r="BS24" s="712">
        <f t="shared" si="12"/>
        <v>0</v>
      </c>
      <c r="BT24" s="712">
        <f>SUMIFS($H$13:$H$22,$J$13:$J$22,"小",$K$13:$K$22,"特・精")+SUMIFS($U$13:$U$22,$W$13:$W$22,"小",$X$13:$X$22,"特・精")+SUMIFS($H$55:$H$84,$J$55:$J$84,"小",$K$55:$K$84,"特・精")+SUMIFS($U$55:$U$84,$W$55:$W$84,"小",$X$55:$X$84,"特・精")+SUMIFS($H$98:$H$127,$J$98:$J$127,"小",$K$98:$K$127,"特・精")+SUMIFS($H$141:$H$170,$J$141:$J$170,"小",$K$141:$K$170,"特・精")+SUMIFS($H$184:$H$213,$J$184:$J$213,"小",$K$184:$K$213,"特・精")+SUMIFS($H$227:$H$256,$J$227:$J$256,"小",$K$227:$K$256,"特・精")+SUMIFS($U$98:$U$127,$W$98:$W$127,"小",$X$98:$X$127,"特・精")+SUMIFS($U$141:$U$170,$W$141:$W$170,"小",$X$141:$X$170,"特・精")+SUMIFS($U$184:$U$213,$W$184:$W$213,"小",$X$184:$X$213,"特・精")+SUMIFS($U$227:$U$256,$W$227:$W$256,"小",$X$227:$X$256,"特・精")</f>
        <v>0</v>
      </c>
      <c r="BU24" s="712">
        <f>SUMIFS($I$13:$I$22,$J$13:$J$22,"小",$K$13:$K$22,"特・精")+SUMIFS($V$13:$V$22,$W$13:$W$22,"小",$X$13:$X$22,"特・精")+SUMIFS($I$55:$I$84,$J$55:$J$84,"小",$K$55:$K$84,"特・精")+SUMIFS($V$55:$V$84,$W$55:$W$84,"小",$X$55:$X$84,"特・精")+SUMIFS($I$98:$I$127,$J$98:$J$127,"小",$K$98:$K$127,"特・精")+SUMIFS($I$141:$I$170,$J$141:$J$170,"小",$K$141:$K$170,"特・精")+SUMIFS($I$184:$I$213,$J$184:$J$213,"小",$K$184:$K$213,"特・精")+SUMIFS($I$227:$I$256,$J$227:$J$256,"小",$K$227:$K$256,"特・精")+SUMIFS($V$98:$V$127,$W$98:$W$127,"小",$X$98:$X$127,"特・精")+SUMIFS($V$141:$V$170,$W$141:$W$170,"小",$X$141:$X$170,"特・精")+SUMIFS($V$184:$V$213,$W$184:$W$213,"小",$X$184:$X$213,"特・精")+SUMIFS($V$227:$V$256,$W$227:$W$256,"小",$X$227:$X$256,"特・精")</f>
        <v>0</v>
      </c>
      <c r="BV24" s="712">
        <f>SUMIFS($H$13:$H$22,$J$13:$J$22,"中",$K$13:$K$22,"特・精")+SUMIFS($U$13:$U$22,$W$13:$W$22,"中",$X$13:$X$22,"特・精")+SUMIFS($H$55:$H$84,$J$55:$J$84,"中",$K$55:$K$84,"特・精")+SUMIFS($U$55:$U$84,$W$55:$W$84,"中",$X$55:$X$84,"特・精")+SUMIFS($H$98:$H$127,$J$98:$J$127,"中",$K$98:$K$127,"特・精")+SUMIFS($H$141:$H$170,$J$141:$J$170,"中",$K$141:$K$170,"特・精")+SUMIFS($H$184:$H$213,$J$184:$J$213,"中",$K$184:$K$213,"特・精")+SUMIFS($H$227:$H$256,$J$227:$J$256,"中",$K$227:$K$256,"特・精")+SUMIFS($U$98:$U$127,$W$98:$W$127,"中",$X$98:$X$127,"特・精")+SUMIFS($U$141:$U$170,$W$141:$W$170,"中",$X$141:$X$170,"特・精")+SUMIFS($U$184:$U$213,$W$184:$W$213,"中",$X$184:$X$213,"特・精")+SUMIFS($U$227:$U$256,$W$227:$W$256,"中",$X$227:$X$256,"特・精")</f>
        <v>0</v>
      </c>
      <c r="BW24" s="712">
        <f>SUMIFS($I$13:$I$22,$J$13:$J$22,"中",$K$13:$K$22,"特・精")+SUMIFS($V$13:$V$22,$W$13:$W$22,"中",$X$13:$X$22,"特・精")+SUMIFS($I$55:$I$84,$J$55:$J$84,"中",$K$55:$K$84,"特・精")+SUMIFS($V$55:$V$84,$W$55:$W$84,"中",$X$55:$X$84,"特・精")+SUMIFS($I$98:$I$127,$J$98:$J$127,"中",$K$98:$K$127,"特・精")+SUMIFS($I$141:$I$170,$J$141:$J$170,"中",$K$141:$K$170,"特・精")+SUMIFS($I$184:$I$213,$J$184:$J$213,"中",$K$184:$K$213,"特・精")+SUMIFS($I$227:$I$256,$J$227:$J$256,"中",$K$227:$K$256,"特・精")+SUMIFS($V$98:$V$127,$W$98:$W$127,"中",$X$98:$X$127,"特・精")+SUMIFS($V$141:$V$170,$W$141:$W$170,"中",$X$141:$X$170,"特・精")+SUMIFS($V$184:$V$213,$W$184:$W$213,"中",$X$184:$X$213,"特・精")+SUMIFS($V$227:$V$256,$W$227:$W$256,"中",$X$227:$X$256,"特・精")</f>
        <v>0</v>
      </c>
      <c r="BX24" s="696"/>
      <c r="BY24" s="696"/>
      <c r="BZ24" s="696"/>
      <c r="CA24" s="696"/>
      <c r="CB24" s="696"/>
      <c r="CC24" s="695" t="str">
        <f t="shared" si="7"/>
        <v>小泊/身・療</v>
      </c>
      <c r="CD24" s="712">
        <f t="shared" si="8"/>
        <v>0</v>
      </c>
      <c r="CE24" s="695">
        <f>IF(OR(BT25="",BT25=0),0,103)</f>
        <v>0</v>
      </c>
      <c r="CF24" s="695">
        <v>330</v>
      </c>
      <c r="CG24" s="707">
        <v>103</v>
      </c>
      <c r="CH24" s="696"/>
      <c r="CI24" s="701"/>
      <c r="CJ24" s="701"/>
      <c r="CK24" s="696"/>
      <c r="CL24" s="696"/>
      <c r="CM24" s="696"/>
      <c r="CN24" s="696"/>
      <c r="CO24" s="696"/>
      <c r="CP24" s="696"/>
      <c r="CQ24" s="696"/>
      <c r="CR24" s="696"/>
      <c r="CS24" s="696"/>
      <c r="CT24" s="696"/>
      <c r="CU24" s="696"/>
      <c r="CV24" s="696"/>
      <c r="CW24" s="696"/>
      <c r="CX24" s="696"/>
      <c r="CY24" s="696"/>
      <c r="CZ24" s="696"/>
      <c r="DA24" s="696"/>
      <c r="DB24" s="696"/>
    </row>
    <row r="25" spans="1:106" s="2" customFormat="1" ht="24" customHeight="1">
      <c r="A25" s="1887" t="s">
        <v>2713</v>
      </c>
      <c r="B25" s="1088"/>
      <c r="C25" s="1088"/>
      <c r="D25" s="1088"/>
      <c r="E25" s="1088"/>
      <c r="F25" s="1088"/>
      <c r="G25" s="1088"/>
      <c r="H25" s="1088"/>
      <c r="I25" s="1088"/>
      <c r="J25" s="1088"/>
      <c r="K25" s="1088"/>
      <c r="L25" s="1088"/>
      <c r="M25" s="1088"/>
      <c r="N25" s="1088"/>
      <c r="O25" s="1088"/>
      <c r="P25" s="1088"/>
      <c r="Q25" s="1088"/>
      <c r="R25" s="1088"/>
      <c r="S25" s="1088"/>
      <c r="T25" s="1088"/>
      <c r="U25" s="1088"/>
      <c r="V25" s="1088"/>
      <c r="W25" s="1088"/>
      <c r="X25" s="1088"/>
      <c r="Y25" s="1088"/>
      <c r="Z25" s="1088"/>
      <c r="AA25" s="1887" t="s">
        <v>2713</v>
      </c>
      <c r="AB25" s="1088"/>
      <c r="AC25" s="1088"/>
      <c r="AD25" s="1088"/>
      <c r="AE25" s="1088"/>
      <c r="AF25" s="1088"/>
      <c r="AG25" s="1088"/>
      <c r="AH25" s="1088"/>
      <c r="AI25" s="1088"/>
      <c r="AJ25" s="1088"/>
      <c r="AK25" s="1088"/>
      <c r="AL25" s="1088"/>
      <c r="AM25" s="1088"/>
      <c r="AN25" s="1088"/>
      <c r="AO25" s="1088"/>
      <c r="AP25" s="1088"/>
      <c r="AQ25" s="1088"/>
      <c r="AR25" s="1088"/>
      <c r="AS25" s="1088"/>
      <c r="AT25" s="1088"/>
      <c r="AU25" s="1088"/>
      <c r="AV25" s="1088"/>
      <c r="AW25" s="1088"/>
      <c r="AX25" s="1088"/>
      <c r="AY25" s="1088"/>
      <c r="AZ25" s="1088"/>
      <c r="BA25" s="716">
        <v>13</v>
      </c>
      <c r="BB25" s="717">
        <f t="shared" si="13"/>
        <v>0</v>
      </c>
      <c r="BC25" s="520">
        <f t="shared" si="14"/>
        <v>0</v>
      </c>
      <c r="BD25" s="702">
        <f t="shared" si="15"/>
        <v>0</v>
      </c>
      <c r="BE25" s="723">
        <f t="shared" si="15"/>
        <v>0</v>
      </c>
      <c r="BF25" s="701" t="s">
        <v>362</v>
      </c>
      <c r="BG25" s="712">
        <f>COUNTIF($K$13:$M$22,"身・療")</f>
        <v>0</v>
      </c>
      <c r="BH25" s="718">
        <f>COUNTIF($X$13:$Z$22,"身・療")</f>
        <v>0</v>
      </c>
      <c r="BI25" s="712">
        <f>COUNTIF($K$55:$M$84,"身・療")</f>
        <v>0</v>
      </c>
      <c r="BJ25" s="712">
        <f>COUNTIF($X$55:$Z$84,"身・療")</f>
        <v>0</v>
      </c>
      <c r="BK25" s="712">
        <f>COUNTIF($K$98:$M$127,"身・療")</f>
        <v>0</v>
      </c>
      <c r="BL25" s="712">
        <f>COUNTIF($X$98:$Z$127,"身・療")</f>
        <v>0</v>
      </c>
      <c r="BM25" s="712">
        <f>COUNTIF($K$141:$M$170,"身・療")</f>
        <v>0</v>
      </c>
      <c r="BN25" s="712">
        <f>COUNTIF($X$141:$Z$170,"身・療")</f>
        <v>0</v>
      </c>
      <c r="BO25" s="712">
        <f>COUNTIF($K$184:$M$213,"身・療")</f>
        <v>0</v>
      </c>
      <c r="BP25" s="712">
        <f>COUNTIF($X$184:$Z$213,"身・療")</f>
        <v>0</v>
      </c>
      <c r="BQ25" s="712">
        <f>COUNTIF($K$227:$M$256,"身・療")</f>
        <v>0</v>
      </c>
      <c r="BR25" s="712">
        <f>COUNTIF($X$227:$Z$256,"身・療")</f>
        <v>0</v>
      </c>
      <c r="BS25" s="712">
        <f t="shared" si="12"/>
        <v>0</v>
      </c>
      <c r="BT25" s="712">
        <f>SUMIFS($H$13:$H$22,$J$13:$J$22,"小",$K$13:$K$22,"身・療")+SUMIFS($U$13:$U$22,$W$13:$W$22,"小",$X$13:$X$22,"身・療")+SUMIFS($H$55:$H$84,$J$55:$J$84,"小",$K$55:$K$84,"身・療")+SUMIFS($U$55:$U$84,$W$55:$W$84,"小",$X$55:$X$84,"身・療")+SUMIFS($H$98:$H$127,$J$98:$J$127,"小",$K$98:$K$127,"身・療")+SUMIFS($H$141:$H$170,$J$141:$J$170,"小",$K$141:$K$170,"身・療")+SUMIFS($H$184:$H$213,$J$184:$J$213,"小",$K$184:$K$213,"身・療")+SUMIFS($H$227:$H$256,$J$227:$J$256,"小",$K$227:$K$256,"身・療")+SUMIFS($U$98:$U$127,$W$98:$W$127,"小",$X$98:$X$127,"身・療")+SUMIFS($U$141:$U$170,$W$141:$W$170,"小",$X$141:$X$170,"身・療")+SUMIFS($U$184:$U$213,$W$184:$W$213,"小",$X$184:$X$213,"身・療")+SUMIFS($U$227:$U$256,$W$227:$W$256,"小",$X$227:$X$256,"身・療")</f>
        <v>0</v>
      </c>
      <c r="BU25" s="712">
        <f>SUMIFS($I$13:$I$22,$J$13:$J$22,"小",$K$13:$K$22,"身・療")+SUMIFS($V$13:$V$22,$W$13:$W$22,"小",$X$13:$X$22,"身・療")+SUMIFS($I$55:$I$84,$J$55:$J$84,"小",$K$55:$K$84,"身・療")+SUMIFS($V$55:$V$84,$W$55:$W$84,"小",$X$55:$X$84,"身・療")+SUMIFS($I$98:$I$127,$J$98:$J$127,"小",$K$98:$K$127,"身・療")+SUMIFS($I$141:$I$170,$J$141:$J$170,"小",$K$141:$K$170,"身・療")+SUMIFS($I$184:$I$213,$J$184:$J$213,"小",$K$184:$K$213,"身・療")+SUMIFS($I$227:$I$256,$J$227:$J$256,"小",$K$227:$K$256,"身・療")+SUMIFS($V$98:$V$127,$W$98:$W$127,"小",$X$98:$X$127,"身・療")+SUMIFS($V$141:$V$170,$W$141:$W$170,"小",$X$141:$X$170,"身・療")+SUMIFS($V$184:$V$213,$W$184:$W$213,"小",$X$184:$X$213,"身・療")+SUMIFS($V$227:$V$256,$W$227:$W$256,"小",$X$227:$X$256,"身・療")</f>
        <v>0</v>
      </c>
      <c r="BV25" s="712">
        <f>SUMIFS($H$13:$H$22,$J$13:$J$22,"中",$K$13:$K$22,"身・療")+SUMIFS($U$13:$U$22,$W$13:$W$22,"中",$X$13:$X$22,"身・療")+SUMIFS($H$55:$H$84,$J$55:$J$84,"中",$K$55:$K$84,"身・療")+SUMIFS($U$55:$U$84,$W$55:$W$84,"中",$X$55:$X$84,"身・療")+SUMIFS($H$98:$H$127,$J$98:$J$127,"中",$K$98:$K$127,"身・療")+SUMIFS($H$141:$H$170,$J$141:$J$170,"中",$K$141:$K$170,"身・療")+SUMIFS($H$184:$H$213,$J$184:$J$213,"中",$K$184:$K$213,"身・療")+SUMIFS($H$227:$H$256,$J$227:$J$256,"中",$K$227:$K$256,"身・療")+SUMIFS($U$98:$U$127,$W$98:$W$127,"中",$X$98:$X$127,"身・療")+SUMIFS($U$141:$U$170,$W$141:$W$170,"中",$X$141:$X$170,"身・療")+SUMIFS($U$184:$U$213,$W$184:$W$213,"中",$X$184:$X$213,"身・療")+SUMIFS($U$227:$U$256,$W$227:$W$256,"中",$X$227:$X$256,"身・療")</f>
        <v>0</v>
      </c>
      <c r="BW25" s="712">
        <f>SUMIFS($I$13:$I$22,$J$13:$J$22,"中",$K$13:$K$22,"身・療")+SUMIFS($V$13:$V$22,$W$13:$W$22,"中",$X$13:$X$22,"身・療")+SUMIFS($I$55:$I$84,$J$55:$J$84,"中",$K$55:$K$84,"身・療")+SUMIFS($V$55:$V$84,$W$55:$W$84,"中",$X$55:$X$84,"身・療")+SUMIFS($I$98:$I$127,$J$98:$J$127,"中",$K$98:$K$127,"身・療")+SUMIFS($I$141:$I$170,$J$141:$J$170,"中",$K$141:$K$170,"身・療")+SUMIFS($I$184:$I$213,$J$184:$J$213,"中",$K$184:$K$213,"身・療")+SUMIFS($I$227:$I$256,$J$227:$J$256,"中",$K$227:$K$256,"身・療")+SUMIFS($V$98:$V$127,$W$98:$W$127,"中",$X$98:$X$127,"身・療")+SUMIFS($V$141:$V$170,$W$141:$W$170,"中",$X$141:$X$170,"身・療")+SUMIFS($V$184:$V$213,$W$184:$W$213,"中",$X$184:$X$213,"身・療")+SUMIFS($V$227:$V$256,$W$227:$W$256,"中",$X$227:$X$256,"身・療")</f>
        <v>0</v>
      </c>
      <c r="BX25" s="696"/>
      <c r="BY25" s="696"/>
      <c r="BZ25" s="696"/>
      <c r="CA25" s="696"/>
      <c r="CB25" s="696"/>
      <c r="CC25" s="695" t="str">
        <f t="shared" si="7"/>
        <v>小泊/身・精</v>
      </c>
      <c r="CD25" s="712">
        <f t="shared" si="8"/>
        <v>0</v>
      </c>
      <c r="CE25" s="695">
        <f>IF(OR(BT26="",BT26=0),0,102)</f>
        <v>0</v>
      </c>
      <c r="CF25" s="695">
        <v>330</v>
      </c>
      <c r="CG25" s="707">
        <v>102</v>
      </c>
      <c r="CH25" s="696"/>
      <c r="CI25" s="701"/>
      <c r="CJ25" s="701"/>
      <c r="CK25" s="696"/>
      <c r="CL25" s="696"/>
      <c r="CM25" s="696"/>
      <c r="CN25" s="696"/>
      <c r="CO25" s="696"/>
      <c r="CP25" s="696"/>
      <c r="CQ25" s="696"/>
      <c r="CR25" s="696"/>
      <c r="CS25" s="696"/>
      <c r="CT25" s="696"/>
      <c r="CU25" s="696"/>
      <c r="CV25" s="696"/>
      <c r="CW25" s="696"/>
      <c r="CX25" s="696"/>
      <c r="CY25" s="696"/>
      <c r="CZ25" s="696"/>
      <c r="DA25" s="696"/>
      <c r="DB25" s="696"/>
    </row>
    <row r="26" spans="1:106" s="2" customFormat="1" ht="60" customHeight="1" thickBot="1">
      <c r="A26" s="1886" t="s">
        <v>2732</v>
      </c>
      <c r="B26" s="1088"/>
      <c r="C26" s="1088"/>
      <c r="D26" s="1088"/>
      <c r="E26" s="1088"/>
      <c r="F26" s="1088"/>
      <c r="G26" s="1088"/>
      <c r="H26" s="1088"/>
      <c r="I26" s="1088"/>
      <c r="J26" s="1088"/>
      <c r="K26" s="1088"/>
      <c r="L26" s="1088"/>
      <c r="M26" s="1088"/>
      <c r="N26" s="1088"/>
      <c r="O26" s="1088"/>
      <c r="P26" s="1088"/>
      <c r="Q26" s="1088"/>
      <c r="R26" s="1088"/>
      <c r="S26" s="1088"/>
      <c r="T26" s="1088"/>
      <c r="U26" s="1088"/>
      <c r="V26" s="1088"/>
      <c r="W26" s="1088"/>
      <c r="X26" s="1088"/>
      <c r="Y26" s="1088"/>
      <c r="Z26" s="1088"/>
      <c r="AA26" s="1886" t="s">
        <v>2732</v>
      </c>
      <c r="AB26" s="1088"/>
      <c r="AC26" s="1088"/>
      <c r="AD26" s="1088"/>
      <c r="AE26" s="1088"/>
      <c r="AF26" s="1088"/>
      <c r="AG26" s="1088"/>
      <c r="AH26" s="1088"/>
      <c r="AI26" s="1088"/>
      <c r="AJ26" s="1088"/>
      <c r="AK26" s="1088"/>
      <c r="AL26" s="1088"/>
      <c r="AM26" s="1088"/>
      <c r="AN26" s="1088"/>
      <c r="AO26" s="1088"/>
      <c r="AP26" s="1088"/>
      <c r="AQ26" s="1088"/>
      <c r="AR26" s="1088"/>
      <c r="AS26" s="1088"/>
      <c r="AT26" s="1088"/>
      <c r="AU26" s="1088"/>
      <c r="AV26" s="1088"/>
      <c r="AW26" s="1088"/>
      <c r="AX26" s="1088"/>
      <c r="AY26" s="1088"/>
      <c r="AZ26" s="1088"/>
      <c r="BA26" s="716">
        <v>14</v>
      </c>
      <c r="BB26" s="717">
        <f t="shared" si="13"/>
        <v>0</v>
      </c>
      <c r="BC26" s="520">
        <f t="shared" si="14"/>
        <v>0</v>
      </c>
      <c r="BD26" s="702">
        <f t="shared" si="15"/>
        <v>0</v>
      </c>
      <c r="BE26" s="723">
        <f t="shared" si="15"/>
        <v>0</v>
      </c>
      <c r="BF26" s="701" t="s">
        <v>363</v>
      </c>
      <c r="BG26" s="712">
        <f>COUNTIF($K$13:$M$22,"身・精")</f>
        <v>0</v>
      </c>
      <c r="BH26" s="718">
        <f>COUNTIF($X$13:$Z$22,"身・精")</f>
        <v>0</v>
      </c>
      <c r="BI26" s="712">
        <f>COUNTIF($K$55:$M$84,"身・精")</f>
        <v>0</v>
      </c>
      <c r="BJ26" s="712">
        <f>COUNTIF($X$55:$Z$84,"身・精")</f>
        <v>0</v>
      </c>
      <c r="BK26" s="712">
        <f>COUNTIF($K$98:$M$127,"身・精")</f>
        <v>0</v>
      </c>
      <c r="BL26" s="712">
        <f>COUNTIF($X$98:$Z$127,"身・精")</f>
        <v>0</v>
      </c>
      <c r="BM26" s="712">
        <f>COUNTIF($K$141:$M$170,"身・精")</f>
        <v>0</v>
      </c>
      <c r="BN26" s="712">
        <f>COUNTIF($X$141:$Z$170,"身・精")</f>
        <v>0</v>
      </c>
      <c r="BO26" s="712">
        <f>COUNTIF($K$184:$M$213,"身・精")</f>
        <v>0</v>
      </c>
      <c r="BP26" s="712">
        <f>COUNTIF($X$184:$Z$213,"身・精")</f>
        <v>0</v>
      </c>
      <c r="BQ26" s="712">
        <f>COUNTIF($K$227:$M$256,"身・精")</f>
        <v>0</v>
      </c>
      <c r="BR26" s="712">
        <f>COUNTIF($X$227:$Z$256,"身・精")</f>
        <v>0</v>
      </c>
      <c r="BS26" s="712">
        <f t="shared" si="12"/>
        <v>0</v>
      </c>
      <c r="BT26" s="712">
        <f>SUMIFS($H$13:$H$22,$J$13:$J$22,"小",$K$13:$K$22,"身・精")+SUMIFS($U$13:$U$22,$W$13:$W$22,"小",$X$13:$X$22,"身・精")+SUMIFS($H$55:$H$84,$J$55:$J$84,"小",$K$55:$K$84,"身・精")+SUMIFS($U$55:$U$84,$W$55:$W$84,"小",$X$55:$X$84,"身・精")+SUMIFS($H$98:$H$127,$J$98:$J$127,"小",$K$98:$K$127,"身・精")+SUMIFS($H$141:$H$170,$J$141:$J$170,"小",$K$141:$K$170,"身・精")+SUMIFS($H$184:$H$213,$J$184:$J$213,"小",$K$184:$K$213,"身・精")+SUMIFS($H$227:$H$256,$J$227:$J$256,"小",$K$227:$K$256,"身・精")+SUMIFS($U$98:$U$127,$W$98:$W$127,"小",$X$98:$X$127,"身・精")+SUMIFS($U$141:$U$170,$W$141:$W$170,"小",$X$141:$X$170,"身・精")+SUMIFS($U$184:$U$213,$W$184:$W$213,"小",$X$184:$X$213,"身・精")+SUMIFS($U$227:$U$256,$W$227:$W$256,"小",$X$227:$X$256,"身・精")</f>
        <v>0</v>
      </c>
      <c r="BU26" s="712">
        <f>SUMIFS($I$13:$I$22,$J$13:$J$22,"小",$K$13:$K$22,"身・精")+SUMIFS($V$13:$V$22,$W$13:$W$22,"小",$X$13:$X$22,"身・精")+SUMIFS($I$55:$I$84,$J$55:$J$84,"小",$K$55:$K$84,"身・精")+SUMIFS($V$55:$V$84,$W$55:$W$84,"小",$X$55:$X$84,"身・精")+SUMIFS($I$98:$I$127,$J$98:$J$127,"小",$K$98:$K$127,"身・精")+SUMIFS($I$141:$I$170,$J$141:$J$170,"小",$K$141:$K$170,"身・精")+SUMIFS($I$184:$I$213,$J$184:$J$213,"小",$K$184:$K$213,"身・精")+SUMIFS($I$227:$I$256,$J$227:$J$256,"小",$K$227:$K$256,"身・精")+SUMIFS($V$98:$V$127,$W$98:$W$127,"小",$X$98:$X$127,"身・精")+SUMIFS($V$141:$V$170,$W$141:$W$170,"小",$X$141:$X$170,"身・精")+SUMIFS($V$184:$V$213,$W$184:$W$213,"小",$X$184:$X$213,"身・精")+SUMIFS($V$227:$V$256,$W$227:$W$256,"小",$X$227:$X$256,"身・精")</f>
        <v>0</v>
      </c>
      <c r="BV26" s="712">
        <f>SUMIFS($H$13:$H$22,$J$13:$J$22,"中",$K$13:$K$22,"身・精")+SUMIFS($U$13:$U$22,$W$13:$W$22,"中",$X$13:$X$22,"身・精")+SUMIFS($H$55:$H$84,$J$55:$J$84,"中",$K$55:$K$84,"身・精")+SUMIFS($U$55:$U$84,$W$55:$W$84,"中",$X$55:$X$84,"身・精")+SUMIFS($H$98:$H$127,$J$98:$J$127,"中",$K$98:$K$127,"身・精")+SUMIFS($H$141:$H$170,$J$141:$J$170,"中",$K$141:$K$170,"身・精")+SUMIFS($H$184:$H$213,$J$184:$J$213,"中",$K$184:$K$213,"身・精")+SUMIFS($H$227:$H$256,$J$227:$J$256,"中",$K$227:$K$256,"身・精")+SUMIFS($U$98:$U$127,$W$98:$W$127,"中",$X$98:$X$127,"身・精")+SUMIFS($U$141:$U$170,$W$141:$W$170,"中",$X$141:$X$170,"身・精")+SUMIFS($U$184:$U$213,$W$184:$W$213,"中",$X$184:$X$213,"身・精")+SUMIFS($U$227:$U$256,$W$227:$W$256,"中",$X$227:$X$256,"身・精")</f>
        <v>0</v>
      </c>
      <c r="BW26" s="712">
        <f>SUMIFS($I$13:$I$22,$J$13:$J$22,"中",$K$13:$K$22,"身・精")+SUMIFS($V$13:$V$22,$W$13:$W$22,"中",$X$13:$X$22,"身・精")+SUMIFS($I$55:$I$84,$J$55:$J$84,"中",$K$55:$K$84,"身・精")+SUMIFS($V$55:$V$84,$W$55:$W$84,"中",$X$55:$X$84,"身・精")+SUMIFS($I$98:$I$127,$J$98:$J$127,"中",$K$98:$K$127,"身・精")+SUMIFS($I$141:$I$170,$J$141:$J$170,"中",$K$141:$K$170,"身・精")+SUMIFS($I$184:$I$213,$J$184:$J$213,"中",$K$184:$K$213,"身・精")+SUMIFS($I$227:$I$256,$J$227:$J$256,"中",$K$227:$K$256,"身・精")+SUMIFS($V$98:$V$127,$W$98:$W$127,"中",$X$98:$X$127,"身・精")+SUMIFS($V$141:$V$170,$W$141:$W$170,"中",$X$141:$X$170,"身・精")+SUMIFS($V$184:$V$213,$W$184:$W$213,"中",$X$184:$X$213,"身・精")+SUMIFS($V$227:$V$256,$W$227:$W$256,"中",$X$227:$X$256,"身・精")</f>
        <v>0</v>
      </c>
      <c r="BX26" s="696"/>
      <c r="BY26" s="696"/>
      <c r="BZ26" s="696"/>
      <c r="CA26" s="696"/>
      <c r="CB26" s="696"/>
      <c r="CC26" s="695" t="str">
        <f t="shared" si="7"/>
        <v>小泊/療・精</v>
      </c>
      <c r="CD26" s="712">
        <f t="shared" si="8"/>
        <v>0</v>
      </c>
      <c r="CE26" s="695">
        <f>IF(OR(BT27="",BT27=0),0,101)</f>
        <v>0</v>
      </c>
      <c r="CF26" s="695">
        <v>330</v>
      </c>
      <c r="CG26" s="707">
        <v>101</v>
      </c>
      <c r="CH26" s="696"/>
      <c r="CI26" s="701"/>
      <c r="CJ26" s="701"/>
      <c r="CK26" s="696"/>
      <c r="CL26" s="696"/>
      <c r="CM26" s="696"/>
      <c r="CN26" s="696"/>
      <c r="CO26" s="696"/>
      <c r="CP26" s="696"/>
      <c r="CQ26" s="696"/>
      <c r="CR26" s="696"/>
      <c r="CS26" s="696"/>
      <c r="CT26" s="696"/>
      <c r="CU26" s="696"/>
      <c r="CV26" s="696"/>
      <c r="CW26" s="696"/>
      <c r="CX26" s="696"/>
      <c r="CY26" s="696"/>
      <c r="CZ26" s="696"/>
      <c r="DA26" s="696"/>
      <c r="DB26" s="696"/>
    </row>
    <row r="27" spans="1:106" s="2" customFormat="1" ht="21" customHeight="1" thickBot="1">
      <c r="A27" s="202"/>
      <c r="B27" s="1788" t="s">
        <v>1696</v>
      </c>
      <c r="C27" s="1789"/>
      <c r="D27" s="1789"/>
      <c r="E27" s="1789"/>
      <c r="F27" s="1789"/>
      <c r="G27" s="1789"/>
      <c r="H27" s="1789"/>
      <c r="I27" s="1789"/>
      <c r="J27" s="1789"/>
      <c r="K27" s="1789"/>
      <c r="L27" s="1789"/>
      <c r="M27" s="1789"/>
      <c r="N27" s="1789"/>
      <c r="O27" s="1789"/>
      <c r="P27" s="1789"/>
      <c r="Q27" s="1789"/>
      <c r="R27" s="1789"/>
      <c r="S27" s="1789"/>
      <c r="T27" s="1789"/>
      <c r="U27" s="1789"/>
      <c r="V27" s="1789"/>
      <c r="W27" s="1789"/>
      <c r="X27" s="1789"/>
      <c r="Y27" s="1790"/>
      <c r="Z27" s="175"/>
      <c r="AA27" s="202"/>
      <c r="AB27" s="1788" t="s">
        <v>1696</v>
      </c>
      <c r="AC27" s="1789"/>
      <c r="AD27" s="1789"/>
      <c r="AE27" s="1789"/>
      <c r="AF27" s="1789"/>
      <c r="AG27" s="1789"/>
      <c r="AH27" s="1789"/>
      <c r="AI27" s="1789"/>
      <c r="AJ27" s="1789"/>
      <c r="AK27" s="1789"/>
      <c r="AL27" s="1789"/>
      <c r="AM27" s="1789"/>
      <c r="AN27" s="1789"/>
      <c r="AO27" s="1789"/>
      <c r="AP27" s="1789"/>
      <c r="AQ27" s="1789"/>
      <c r="AR27" s="1789"/>
      <c r="AS27" s="1789"/>
      <c r="AT27" s="1789"/>
      <c r="AU27" s="1789"/>
      <c r="AV27" s="1789"/>
      <c r="AW27" s="1789"/>
      <c r="AX27" s="1789"/>
      <c r="AY27" s="1790"/>
      <c r="AZ27" s="175"/>
      <c r="BA27" s="716">
        <v>15</v>
      </c>
      <c r="BB27" s="717">
        <f t="shared" si="13"/>
        <v>0</v>
      </c>
      <c r="BC27" s="520">
        <f t="shared" si="14"/>
        <v>0</v>
      </c>
      <c r="BD27" s="702">
        <f t="shared" si="15"/>
        <v>0</v>
      </c>
      <c r="BE27" s="723">
        <f t="shared" si="15"/>
        <v>0</v>
      </c>
      <c r="BF27" s="701" t="s">
        <v>364</v>
      </c>
      <c r="BG27" s="712">
        <f>COUNTIF($K$13:$M$22,"療・精")</f>
        <v>0</v>
      </c>
      <c r="BH27" s="718">
        <f>COUNTIF($X$13:$Z$22,"療・精")</f>
        <v>0</v>
      </c>
      <c r="BI27" s="712">
        <f>COUNTIF($K$55:$M$84,"療・精")</f>
        <v>0</v>
      </c>
      <c r="BJ27" s="712">
        <f>COUNTIF($X$55:$Z$84,"療・精")</f>
        <v>0</v>
      </c>
      <c r="BK27" s="712">
        <f>COUNTIF($K$98:$M$127,"療・精")</f>
        <v>0</v>
      </c>
      <c r="BL27" s="712">
        <f>COUNTIF($X$98:$Z$127,"療・精")</f>
        <v>0</v>
      </c>
      <c r="BM27" s="712">
        <f>COUNTIF($K$141:$M$170,"療・精")</f>
        <v>0</v>
      </c>
      <c r="BN27" s="712">
        <f>COUNTIF($X$141:$Z$170,"療・精")</f>
        <v>0</v>
      </c>
      <c r="BO27" s="712">
        <f>COUNTIF($K$184:$M$213,"療・精")</f>
        <v>0</v>
      </c>
      <c r="BP27" s="712">
        <f>COUNTIF($X$184:$Z$213,"療・精")</f>
        <v>0</v>
      </c>
      <c r="BQ27" s="712">
        <f>COUNTIF($K$227:$M$256,"療・精")</f>
        <v>0</v>
      </c>
      <c r="BR27" s="712">
        <f>COUNTIF($X$227:$Z$256,"療・精")</f>
        <v>0</v>
      </c>
      <c r="BS27" s="712">
        <f t="shared" si="12"/>
        <v>0</v>
      </c>
      <c r="BT27" s="712">
        <f>SUMIFS($H$13:$H$22,$J$13:$J$22,"小",$K$13:$K$22,"療・精")+SUMIFS($U$13:$U$22,$W$13:$W$22,"小",$X$13:$X$22,"療・精")+SUMIFS($H$55:$H$84,$J$55:$J$84,"小",$K$55:$K$84,"療・精")+SUMIFS($U$55:$U$84,$W$55:$W$84,"小",$X$55:$X$84,"療・精")+SUMIFS($H$98:$H$127,$J$98:$J$127,"小",$K$98:$K$127,"療・精")+SUMIFS($H$141:$H$170,$J$141:$J$170,"小",$K$141:$K$170,"療・精")+SUMIFS($H$184:$H$213,$J$184:$J$213,"小",$K$184:$K$213,"療・精")+SUMIFS($H$227:$H$256,$J$227:$J$256,"小",$K$227:$K$256,"療・精")+SUMIFS($U$98:$U$127,$W$98:$W$127,"小",$X$98:$X$127,"療・精")+SUMIFS($U$141:$U$170,$W$141:$W$170,"小",$X$141:$X$170,"療・精")+SUMIFS($U$184:$U$213,$W$184:$W$213,"小",$X$184:$X$213,"療・精")+SUMIFS($U$227:$U$256,$W$227:$W$256,"小",$X$227:$X$256,"療・精")</f>
        <v>0</v>
      </c>
      <c r="BU27" s="712">
        <f>SUMIFS($I$13:$I$22,$J$13:$J$22,"小",$K$13:$K$22,"療・精")+SUMIFS($V$13:$V$22,$W$13:$W$22,"小",$X$13:$X$22,"療・精")+SUMIFS($I$55:$I$84,$J$55:$J$84,"小",$K$55:$K$84,"療・精")+SUMIFS($V$55:$V$84,$W$55:$W$84,"小",$X$55:$X$84,"療・精")+SUMIFS($I$98:$I$127,$J$98:$J$127,"小",$K$98:$K$127,"療・精")+SUMIFS($I$141:$I$170,$J$141:$J$170,"小",$K$141:$K$170,"療・精")+SUMIFS($I$184:$I$213,$J$184:$J$213,"小",$K$184:$K$213,"療・精")+SUMIFS($I$227:$I$256,$J$227:$J$256,"小",$K$227:$K$256,"療・精")+SUMIFS($V$98:$V$127,$W$98:$W$127,"小",$X$98:$X$127,"療・精")+SUMIFS($V$141:$V$170,$W$141:$W$170,"小",$X$141:$X$170,"療・精")+SUMIFS($V$184:$V$213,$W$184:$W$213,"小",$X$184:$X$213,"療・精")+SUMIFS($V$227:$V$256,$W$227:$W$256,"小",$X$227:$X$256,"療・精")</f>
        <v>0</v>
      </c>
      <c r="BV27" s="712">
        <f>SUMIFS($H$13:$H$22,$J$13:$J$22,"中",$K$13:$K$22,"療・精")+SUMIFS($U$13:$U$22,$W$13:$W$22,"中",$X$13:$X$22,"療・精")+SUMIFS($H$55:$H$84,$J$55:$J$84,"中",$K$55:$K$84,"療・精")+SUMIFS($U$55:$U$84,$W$55:$W$84,"中",$X$55:$X$84,"療・精")+SUMIFS($H$98:$H$127,$J$98:$J$127,"中",$K$98:$K$127,"療・精")+SUMIFS($H$141:$H$170,$J$141:$J$170,"中",$K$141:$K$170,"療・精")+SUMIFS($H$184:$H$213,$J$184:$J$213,"中",$K$184:$K$213,"療・精")+SUMIFS($H$227:$H$256,$J$227:$J$256,"中",$K$227:$K$256,"療・精")+SUMIFS($U$98:$U$127,$W$98:$W$127,"中",$X$98:$X$127,"療・精")+SUMIFS($U$141:$U$170,$W$141:$W$170,"中",$X$141:$X$170,"療・精")+SUMIFS($U$184:$U$213,$W$184:$W$213,"中",$X$184:$X$213,"療・精")+SUMIFS($U$227:$U$256,$W$227:$W$256,"中",$X$227:$X$256,"療・精")</f>
        <v>0</v>
      </c>
      <c r="BW27" s="712">
        <f>SUMIFS($I$13:$I$22,$J$13:$J$22,"中",$K$13:$K$22,"療・精")+SUMIFS($V$13:$V$22,$W$13:$W$22,"中",$X$13:$X$22,"療・精")+SUMIFS($I$55:$I$84,$J$55:$J$84,"中",$K$55:$K$84,"療・精")+SUMIFS($V$55:$V$84,$W$55:$W$84,"中",$X$55:$X$84,"療・精")+SUMIFS($I$98:$I$127,$J$98:$J$127,"中",$K$98:$K$127,"療・精")+SUMIFS($I$141:$I$170,$J$141:$J$170,"中",$K$141:$K$170,"療・精")+SUMIFS($I$184:$I$213,$J$184:$J$213,"中",$K$184:$K$213,"療・精")+SUMIFS($I$227:$I$256,$J$227:$J$256,"中",$K$227:$K$256,"療・精")+SUMIFS($V$98:$V$127,$W$98:$W$127,"中",$X$98:$X$127,"療・精")+SUMIFS($V$141:$V$170,$W$141:$W$170,"中",$X$141:$X$170,"療・精")+SUMIFS($V$184:$V$213,$W$184:$W$213,"中",$X$184:$X$213,"療・精")+SUMIFS($V$227:$V$256,$W$227:$W$256,"中",$X$227:$X$256,"療・精")</f>
        <v>0</v>
      </c>
      <c r="BX27" s="696"/>
      <c r="BY27" s="696"/>
      <c r="BZ27" s="696"/>
      <c r="CA27" s="696"/>
      <c r="CB27" s="696"/>
      <c r="CC27" s="695" t="str">
        <f t="shared" si="7"/>
        <v>小泊/準・特・身</v>
      </c>
      <c r="CD27" s="712">
        <f t="shared" si="8"/>
        <v>0</v>
      </c>
      <c r="CE27" s="695">
        <f>IF(OR(BT28="",BT28=0),0,100)</f>
        <v>0</v>
      </c>
      <c r="CF27" s="695">
        <v>330</v>
      </c>
      <c r="CG27" s="707">
        <v>100</v>
      </c>
      <c r="CH27" s="696"/>
      <c r="CI27" s="701"/>
      <c r="CJ27" s="701"/>
      <c r="CK27" s="696"/>
      <c r="CL27" s="696"/>
      <c r="CM27" s="696"/>
      <c r="CN27" s="696"/>
      <c r="CO27" s="696"/>
      <c r="CP27" s="696"/>
      <c r="CQ27" s="696"/>
      <c r="CR27" s="696"/>
      <c r="CS27" s="696"/>
      <c r="CT27" s="696"/>
      <c r="CU27" s="696"/>
      <c r="CV27" s="696"/>
      <c r="CW27" s="696"/>
      <c r="CX27" s="696"/>
      <c r="CY27" s="696"/>
      <c r="CZ27" s="696"/>
      <c r="DA27" s="696"/>
      <c r="DB27" s="696"/>
    </row>
    <row r="28" spans="1:106" s="2" customFormat="1" ht="21" customHeight="1">
      <c r="A28" s="203"/>
      <c r="B28" s="1760" t="str">
        <f>IF(D28=0,"",CI3)</f>
        <v/>
      </c>
      <c r="C28" s="1761"/>
      <c r="D28" s="1756">
        <f>CJ3</f>
        <v>0</v>
      </c>
      <c r="E28" s="1757"/>
      <c r="F28" s="1760" t="str">
        <f>IF(H28=0,"",CI4)</f>
        <v/>
      </c>
      <c r="G28" s="1761"/>
      <c r="H28" s="1756">
        <f>CJ4</f>
        <v>0</v>
      </c>
      <c r="I28" s="1757"/>
      <c r="J28" s="1760" t="str">
        <f>IF(L28=0,"",CI5)</f>
        <v/>
      </c>
      <c r="K28" s="1761"/>
      <c r="L28" s="1756">
        <f>CJ5</f>
        <v>0</v>
      </c>
      <c r="M28" s="1757"/>
      <c r="N28" s="1760" t="str">
        <f>IF(P28=0,"",CI6)</f>
        <v/>
      </c>
      <c r="O28" s="1761"/>
      <c r="P28" s="1756">
        <f>CJ6</f>
        <v>0</v>
      </c>
      <c r="Q28" s="1757"/>
      <c r="R28" s="1760" t="str">
        <f>IF(T28=0,"",CI7)</f>
        <v/>
      </c>
      <c r="S28" s="1761"/>
      <c r="T28" s="1756">
        <f>CJ7</f>
        <v>0</v>
      </c>
      <c r="U28" s="1757"/>
      <c r="V28" s="1760" t="str">
        <f>IF(X28=0,"",CI8)</f>
        <v/>
      </c>
      <c r="W28" s="1761"/>
      <c r="X28" s="1756">
        <f>CJ8</f>
        <v>0</v>
      </c>
      <c r="Y28" s="1757"/>
      <c r="Z28" s="203"/>
      <c r="AA28" s="203"/>
      <c r="AB28" s="1760" t="s">
        <v>1680</v>
      </c>
      <c r="AC28" s="1761"/>
      <c r="AD28" s="1756">
        <v>90</v>
      </c>
      <c r="AE28" s="1757"/>
      <c r="AF28" s="1760" t="s">
        <v>2673</v>
      </c>
      <c r="AG28" s="1761"/>
      <c r="AH28" s="1756">
        <v>9</v>
      </c>
      <c r="AI28" s="1757"/>
      <c r="AJ28" s="1760" t="s">
        <v>1706</v>
      </c>
      <c r="AK28" s="1761"/>
      <c r="AL28" s="1756">
        <v>1</v>
      </c>
      <c r="AM28" s="1757"/>
      <c r="AN28" s="1760" t="s">
        <v>1707</v>
      </c>
      <c r="AO28" s="1761"/>
      <c r="AP28" s="1756">
        <v>7</v>
      </c>
      <c r="AQ28" s="1757"/>
      <c r="AR28" s="1760" t="s">
        <v>1708</v>
      </c>
      <c r="AS28" s="1761"/>
      <c r="AT28" s="1756">
        <v>1</v>
      </c>
      <c r="AU28" s="1757"/>
      <c r="AV28" s="1760" t="s">
        <v>2672</v>
      </c>
      <c r="AW28" s="1761"/>
      <c r="AX28" s="1756">
        <v>1</v>
      </c>
      <c r="AY28" s="1757"/>
      <c r="AZ28" s="203"/>
      <c r="BA28" s="716">
        <v>16</v>
      </c>
      <c r="BB28" s="717">
        <f t="shared" si="13"/>
        <v>0</v>
      </c>
      <c r="BC28" s="520">
        <f t="shared" si="14"/>
        <v>0</v>
      </c>
      <c r="BD28" s="702">
        <f t="shared" si="15"/>
        <v>0</v>
      </c>
      <c r="BE28" s="723">
        <f t="shared" si="15"/>
        <v>0</v>
      </c>
      <c r="BF28" s="701" t="s">
        <v>365</v>
      </c>
      <c r="BG28" s="712">
        <f>COUNTIF($K$13:$M$22,"準・特・身")</f>
        <v>0</v>
      </c>
      <c r="BH28" s="718">
        <f>COUNTIF($X$13:$Z$22,"準・特・身")</f>
        <v>0</v>
      </c>
      <c r="BI28" s="712">
        <f>COUNTIF($K$55:$M$84,"準・特・身")</f>
        <v>0</v>
      </c>
      <c r="BJ28" s="712">
        <f>COUNTIF($X$55:$Z$84,"準・特・身")</f>
        <v>0</v>
      </c>
      <c r="BK28" s="712">
        <f>COUNTIF($K$98:$M$127,"準・特・身")</f>
        <v>0</v>
      </c>
      <c r="BL28" s="712">
        <f>COUNTIF($X$98:$Z$127,"準・特・身")</f>
        <v>0</v>
      </c>
      <c r="BM28" s="712">
        <f>COUNTIF($K$141:$M$170,"準・特・身")</f>
        <v>0</v>
      </c>
      <c r="BN28" s="712">
        <f>COUNTIF($X$141:$Z$170,"準・特・身")</f>
        <v>0</v>
      </c>
      <c r="BO28" s="712">
        <f>COUNTIF($K$184:$M$213,"準・特・身")</f>
        <v>0</v>
      </c>
      <c r="BP28" s="712">
        <f>COUNTIF($X$184:$Z$213,"準・特・身")</f>
        <v>0</v>
      </c>
      <c r="BQ28" s="712">
        <f>COUNTIF($K$227:$M$256,"準・特・身")</f>
        <v>0</v>
      </c>
      <c r="BR28" s="712">
        <f>COUNTIF($X$227:$Z$256,"準・特・身")</f>
        <v>0</v>
      </c>
      <c r="BS28" s="712">
        <f t="shared" si="12"/>
        <v>0</v>
      </c>
      <c r="BT28" s="712">
        <f>SUMIFS($H$13:$H$22,$J$13:$J$22,"小",$K$13:$K$22,"準・特・身")+SUMIFS($U$13:$U$22,$W$13:$W$22,"小",$X$13:$X$22,"準・特・身")+SUMIFS($H$55:$H$84,$J$55:$J$84,"小",$K$55:$K$84,"準・特・身")+SUMIFS($U$55:$U$84,$W$55:$W$84,"小",$X$55:$X$84,"準・特・身")+SUMIFS($H$98:$H$127,$J$98:$J$127,"小",$K$98:$K$127,"準・特・身")+SUMIFS($H$141:$H$170,$J$141:$J$170,"小",$K$141:$K$170,"準・特・身")+SUMIFS($H$184:$H$213,$J$184:$J$213,"小",$K$184:$K$213,"準・特・身")+SUMIFS($H$227:$H$256,$J$227:$J$256,"小",$K$227:$K$256,"準・特・身")+SUMIFS($U$98:$U$127,$W$98:$W$127,"小",$X$98:$X$127,"準・特・身")+SUMIFS($U$141:$U$170,$W$141:$W$170,"小",$X$141:$X$170,"準・特・身")+SUMIFS($U$184:$U$213,$W$184:$W$213,"小",$X$184:$X$213,"準・特・身")+SUMIFS($U$227:$U$256,$W$227:$W$256,"小",$X$227:$X$256,"準・特・身")</f>
        <v>0</v>
      </c>
      <c r="BU28" s="712">
        <f>SUMIFS($I$13:$I$22,$J$13:$J$22,"小",$K$13:$K$22,"準・特・身")+SUMIFS($V$13:$V$22,$W$13:$W$22,"小",$X$13:$X$22,"準・特・身")+SUMIFS($I$55:$I$84,$J$55:$J$84,"小",$K$55:$K$84,"準・特・身")+SUMIFS($V$55:$V$84,$W$55:$W$84,"小",$X$55:$X$84,"準・特・身")+SUMIFS($I$98:$I$127,$J$98:$J$127,"小",$K$98:$K$127,"準・特・身")+SUMIFS($I$141:$I$170,$J$141:$J$170,"小",$K$141:$K$170,"準・特・身")+SUMIFS($I$184:$I$213,$J$184:$J$213,"小",$K$184:$K$213,"準・特・身")+SUMIFS($I$227:$I$256,$J$227:$J$256,"小",$K$227:$K$256,"準・特・身")+SUMIFS($V$98:$V$127,$W$98:$W$127,"小",$X$98:$X$127,"準・特・身")+SUMIFS($V$141:$V$170,$W$141:$W$170,"小",$X$141:$X$170,"準・特・身")+SUMIFS($V$184:$V$213,$W$184:$W$213,"小",$X$184:$X$213,"準・特・身")+SUMIFS($V$227:$V$256,$W$227:$W$256,"小",$X$227:$X$256,"準・特・身")</f>
        <v>0</v>
      </c>
      <c r="BV28" s="712">
        <f>SUMIFS($H$13:$H$22,$J$13:$J$22,"中",$K$13:$K$22,"準・特・身")+SUMIFS($U$13:$U$22,$W$13:$W$22,"中",$X$13:$X$22,"準・特・身")+SUMIFS($H$55:$H$84,$J$55:$J$84,"中",$K$55:$K$84,"準・特・身")+SUMIFS($U$55:$U$84,$W$55:$W$84,"中",$X$55:$X$84,"準・特・身")+SUMIFS($H$98:$H$127,$J$98:$J$127,"中",$K$98:$K$127,"準・特・身")+SUMIFS($H$141:$H$170,$J$141:$J$170,"中",$K$141:$K$170,"準・特・身")+SUMIFS($H$184:$H$213,$J$184:$J$213,"中",$K$184:$K$213,"準・特・身")+SUMIFS($H$227:$H$256,$J$227:$J$256,"中",$K$227:$K$256,"準・特・身")+SUMIFS($U$98:$U$127,$W$98:$W$127,"中",$X$98:$X$127,"準・特・身")+SUMIFS($U$141:$U$170,$W$141:$W$170,"中",$X$141:$X$170,"準・特・身")+SUMIFS($U$184:$U$213,$W$184:$W$213,"中",$X$184:$X$213,"準・特・身")+SUMIFS($U$227:$U$256,$W$227:$W$256,"中",$X$227:$X$256,"準・特・身")</f>
        <v>0</v>
      </c>
      <c r="BW28" s="712">
        <f>SUMIFS($I$13:$I$22,$J$13:$J$22,"中",$K$13:$K$22,"準・特・身")+SUMIFS($V$13:$V$22,$W$13:$W$22,"中",$X$13:$X$22,"準・特・身")+SUMIFS($I$55:$I$84,$J$55:$J$84,"中",$K$55:$K$84,"準・特・身")+SUMIFS($V$55:$V$84,$W$55:$W$84,"中",$X$55:$X$84,"準・特・身")+SUMIFS($I$98:$I$127,$J$98:$J$127,"中",$K$98:$K$127,"準・特・身")+SUMIFS($I$141:$I$170,$J$141:$J$170,"中",$K$141:$K$170,"準・特・身")+SUMIFS($I$184:$I$213,$J$184:$J$213,"中",$K$184:$K$213,"準・特・身")+SUMIFS($I$227:$I$256,$J$227:$J$256,"中",$K$227:$K$256,"準・特・身")+SUMIFS($V$98:$V$127,$W$98:$W$127,"中",$X$98:$X$127,"準・特・身")+SUMIFS($V$141:$V$170,$W$141:$W$170,"中",$X$141:$X$170,"準・特・身")+SUMIFS($V$184:$V$213,$W$184:$W$213,"中",$X$184:$X$213,"準・特・身")+SUMIFS($V$227:$V$256,$W$227:$W$256,"中",$X$227:$X$256,"準・特・身")</f>
        <v>0</v>
      </c>
      <c r="BX28" s="696"/>
      <c r="BY28" s="696"/>
      <c r="BZ28" s="696"/>
      <c r="CA28" s="696"/>
      <c r="CB28" s="696"/>
      <c r="CC28" s="695" t="str">
        <f t="shared" si="7"/>
        <v>小泊/準・特・療</v>
      </c>
      <c r="CD28" s="712">
        <f t="shared" si="8"/>
        <v>0</v>
      </c>
      <c r="CE28" s="695">
        <f>IF(OR(BT29="",BT29=0),0,99)</f>
        <v>0</v>
      </c>
      <c r="CF28" s="695">
        <v>330</v>
      </c>
      <c r="CG28" s="707">
        <v>99</v>
      </c>
      <c r="CH28" s="696"/>
      <c r="CI28" s="701"/>
      <c r="CJ28" s="701"/>
      <c r="CK28" s="696"/>
      <c r="CL28" s="696"/>
      <c r="CM28" s="696"/>
      <c r="CN28" s="696"/>
      <c r="CO28" s="696"/>
      <c r="CP28" s="696"/>
      <c r="CQ28" s="696"/>
      <c r="CR28" s="696"/>
      <c r="CS28" s="696"/>
      <c r="CT28" s="696"/>
      <c r="CU28" s="696"/>
      <c r="CV28" s="696"/>
      <c r="CW28" s="696"/>
      <c r="CX28" s="696"/>
      <c r="CY28" s="696"/>
      <c r="CZ28" s="696"/>
      <c r="DA28" s="696"/>
      <c r="DB28" s="696"/>
    </row>
    <row r="29" spans="1:106" s="2" customFormat="1" ht="21" customHeight="1" thickBot="1">
      <c r="A29" s="203"/>
      <c r="B29" s="1762"/>
      <c r="C29" s="1763"/>
      <c r="D29" s="1758"/>
      <c r="E29" s="1759"/>
      <c r="F29" s="1762"/>
      <c r="G29" s="1763"/>
      <c r="H29" s="1758"/>
      <c r="I29" s="1759"/>
      <c r="J29" s="1762"/>
      <c r="K29" s="1763"/>
      <c r="L29" s="1758"/>
      <c r="M29" s="1759"/>
      <c r="N29" s="1762"/>
      <c r="O29" s="1763"/>
      <c r="P29" s="1758"/>
      <c r="Q29" s="1759"/>
      <c r="R29" s="1762"/>
      <c r="S29" s="1763"/>
      <c r="T29" s="1758"/>
      <c r="U29" s="1759"/>
      <c r="V29" s="1762"/>
      <c r="W29" s="1763"/>
      <c r="X29" s="1758"/>
      <c r="Y29" s="1759"/>
      <c r="Z29" s="204"/>
      <c r="AA29" s="203"/>
      <c r="AB29" s="1762"/>
      <c r="AC29" s="1763"/>
      <c r="AD29" s="1758"/>
      <c r="AE29" s="1759"/>
      <c r="AF29" s="1762"/>
      <c r="AG29" s="1763"/>
      <c r="AH29" s="1758"/>
      <c r="AI29" s="1759"/>
      <c r="AJ29" s="1762"/>
      <c r="AK29" s="1763"/>
      <c r="AL29" s="1758"/>
      <c r="AM29" s="1759"/>
      <c r="AN29" s="1762"/>
      <c r="AO29" s="1763"/>
      <c r="AP29" s="1758"/>
      <c r="AQ29" s="1759"/>
      <c r="AR29" s="1762"/>
      <c r="AS29" s="1763"/>
      <c r="AT29" s="1758"/>
      <c r="AU29" s="1759"/>
      <c r="AV29" s="1762"/>
      <c r="AW29" s="1763"/>
      <c r="AX29" s="1758"/>
      <c r="AY29" s="1759"/>
      <c r="AZ29" s="204"/>
      <c r="BA29" s="716">
        <v>17</v>
      </c>
      <c r="BB29" s="717">
        <f t="shared" si="13"/>
        <v>0</v>
      </c>
      <c r="BC29" s="520">
        <f t="shared" si="14"/>
        <v>0</v>
      </c>
      <c r="BD29" s="702">
        <f t="shared" si="15"/>
        <v>0</v>
      </c>
      <c r="BE29" s="723">
        <f t="shared" si="15"/>
        <v>0</v>
      </c>
      <c r="BF29" s="701" t="s">
        <v>366</v>
      </c>
      <c r="BG29" s="712">
        <f>COUNTIF($K$13:$M$22,"準・特・療")</f>
        <v>0</v>
      </c>
      <c r="BH29" s="718">
        <f>COUNTIF($X$13:$Z$22,"準・特・療")</f>
        <v>0</v>
      </c>
      <c r="BI29" s="712">
        <f>COUNTIF($K$55:$M$84,"準・特・療")</f>
        <v>0</v>
      </c>
      <c r="BJ29" s="712">
        <f>COUNTIF($X$55:$Z$84,"準・特・療")</f>
        <v>0</v>
      </c>
      <c r="BK29" s="712">
        <f>COUNTIF($K$98:$M$127,"準・特・療")</f>
        <v>0</v>
      </c>
      <c r="BL29" s="712">
        <f>COUNTIF($X$98:$Z$127,"準・特・療")</f>
        <v>0</v>
      </c>
      <c r="BM29" s="712">
        <f>COUNTIF($K$141:$M$170,"準・特・療")</f>
        <v>0</v>
      </c>
      <c r="BN29" s="712">
        <f>COUNTIF($X$141:$Z$170,"準・特・療")</f>
        <v>0</v>
      </c>
      <c r="BO29" s="712">
        <f>COUNTIF($K$184:$M$213,"準・特・療")</f>
        <v>0</v>
      </c>
      <c r="BP29" s="712">
        <f>COUNTIF($X$184:$Z$213,"準・特・療")</f>
        <v>0</v>
      </c>
      <c r="BQ29" s="712">
        <f>COUNTIF($K$227:$M$256,"準・特・療")</f>
        <v>0</v>
      </c>
      <c r="BR29" s="712">
        <f>COUNTIF($X$227:$Z$256,"準・特・療")</f>
        <v>0</v>
      </c>
      <c r="BS29" s="712">
        <f t="shared" si="12"/>
        <v>0</v>
      </c>
      <c r="BT29" s="712">
        <f>SUMIFS($H$13:$H$22,$J$13:$J$22,"小",$K$13:$K$22,"準・特・療")+SUMIFS($U$13:$U$22,$W$13:$W$22,"小",$X$13:$X$22,"準・特・療")+SUMIFS($H$55:$H$84,$J$55:$J$84,"小",$K$55:$K$84,"準・特・療")+SUMIFS($U$55:$U$84,$W$55:$W$84,"小",$X$55:$X$84,"準・特・療")+SUMIFS($H$98:$H$127,$J$98:$J$127,"小",$K$98:$K$127,"準・特・療")+SUMIFS($H$141:$H$170,$J$141:$J$170,"小",$K$141:$K$170,"準・特・療")+SUMIFS($H$184:$H$213,$J$184:$J$213,"小",$K$184:$K$213,"準・特・療")+SUMIFS($H$227:$H$256,$J$227:$J$256,"小",$K$227:$K$256,"準・特・療")+SUMIFS($U$98:$U$127,$W$98:$W$127,"小",$X$98:$X$127,"準・特・療")+SUMIFS($U$141:$U$170,$W$141:$W$170,"小",$X$141:$X$170,"準・特・療")+SUMIFS($U$184:$U$213,$W$184:$W$213,"小",$X$184:$X$213,"準・特・療")+SUMIFS($U$227:$U$256,$W$227:$W$256,"小",$X$227:$X$256,"準・特・療")</f>
        <v>0</v>
      </c>
      <c r="BU29" s="712">
        <f>SUMIFS($I$13:$I$22,$J$13:$J$22,"小",$K$13:$K$22,"準・特・療")+SUMIFS($V$13:$V$22,$W$13:$W$22,"小",$X$13:$X$22,"準・特・療")+SUMIFS($I$55:$I$84,$J$55:$J$84,"小",$K$55:$K$84,"準・特・療")+SUMIFS($V$55:$V$84,$W$55:$W$84,"小",$X$55:$X$84,"準・特・療")+SUMIFS($I$98:$I$127,$J$98:$J$127,"小",$K$98:$K$127,"準・特・療")+SUMIFS($I$141:$I$170,$J$141:$J$170,"小",$K$141:$K$170,"準・特・療")+SUMIFS($I$184:$I$213,$J$184:$J$213,"小",$K$184:$K$213,"準・特・療")+SUMIFS($I$227:$I$256,$J$227:$J$256,"小",$K$227:$K$256,"準・特・療")+SUMIFS($V$98:$V$127,$W$98:$W$127,"小",$X$98:$X$127,"準・特・療")+SUMIFS($V$141:$V$170,$W$141:$W$170,"小",$X$141:$X$170,"準・特・療")+SUMIFS($V$184:$V$213,$W$184:$W$213,"小",$X$184:$X$213,"準・特・療")+SUMIFS($V$227:$V$256,$W$227:$W$256,"小",$X$227:$X$256,"準・特・療")</f>
        <v>0</v>
      </c>
      <c r="BV29" s="712">
        <f>SUMIFS($H$13:$H$22,$J$13:$J$22,"中",$K$13:$K$22,"準・特・療")+SUMIFS($U$13:$U$22,$W$13:$W$22,"中",$X$13:$X$22,"準・特・療")+SUMIFS($H$55:$H$84,$J$55:$J$84,"中",$K$55:$K$84,"準・特・療")+SUMIFS($U$55:$U$84,$W$55:$W$84,"中",$X$55:$X$84,"準・特・療")+SUMIFS($H$98:$H$127,$J$98:$J$127,"中",$K$98:$K$127,"準・特・療")+SUMIFS($H$141:$H$170,$J$141:$J$170,"中",$K$141:$K$170,"準・特・療")+SUMIFS($H$184:$H$213,$J$184:$J$213,"中",$K$184:$K$213,"準・特・療")+SUMIFS($H$227:$H$256,$J$227:$J$256,"中",$K$227:$K$256,"準・特・療")+SUMIFS($U$98:$U$127,$W$98:$W$127,"中",$X$98:$X$127,"準・特・療")+SUMIFS($U$141:$U$170,$W$141:$W$170,"中",$X$141:$X$170,"準・特・療")+SUMIFS($U$184:$U$213,$W$184:$W$213,"中",$X$184:$X$213,"準・特・療")+SUMIFS($U$227:$U$256,$W$227:$W$256,"中",$X$227:$X$256,"準・特・療")</f>
        <v>0</v>
      </c>
      <c r="BW29" s="712">
        <f>SUMIFS($I$13:$I$22,$J$13:$J$22,"中",$K$13:$K$22,"準・特・療")+SUMIFS($V$13:$V$22,$W$13:$W$22,"中",$X$13:$X$22,"準・特・療")+SUMIFS($I$55:$I$84,$J$55:$J$84,"中",$K$55:$K$84,"準・特・療")+SUMIFS($V$55:$V$84,$W$55:$W$84,"中",$X$55:$X$84,"準・特・療")+SUMIFS($I$98:$I$127,$J$98:$J$127,"中",$K$98:$K$127,"準・特・療")+SUMIFS($I$141:$I$170,$J$141:$J$170,"中",$K$141:$K$170,"準・特・療")+SUMIFS($I$184:$I$213,$J$184:$J$213,"中",$K$184:$K$213,"準・特・療")+SUMIFS($I$227:$I$256,$J$227:$J$256,"中",$K$227:$K$256,"準・特・療")+SUMIFS($V$98:$V$127,$W$98:$W$127,"中",$X$98:$X$127,"準・特・療")+SUMIFS($V$141:$V$170,$W$141:$W$170,"中",$X$141:$X$170,"準・特・療")+SUMIFS($V$184:$V$213,$W$184:$W$213,"中",$X$184:$X$213,"準・特・療")+SUMIFS($V$227:$V$256,$W$227:$W$256,"中",$X$227:$X$256,"準・特・療")</f>
        <v>0</v>
      </c>
      <c r="BX29" s="696"/>
      <c r="BY29" s="696"/>
      <c r="BZ29" s="696"/>
      <c r="CA29" s="696"/>
      <c r="CB29" s="696"/>
      <c r="CC29" s="695" t="str">
        <f t="shared" si="7"/>
        <v>小泊/準・特・精</v>
      </c>
      <c r="CD29" s="712">
        <f t="shared" si="8"/>
        <v>0</v>
      </c>
      <c r="CE29" s="695">
        <f>IF(OR(BT30="",BT30=0),0,98)</f>
        <v>0</v>
      </c>
      <c r="CF29" s="695">
        <v>330</v>
      </c>
      <c r="CG29" s="707">
        <v>98</v>
      </c>
      <c r="CH29" s="696"/>
      <c r="CI29" s="701"/>
      <c r="CJ29" s="701"/>
      <c r="CK29" s="696"/>
      <c r="CL29" s="696"/>
      <c r="CM29" s="696"/>
      <c r="CN29" s="696"/>
      <c r="CO29" s="696"/>
      <c r="CP29" s="696"/>
      <c r="CQ29" s="696"/>
      <c r="CR29" s="696"/>
      <c r="CS29" s="696"/>
      <c r="CT29" s="696"/>
      <c r="CU29" s="696"/>
      <c r="CV29" s="696"/>
      <c r="CW29" s="696"/>
      <c r="CX29" s="696"/>
      <c r="CY29" s="696"/>
      <c r="CZ29" s="696"/>
      <c r="DA29" s="696"/>
      <c r="DB29" s="696"/>
    </row>
    <row r="30" spans="1:106" s="2" customFormat="1" ht="21" customHeight="1">
      <c r="A30" s="203"/>
      <c r="B30" s="1760" t="str">
        <f>IF(D30=0,"",CI9)</f>
        <v/>
      </c>
      <c r="C30" s="1761"/>
      <c r="D30" s="1756">
        <f>CJ9</f>
        <v>0</v>
      </c>
      <c r="E30" s="1757"/>
      <c r="F30" s="1760" t="str">
        <f>IF(H30=0,"",CI10)</f>
        <v/>
      </c>
      <c r="G30" s="1761"/>
      <c r="H30" s="1756">
        <f>CJ10</f>
        <v>0</v>
      </c>
      <c r="I30" s="1757"/>
      <c r="J30" s="1760" t="str">
        <f>IF(L30=0,"",CI11)</f>
        <v/>
      </c>
      <c r="K30" s="1761"/>
      <c r="L30" s="1756">
        <f>CJ11</f>
        <v>0</v>
      </c>
      <c r="M30" s="1757"/>
      <c r="N30" s="1760" t="str">
        <f>IF(P30=0,"",CI12)</f>
        <v/>
      </c>
      <c r="O30" s="1761"/>
      <c r="P30" s="1756">
        <f>CJ12</f>
        <v>0</v>
      </c>
      <c r="Q30" s="1757"/>
      <c r="R30" s="1760" t="str">
        <f>IF(T30=0,"",CI13)</f>
        <v/>
      </c>
      <c r="S30" s="1761"/>
      <c r="T30" s="1756">
        <f>CJ13</f>
        <v>0</v>
      </c>
      <c r="U30" s="1757"/>
      <c r="V30" s="1760" t="str">
        <f>IF(X30=0,"",CI14)</f>
        <v/>
      </c>
      <c r="W30" s="1761"/>
      <c r="X30" s="1756">
        <f>CJ14</f>
        <v>0</v>
      </c>
      <c r="Y30" s="1757"/>
      <c r="Z30" s="153"/>
      <c r="AA30" s="203"/>
      <c r="AB30" s="1760" t="s">
        <v>3148</v>
      </c>
      <c r="AC30" s="1761"/>
      <c r="AD30" s="1778">
        <v>1</v>
      </c>
      <c r="AE30" s="1779"/>
      <c r="AF30" s="1767" t="str">
        <f>IF(AH30=0,"",DI10)</f>
        <v/>
      </c>
      <c r="AG30" s="1768"/>
      <c r="AH30" s="1778">
        <f>DJ10</f>
        <v>0</v>
      </c>
      <c r="AI30" s="1779"/>
      <c r="AJ30" s="1767" t="str">
        <f>IF(AL30=0,"",DI11)</f>
        <v/>
      </c>
      <c r="AK30" s="1768"/>
      <c r="AL30" s="1778">
        <f>DJ11</f>
        <v>0</v>
      </c>
      <c r="AM30" s="1779"/>
      <c r="AN30" s="1782" t="str">
        <f>IF(AP30=0,"",DI12)</f>
        <v/>
      </c>
      <c r="AO30" s="1783"/>
      <c r="AP30" s="1778">
        <f>DJ12</f>
        <v>0</v>
      </c>
      <c r="AQ30" s="1779"/>
      <c r="AR30" s="1760" t="str">
        <f>IF(AT30=0,"",DI13)</f>
        <v/>
      </c>
      <c r="AS30" s="1761"/>
      <c r="AT30" s="1778">
        <f>DJ13</f>
        <v>0</v>
      </c>
      <c r="AU30" s="1779"/>
      <c r="AV30" s="1760" t="str">
        <f>IF(AX30=0,"",DI14)</f>
        <v/>
      </c>
      <c r="AW30" s="1761"/>
      <c r="AX30" s="1778">
        <f>DJ14</f>
        <v>0</v>
      </c>
      <c r="AY30" s="1779"/>
      <c r="AZ30" s="153"/>
      <c r="BA30" s="716">
        <v>18</v>
      </c>
      <c r="BB30" s="717">
        <f t="shared" si="13"/>
        <v>0</v>
      </c>
      <c r="BC30" s="520">
        <f t="shared" si="14"/>
        <v>0</v>
      </c>
      <c r="BD30" s="702">
        <f t="shared" si="15"/>
        <v>0</v>
      </c>
      <c r="BE30" s="723">
        <f t="shared" si="15"/>
        <v>0</v>
      </c>
      <c r="BF30" s="701" t="s">
        <v>367</v>
      </c>
      <c r="BG30" s="712">
        <f>COUNTIF($K$13:$M$22,"準・特・精")</f>
        <v>0</v>
      </c>
      <c r="BH30" s="718">
        <f>COUNTIF($X$13:$Z$22,"準・特・精")</f>
        <v>0</v>
      </c>
      <c r="BI30" s="712">
        <f>COUNTIF($K$55:$M$84,"準・特・精")</f>
        <v>0</v>
      </c>
      <c r="BJ30" s="712">
        <f>COUNTIF($X$55:$Z$84,"準・特・精")</f>
        <v>0</v>
      </c>
      <c r="BK30" s="712">
        <f>COUNTIF($K$98:$M$127,"準・特・精")</f>
        <v>0</v>
      </c>
      <c r="BL30" s="712">
        <f>COUNTIF($X$98:$Z$127,"準・特・精")</f>
        <v>0</v>
      </c>
      <c r="BM30" s="712">
        <f>COUNTIF($K$141:$M$170,"準・特・精")</f>
        <v>0</v>
      </c>
      <c r="BN30" s="712">
        <f>COUNTIF($X$141:$Z$170,"準・特・精")</f>
        <v>0</v>
      </c>
      <c r="BO30" s="712">
        <f>COUNTIF($K$184:$M$213,"準・特・精")</f>
        <v>0</v>
      </c>
      <c r="BP30" s="712">
        <f>COUNTIF($X$184:$Z$213,"準・特・精")</f>
        <v>0</v>
      </c>
      <c r="BQ30" s="712">
        <f>COUNTIF($K$227:$M$256,"準・特・精")</f>
        <v>0</v>
      </c>
      <c r="BR30" s="712">
        <f>COUNTIF($X$227:$Z$256,"準・特・精")</f>
        <v>0</v>
      </c>
      <c r="BS30" s="712">
        <f t="shared" si="12"/>
        <v>0</v>
      </c>
      <c r="BT30" s="712">
        <f>SUMIFS($H$13:$H$22,$J$13:$J$22,"小",$K$13:$K$22,"準・特・精")+SUMIFS($U$13:$U$22,$W$13:$W$22,"小",$X$13:$X$22,"準・特・精")+SUMIFS($H$55:$H$84,$J$55:$J$84,"小",$K$55:$K$84,"準・特・精")+SUMIFS($U$55:$U$84,$W$55:$W$84,"小",$X$55:$X$84,"準・特・精")+SUMIFS($H$98:$H$127,$J$98:$J$127,"小",$K$98:$K$127,"準・特・精")+SUMIFS($H$141:$H$170,$J$141:$J$170,"小",$K$141:$K$170,"準・特・精")+SUMIFS($H$184:$H$213,$J$184:$J$213,"小",$K$184:$K$213,"準・特・精")+SUMIFS($H$227:$H$256,$J$227:$J$256,"小",$K$227:$K$256,"準・特・精")+SUMIFS($U$98:$U$127,$W$98:$W$127,"小",$X$98:$X$127,"準・特・精")+SUMIFS($U$141:$U$170,$W$141:$W$170,"小",$X$141:$X$170,"準・特・精")+SUMIFS($U$184:$U$213,$W$184:$W$213,"小",$X$184:$X$213,"準・特・精")+SUMIFS($U$227:$U$256,$W$227:$W$256,"小",$X$227:$X$256,"準・特・精")</f>
        <v>0</v>
      </c>
      <c r="BU30" s="712">
        <f>SUMIFS($I$13:$I$22,$J$13:$J$22,"小",$K$13:$K$22,"準・特・精")+SUMIFS($V$13:$V$22,$W$13:$W$22,"小",$X$13:$X$22,"準・特・精")+SUMIFS($I$55:$I$84,$J$55:$J$84,"小",$K$55:$K$84,"準・特・精")+SUMIFS($V$55:$V$84,$W$55:$W$84,"小",$X$55:$X$84,"準・特・精")+SUMIFS($I$98:$I$127,$J$98:$J$127,"小",$K$98:$K$127,"準・特・精")+SUMIFS($I$141:$I$170,$J$141:$J$170,"小",$K$141:$K$170,"準・特・精")+SUMIFS($I$184:$I$213,$J$184:$J$213,"小",$K$184:$K$213,"準・特・精")+SUMIFS($I$227:$I$256,$J$227:$J$256,"小",$K$227:$K$256,"準・特・精")+SUMIFS($V$98:$V$127,$W$98:$W$127,"小",$X$98:$X$127,"準・特・精")+SUMIFS($V$141:$V$170,$W$141:$W$170,"小",$X$141:$X$170,"準・特・精")+SUMIFS($V$184:$V$213,$W$184:$W$213,"小",$X$184:$X$213,"準・特・精")+SUMIFS($V$227:$V$256,$W$227:$W$256,"小",$X$227:$X$256,"準・特・精")</f>
        <v>0</v>
      </c>
      <c r="BV30" s="712">
        <f>SUMIFS($H$13:$H$22,$J$13:$J$22,"中",$K$13:$K$22,"準・特・精")+SUMIFS($U$13:$U$22,$W$13:$W$22,"中",$X$13:$X$22,"準・特・精")+SUMIFS($H$55:$H$84,$J$55:$J$84,"中",$K$55:$K$84,"準・特・精")+SUMIFS($U$55:$U$84,$W$55:$W$84,"中",$X$55:$X$84,"準・特・精")+SUMIFS($H$98:$H$127,$J$98:$J$127,"中",$K$98:$K$127,"準・特・精")+SUMIFS($H$141:$H$170,$J$141:$J$170,"中",$K$141:$K$170,"準・特・精")+SUMIFS($H$184:$H$213,$J$184:$J$213,"中",$K$184:$K$213,"準・特・精")+SUMIFS($H$227:$H$256,$J$227:$J$256,"中",$K$227:$K$256,"準・特・精")+SUMIFS($U$98:$U$127,$W$98:$W$127,"中",$X$98:$X$127,"準・特・精")+SUMIFS($U$141:$U$170,$W$141:$W$170,"中",$X$141:$X$170,"準・特・精")+SUMIFS($U$184:$U$213,$W$184:$W$213,"中",$X$184:$X$213,"準・特・精")+SUMIFS($U$227:$U$256,$W$227:$W$256,"中",$X$227:$X$256,"準・特・精")</f>
        <v>0</v>
      </c>
      <c r="BW30" s="712">
        <f>SUMIFS($I$13:$I$22,$J$13:$J$22,"中",$K$13:$K$22,"準・特・精")+SUMIFS($V$13:$V$22,$W$13:$W$22,"中",$X$13:$X$22,"準・特・精")+SUMIFS($I$55:$I$84,$J$55:$J$84,"中",$K$55:$K$84,"準・特・精")+SUMIFS($V$55:$V$84,$W$55:$W$84,"中",$X$55:$X$84,"準・特・精")+SUMIFS($I$98:$I$127,$J$98:$J$127,"中",$K$98:$K$127,"準・特・精")+SUMIFS($I$141:$I$170,$J$141:$J$170,"中",$K$141:$K$170,"準・特・精")+SUMIFS($I$184:$I$213,$J$184:$J$213,"中",$K$184:$K$213,"準・特・精")+SUMIFS($I$227:$I$256,$J$227:$J$256,"中",$K$227:$K$256,"準・特・精")+SUMIFS($V$98:$V$127,$W$98:$W$127,"中",$X$98:$X$127,"準・特・精")+SUMIFS($V$141:$V$170,$W$141:$W$170,"中",$X$141:$X$170,"準・特・精")+SUMIFS($V$184:$V$213,$W$184:$W$213,"中",$X$184:$X$213,"準・特・精")+SUMIFS($V$227:$V$256,$W$227:$W$256,"中",$X$227:$X$256,"準・特・精")</f>
        <v>0</v>
      </c>
      <c r="BX30" s="696"/>
      <c r="BY30" s="696"/>
      <c r="BZ30" s="696"/>
      <c r="CA30" s="696"/>
      <c r="CB30" s="696"/>
      <c r="CC30" s="695" t="str">
        <f t="shared" si="7"/>
        <v>小泊/準・身・療</v>
      </c>
      <c r="CD30" s="712">
        <f t="shared" si="8"/>
        <v>0</v>
      </c>
      <c r="CE30" s="695">
        <f>IF(OR(BT31="",BT31=0),0,97)</f>
        <v>0</v>
      </c>
      <c r="CF30" s="695">
        <v>330</v>
      </c>
      <c r="CG30" s="707">
        <v>97</v>
      </c>
      <c r="CH30" s="696"/>
      <c r="CI30" s="701"/>
      <c r="CJ30" s="701"/>
      <c r="CK30" s="696"/>
      <c r="CL30" s="696"/>
      <c r="CM30" s="696"/>
      <c r="CN30" s="696"/>
      <c r="CO30" s="696"/>
      <c r="CP30" s="696"/>
      <c r="CQ30" s="696"/>
      <c r="CR30" s="696"/>
      <c r="CS30" s="696"/>
      <c r="CT30" s="696"/>
      <c r="CU30" s="696"/>
      <c r="CV30" s="696"/>
      <c r="CW30" s="696"/>
      <c r="CX30" s="696"/>
      <c r="CY30" s="696"/>
      <c r="CZ30" s="696"/>
      <c r="DA30" s="696"/>
      <c r="DB30" s="696"/>
    </row>
    <row r="31" spans="1:106" s="2" customFormat="1" ht="27.95" customHeight="1" thickBot="1">
      <c r="A31" s="205"/>
      <c r="B31" s="1762"/>
      <c r="C31" s="1763"/>
      <c r="D31" s="1758"/>
      <c r="E31" s="1759"/>
      <c r="F31" s="1762"/>
      <c r="G31" s="1763"/>
      <c r="H31" s="1758"/>
      <c r="I31" s="1759"/>
      <c r="J31" s="1762"/>
      <c r="K31" s="1763"/>
      <c r="L31" s="1758"/>
      <c r="M31" s="1759"/>
      <c r="N31" s="1762"/>
      <c r="O31" s="1763"/>
      <c r="P31" s="1758"/>
      <c r="Q31" s="1759"/>
      <c r="R31" s="1762"/>
      <c r="S31" s="1763"/>
      <c r="T31" s="1758"/>
      <c r="U31" s="1759"/>
      <c r="V31" s="1762"/>
      <c r="W31" s="1763"/>
      <c r="X31" s="1758"/>
      <c r="Y31" s="1759"/>
      <c r="Z31" s="153"/>
      <c r="AA31" s="205"/>
      <c r="AB31" s="1762"/>
      <c r="AC31" s="1763"/>
      <c r="AD31" s="1780"/>
      <c r="AE31" s="1781"/>
      <c r="AF31" s="1769"/>
      <c r="AG31" s="1770"/>
      <c r="AH31" s="1780"/>
      <c r="AI31" s="1781"/>
      <c r="AJ31" s="1769"/>
      <c r="AK31" s="1770"/>
      <c r="AL31" s="1780"/>
      <c r="AM31" s="1781"/>
      <c r="AN31" s="1784"/>
      <c r="AO31" s="1785"/>
      <c r="AP31" s="1780"/>
      <c r="AQ31" s="1781"/>
      <c r="AR31" s="1762"/>
      <c r="AS31" s="1763"/>
      <c r="AT31" s="1780"/>
      <c r="AU31" s="1781"/>
      <c r="AV31" s="1762"/>
      <c r="AW31" s="1763"/>
      <c r="AX31" s="1780"/>
      <c r="AY31" s="1781"/>
      <c r="AZ31" s="153"/>
      <c r="BA31" s="716">
        <v>19</v>
      </c>
      <c r="BB31" s="717">
        <f t="shared" si="13"/>
        <v>0</v>
      </c>
      <c r="BC31" s="520">
        <f t="shared" si="14"/>
        <v>0</v>
      </c>
      <c r="BD31" s="702">
        <f t="shared" si="15"/>
        <v>0</v>
      </c>
      <c r="BE31" s="723">
        <f t="shared" si="15"/>
        <v>0</v>
      </c>
      <c r="BF31" s="701" t="s">
        <v>368</v>
      </c>
      <c r="BG31" s="712">
        <f>COUNTIF($K$13:$M$22,"準・身・療")</f>
        <v>0</v>
      </c>
      <c r="BH31" s="718">
        <f>COUNTIF($X$13:$Z$22,"準・身・療")</f>
        <v>0</v>
      </c>
      <c r="BI31" s="712">
        <f>COUNTIF($K$55:$M$84,"準・身・療")</f>
        <v>0</v>
      </c>
      <c r="BJ31" s="712">
        <f>COUNTIF($X$55:$Z$84,"準・身・療")</f>
        <v>0</v>
      </c>
      <c r="BK31" s="712">
        <f>COUNTIF($K$98:$M$127,"準・身・療")</f>
        <v>0</v>
      </c>
      <c r="BL31" s="712">
        <f>COUNTIF($X$98:$Z$127,"準・身・療")</f>
        <v>0</v>
      </c>
      <c r="BM31" s="712">
        <f>COUNTIF($K$141:$M$170,"準・身・療")</f>
        <v>0</v>
      </c>
      <c r="BN31" s="712">
        <f>COUNTIF($X$141:$Z$170,"準・身・療")</f>
        <v>0</v>
      </c>
      <c r="BO31" s="712">
        <f>COUNTIF($K$184:$M$213,"準・身・療")</f>
        <v>0</v>
      </c>
      <c r="BP31" s="712">
        <f>COUNTIF($X$184:$Z$213,"準・身・療")</f>
        <v>0</v>
      </c>
      <c r="BQ31" s="712">
        <f>COUNTIF($K$227:$M$256,"準・身・療")</f>
        <v>0</v>
      </c>
      <c r="BR31" s="712">
        <f>COUNTIF($X$227:$Z$256,"準・身・療")</f>
        <v>0</v>
      </c>
      <c r="BS31" s="712">
        <f t="shared" si="12"/>
        <v>0</v>
      </c>
      <c r="BT31" s="712">
        <f>SUMIFS($H$13:$H$22,$J$13:$J$22,"小",$K$13:$K$22,"準・身・療")+SUMIFS($U$13:$U$22,$W$13:$W$22,"小",$X$13:$X$22,"準・身・療")+SUMIFS($H$55:$H$84,$J$55:$J$84,"小",$K$55:$K$84,"準・身・療")+SUMIFS($U$55:$U$84,$W$55:$W$84,"小",$X$55:$X$84,"準・身・療")+SUMIFS($H$98:$H$127,$J$98:$J$127,"小",$K$98:$K$127,"準・身・療")+SUMIFS($H$141:$H$170,$J$141:$J$170,"小",$K$141:$K$170,"準・身・療")+SUMIFS($H$184:$H$213,$J$184:$J$213,"小",$K$184:$K$213,"準・身・療")+SUMIFS($H$227:$H$256,$J$227:$J$256,"小",$K$227:$K$256,"準・身・療")+SUMIFS($U$98:$U$127,$W$98:$W$127,"小",$X$98:$X$127,"準・身・療")+SUMIFS($U$141:$U$170,$W$141:$W$170,"小",$X$141:$X$170,"準・身・療")+SUMIFS($U$184:$U$213,$W$184:$W$213,"小",$X$184:$X$213,"準・身・療")+SUMIFS($U$227:$U$256,$W$227:$W$256,"小",$X$227:$X$256,"準・身・療")</f>
        <v>0</v>
      </c>
      <c r="BU31" s="712">
        <f>SUMIFS($I$13:$I$22,$J$13:$J$22,"小",$K$13:$K$22,"準・身・療")+SUMIFS($V$13:$V$22,$W$13:$W$22,"小",$X$13:$X$22,"準・身・療")+SUMIFS($I$55:$I$84,$J$55:$J$84,"小",$K$55:$K$84,"準・身・療")+SUMIFS($V$55:$V$84,$W$55:$W$84,"小",$X$55:$X$84,"準・身・療")+SUMIFS($I$98:$I$127,$J$98:$J$127,"小",$K$98:$K$127,"準・身・療")+SUMIFS($I$141:$I$170,$J$141:$J$170,"小",$K$141:$K$170,"準・身・療")+SUMIFS($I$184:$I$213,$J$184:$J$213,"小",$K$184:$K$213,"準・身・療")+SUMIFS($I$227:$I$256,$J$227:$J$256,"小",$K$227:$K$256,"準・身・療")+SUMIFS($V$98:$V$127,$W$98:$W$127,"小",$X$98:$X$127,"準・身・療")+SUMIFS($V$141:$V$170,$W$141:$W$170,"小",$X$141:$X$170,"準・身・療")+SUMIFS($V$184:$V$213,$W$184:$W$213,"小",$X$184:$X$213,"準・身・療")+SUMIFS($V$227:$V$256,$W$227:$W$256,"小",$X$227:$X$256,"準・身・療")</f>
        <v>0</v>
      </c>
      <c r="BV31" s="712">
        <f>SUMIFS($H$13:$H$22,$J$13:$J$22,"中",$K$13:$K$22,"準・身・療")+SUMIFS($U$13:$U$22,$W$13:$W$22,"中",$X$13:$X$22,"準・身・療")+SUMIFS($H$55:$H$84,$J$55:$J$84,"中",$K$55:$K$84,"準・身・療")+SUMIFS($U$55:$U$84,$W$55:$W$84,"中",$X$55:$X$84,"準・身・療")+SUMIFS($H$98:$H$127,$J$98:$J$127,"中",$K$98:$K$127,"準・身・療")+SUMIFS($H$141:$H$170,$J$141:$J$170,"中",$K$141:$K$170,"準・身・療")+SUMIFS($H$184:$H$213,$J$184:$J$213,"中",$K$184:$K$213,"準・身・療")+SUMIFS($H$227:$H$256,$J$227:$J$256,"中",$K$227:$K$256,"準・身・療")+SUMIFS($U$98:$U$127,$W$98:$W$127,"中",$X$98:$X$127,"準・身・療")+SUMIFS($U$141:$U$170,$W$141:$W$170,"中",$X$141:$X$170,"準・身・療")+SUMIFS($U$184:$U$213,$W$184:$W$213,"中",$X$184:$X$213,"準・身・療")+SUMIFS($U$227:$U$256,$W$227:$W$256,"中",$X$227:$X$256,"準・身・療")</f>
        <v>0</v>
      </c>
      <c r="BW31" s="712">
        <f>SUMIFS($I$13:$I$22,$J$13:$J$22,"中",$K$13:$K$22,"準・身・療")+SUMIFS($V$13:$V$22,$W$13:$W$22,"中",$X$13:$X$22,"準・身・療")+SUMIFS($I$55:$I$84,$J$55:$J$84,"中",$K$55:$K$84,"準・身・療")+SUMIFS($V$55:$V$84,$W$55:$W$84,"中",$X$55:$X$84,"準・身・療")+SUMIFS($I$98:$I$127,$J$98:$J$127,"中",$K$98:$K$127,"準・身・療")+SUMIFS($I$141:$I$170,$J$141:$J$170,"中",$K$141:$K$170,"準・身・療")+SUMIFS($I$184:$I$213,$J$184:$J$213,"中",$K$184:$K$213,"準・身・療")+SUMIFS($I$227:$I$256,$J$227:$J$256,"中",$K$227:$K$256,"準・身・療")+SUMIFS($V$98:$V$127,$W$98:$W$127,"中",$X$98:$X$127,"準・身・療")+SUMIFS($V$141:$V$170,$W$141:$W$170,"中",$X$141:$X$170,"準・身・療")+SUMIFS($V$184:$V$213,$W$184:$W$213,"中",$X$184:$X$213,"準・身・療")+SUMIFS($V$227:$V$256,$W$227:$W$256,"中",$X$227:$X$256,"準・身・療")</f>
        <v>0</v>
      </c>
      <c r="BX31" s="696"/>
      <c r="BY31" s="696"/>
      <c r="BZ31" s="696"/>
      <c r="CA31" s="696"/>
      <c r="CB31" s="696"/>
      <c r="CC31" s="695" t="str">
        <f t="shared" si="7"/>
        <v>小泊/準・身・精</v>
      </c>
      <c r="CD31" s="712">
        <f t="shared" si="8"/>
        <v>0</v>
      </c>
      <c r="CE31" s="695">
        <f>IF(OR(BT32="",BT32=0),0,96)</f>
        <v>0</v>
      </c>
      <c r="CF31" s="695">
        <v>330</v>
      </c>
      <c r="CG31" s="707">
        <v>96</v>
      </c>
      <c r="CH31" s="696"/>
      <c r="CI31" s="701"/>
      <c r="CJ31" s="701"/>
      <c r="CK31" s="696"/>
      <c r="CL31" s="696"/>
      <c r="CM31" s="696"/>
      <c r="CN31" s="696"/>
      <c r="CO31" s="696"/>
      <c r="CP31" s="696"/>
      <c r="CQ31" s="696"/>
      <c r="CR31" s="696"/>
      <c r="CS31" s="696"/>
      <c r="CT31" s="696"/>
      <c r="CU31" s="696"/>
      <c r="CV31" s="696"/>
      <c r="CW31" s="696"/>
      <c r="CX31" s="696"/>
      <c r="CY31" s="696"/>
      <c r="CZ31" s="696"/>
      <c r="DA31" s="696"/>
      <c r="DB31" s="696"/>
    </row>
    <row r="32" spans="1:106" s="2" customFormat="1" ht="27.95" customHeight="1">
      <c r="A32" s="153"/>
      <c r="B32" s="153"/>
      <c r="C32" s="153"/>
      <c r="D32" s="153"/>
      <c r="E32" s="153"/>
      <c r="F32" s="153"/>
      <c r="G32" s="153"/>
      <c r="H32" s="153"/>
      <c r="I32" s="153"/>
      <c r="J32" s="153"/>
      <c r="K32" s="180"/>
      <c r="L32" s="180"/>
      <c r="M32" s="153"/>
      <c r="N32" s="153"/>
      <c r="O32" s="206"/>
      <c r="P32" s="153"/>
      <c r="Q32" s="153"/>
      <c r="R32" s="153"/>
      <c r="S32" s="153"/>
      <c r="T32" s="153"/>
      <c r="U32" s="153"/>
      <c r="V32" s="153"/>
      <c r="W32" s="153"/>
      <c r="X32" s="153"/>
      <c r="Y32" s="153"/>
      <c r="Z32" s="153"/>
      <c r="AA32" s="153"/>
      <c r="AB32" s="153"/>
      <c r="AC32" s="153"/>
      <c r="AD32" s="153"/>
      <c r="AE32" s="153"/>
      <c r="AF32" s="153"/>
      <c r="AG32" s="153"/>
      <c r="AH32" s="153"/>
      <c r="AI32" s="153"/>
      <c r="AJ32" s="153"/>
      <c r="AK32" s="180"/>
      <c r="AL32" s="180"/>
      <c r="AM32" s="153"/>
      <c r="AN32" s="153"/>
      <c r="AO32" s="206"/>
      <c r="AP32" s="153"/>
      <c r="AQ32" s="153"/>
      <c r="AR32" s="153"/>
      <c r="AS32" s="153"/>
      <c r="AT32" s="153"/>
      <c r="AU32" s="153"/>
      <c r="AV32" s="153"/>
      <c r="AW32" s="153"/>
      <c r="AX32" s="153"/>
      <c r="AY32" s="153"/>
      <c r="AZ32" s="153"/>
      <c r="BA32" s="716">
        <v>20</v>
      </c>
      <c r="BB32" s="717">
        <f t="shared" si="13"/>
        <v>0</v>
      </c>
      <c r="BC32" s="520">
        <f t="shared" si="14"/>
        <v>0</v>
      </c>
      <c r="BD32" s="702">
        <f t="shared" si="15"/>
        <v>0</v>
      </c>
      <c r="BE32" s="723">
        <f t="shared" si="15"/>
        <v>0</v>
      </c>
      <c r="BF32" s="701" t="s">
        <v>369</v>
      </c>
      <c r="BG32" s="712">
        <f>COUNTIF($K$13:$M$22,"準・身・精")</f>
        <v>0</v>
      </c>
      <c r="BH32" s="718">
        <f>COUNTIF($X$13:$Z$22,"準・身・精")</f>
        <v>0</v>
      </c>
      <c r="BI32" s="712">
        <f>COUNTIF($K$55:$M$84,"準・身・精")</f>
        <v>0</v>
      </c>
      <c r="BJ32" s="712">
        <f>COUNTIF($X$55:$Z$84,"準・身・精")</f>
        <v>0</v>
      </c>
      <c r="BK32" s="712">
        <f>COUNTIF($K$98:$M$127,"準・身・精")</f>
        <v>0</v>
      </c>
      <c r="BL32" s="712">
        <f>COUNTIF($X$98:$Z$127,"準・身・精")</f>
        <v>0</v>
      </c>
      <c r="BM32" s="712">
        <f>COUNTIF($K$141:$M$170,"準・身・精")</f>
        <v>0</v>
      </c>
      <c r="BN32" s="712">
        <f>COUNTIF($X$141:$Z$170,"準・身・精")</f>
        <v>0</v>
      </c>
      <c r="BO32" s="712">
        <f>COUNTIF($K$184:$M$213,"準・身・精")</f>
        <v>0</v>
      </c>
      <c r="BP32" s="712">
        <f>COUNTIF($X$184:$Z$213,"準・身・精")</f>
        <v>0</v>
      </c>
      <c r="BQ32" s="712">
        <f>COUNTIF($K$227:$M$256,"準・身・精")</f>
        <v>0</v>
      </c>
      <c r="BR32" s="712">
        <f>COUNTIF($X$227:$Z$256,"準・身・精")</f>
        <v>0</v>
      </c>
      <c r="BS32" s="712">
        <f t="shared" si="12"/>
        <v>0</v>
      </c>
      <c r="BT32" s="712">
        <f>SUMIFS($H$13:$H$22,$J$13:$J$22,"小",$K$13:$K$22,"準・身・精")+SUMIFS($U$13:$U$22,$W$13:$W$22,"小",$X$13:$X$22,"準・身・精")+SUMIFS($H$55:$H$84,$J$55:$J$84,"小",$K$55:$K$84,"準・身・精")+SUMIFS($U$55:$U$84,$W$55:$W$84,"小",$X$55:$X$84,"準・身・精")+SUMIFS($H$98:$H$127,$J$98:$J$127,"小",$K$98:$K$127,"準・身・精")+SUMIFS($H$141:$H$170,$J$141:$J$170,"小",$K$141:$K$170,"準・身・精")+SUMIFS($H$184:$H$213,$J$184:$J$213,"小",$K$184:$K$213,"準・身・精")+SUMIFS($H$227:$H$256,$J$227:$J$256,"小",$K$227:$K$256,"準・身・精")+SUMIFS($U$98:$U$127,$W$98:$W$127,"小",$X$98:$X$127,"準・身・精")+SUMIFS($U$141:$U$170,$W$141:$W$170,"小",$X$141:$X$170,"準・身・精")+SUMIFS($U$184:$U$213,$W$184:$W$213,"小",$X$184:$X$213,"準・身・精")+SUMIFS($U$227:$U$256,$W$227:$W$256,"小",$X$227:$X$256,"準・身・精")</f>
        <v>0</v>
      </c>
      <c r="BU32" s="712">
        <f>SUMIFS($I$13:$I$22,$J$13:$J$22,"小",$K$13:$K$22,"準・身・精")+SUMIFS($V$13:$V$22,$W$13:$W$22,"小",$X$13:$X$22,"準・身・精")+SUMIFS($I$55:$I$84,$J$55:$J$84,"小",$K$55:$K$84,"準・身・精")+SUMIFS($V$55:$V$84,$W$55:$W$84,"小",$X$55:$X$84,"準・身・精")+SUMIFS($I$98:$I$127,$J$98:$J$127,"小",$K$98:$K$127,"準・身・精")+SUMIFS($I$141:$I$170,$J$141:$J$170,"小",$K$141:$K$170,"準・身・精")+SUMIFS($I$184:$I$213,$J$184:$J$213,"小",$K$184:$K$213,"準・身・精")+SUMIFS($I$227:$I$256,$J$227:$J$256,"小",$K$227:$K$256,"準・身・精")+SUMIFS($V$98:$V$127,$W$98:$W$127,"小",$X$98:$X$127,"準・身・精")+SUMIFS($V$141:$V$170,$W$141:$W$170,"小",$X$141:$X$170,"準・身・精")+SUMIFS($V$184:$V$213,$W$184:$W$213,"小",$X$184:$X$213,"準・身・精")+SUMIFS($V$227:$V$256,$W$227:$W$256,"小",$X$227:$X$256,"準・身・精")</f>
        <v>0</v>
      </c>
      <c r="BV32" s="712">
        <f>SUMIFS($H$13:$H$22,$J$13:$J$22,"中",$K$13:$K$22,"準・身・精")+SUMIFS($U$13:$U$22,$W$13:$W$22,"中",$X$13:$X$22,"準・身・精")+SUMIFS($H$55:$H$84,$J$55:$J$84,"中",$K$55:$K$84,"準・身・精")+SUMIFS($U$55:$U$84,$W$55:$W$84,"中",$X$55:$X$84,"準・身・精")+SUMIFS($H$98:$H$127,$J$98:$J$127,"中",$K$98:$K$127,"準・身・精")+SUMIFS($H$141:$H$170,$J$141:$J$170,"中",$K$141:$K$170,"準・身・精")+SUMIFS($H$184:$H$213,$J$184:$J$213,"中",$K$184:$K$213,"準・身・精")+SUMIFS($H$227:$H$256,$J$227:$J$256,"中",$K$227:$K$256,"準・身・精")+SUMIFS($U$98:$U$127,$W$98:$W$127,"中",$X$98:$X$127,"準・身・精")+SUMIFS($U$141:$U$170,$W$141:$W$170,"中",$X$141:$X$170,"準・身・精")+SUMIFS($U$184:$U$213,$W$184:$W$213,"中",$X$184:$X$213,"準・身・精")+SUMIFS($U$227:$U$256,$W$227:$W$256,"中",$X$227:$X$256,"準・身・精")</f>
        <v>0</v>
      </c>
      <c r="BW32" s="712">
        <f>SUMIFS($I$13:$I$22,$J$13:$J$22,"中",$K$13:$K$22,"準・身・精")+SUMIFS($V$13:$V$22,$W$13:$W$22,"中",$X$13:$X$22,"準・身・精")+SUMIFS($I$55:$I$84,$J$55:$J$84,"中",$K$55:$K$84,"準・身・精")+SUMIFS($V$55:$V$84,$W$55:$W$84,"中",$X$55:$X$84,"準・身・精")+SUMIFS($I$98:$I$127,$J$98:$J$127,"中",$K$98:$K$127,"準・身・精")+SUMIFS($I$141:$I$170,$J$141:$J$170,"中",$K$141:$K$170,"準・身・精")+SUMIFS($I$184:$I$213,$J$184:$J$213,"中",$K$184:$K$213,"準・身・精")+SUMIFS($I$227:$I$256,$J$227:$J$256,"中",$K$227:$K$256,"準・身・精")+SUMIFS($V$98:$V$127,$W$98:$W$127,"中",$X$98:$X$127,"準・身・精")+SUMIFS($V$141:$V$170,$W$141:$W$170,"中",$X$141:$X$170,"準・身・精")+SUMIFS($V$184:$V$213,$W$184:$W$213,"中",$X$184:$X$213,"準・身・精")+SUMIFS($V$227:$V$256,$W$227:$W$256,"中",$X$227:$X$256,"準・身・精")</f>
        <v>0</v>
      </c>
      <c r="BX32" s="696"/>
      <c r="BY32" s="696"/>
      <c r="BZ32" s="696"/>
      <c r="CA32" s="696"/>
      <c r="CB32" s="696"/>
      <c r="CC32" s="695" t="str">
        <f t="shared" si="7"/>
        <v>小泊/準・療・精</v>
      </c>
      <c r="CD32" s="712">
        <f t="shared" si="8"/>
        <v>0</v>
      </c>
      <c r="CE32" s="695">
        <f>IF(OR(BT33="",BT33=0),0,95)</f>
        <v>0</v>
      </c>
      <c r="CF32" s="695">
        <v>330</v>
      </c>
      <c r="CG32" s="707">
        <v>95</v>
      </c>
      <c r="CH32" s="696"/>
      <c r="CI32" s="701"/>
      <c r="CJ32" s="701"/>
      <c r="CK32" s="696"/>
      <c r="CL32" s="696"/>
      <c r="CM32" s="696"/>
      <c r="CN32" s="696"/>
      <c r="CO32" s="696"/>
      <c r="CP32" s="696"/>
      <c r="CQ32" s="696"/>
      <c r="CR32" s="696"/>
      <c r="CS32" s="696"/>
      <c r="CT32" s="696"/>
      <c r="CU32" s="696"/>
      <c r="CV32" s="696"/>
      <c r="CW32" s="696"/>
      <c r="CX32" s="696"/>
      <c r="CY32" s="696"/>
      <c r="CZ32" s="696"/>
      <c r="DA32" s="696"/>
      <c r="DB32" s="696"/>
    </row>
    <row r="33" spans="1:106" s="2" customFormat="1" ht="20.100000000000001" customHeight="1" thickBot="1">
      <c r="A33" s="153"/>
      <c r="B33" s="1786" t="s">
        <v>1705</v>
      </c>
      <c r="C33" s="1786"/>
      <c r="D33" s="1786"/>
      <c r="E33" s="1874" t="s">
        <v>1704</v>
      </c>
      <c r="F33" s="1875"/>
      <c r="G33" s="1853" t="s">
        <v>94</v>
      </c>
      <c r="H33" s="1766"/>
      <c r="I33" s="1766" t="s">
        <v>112</v>
      </c>
      <c r="J33" s="1766"/>
      <c r="K33" s="1766" t="s">
        <v>376</v>
      </c>
      <c r="L33" s="1766"/>
      <c r="M33" s="1765" t="s">
        <v>139</v>
      </c>
      <c r="N33" s="1766"/>
      <c r="O33" s="206"/>
      <c r="P33" s="1876" t="s">
        <v>2839</v>
      </c>
      <c r="Q33" s="1877"/>
      <c r="R33" s="153"/>
      <c r="S33" s="153"/>
      <c r="T33" s="153"/>
      <c r="U33" s="153"/>
      <c r="V33" s="153"/>
      <c r="W33" s="153"/>
      <c r="X33" s="153"/>
      <c r="Y33" s="153"/>
      <c r="Z33" s="153"/>
      <c r="AA33" s="153"/>
      <c r="AB33" s="1786" t="s">
        <v>1705</v>
      </c>
      <c r="AC33" s="1786"/>
      <c r="AD33" s="1786"/>
      <c r="AE33" s="1874" t="s">
        <v>1704</v>
      </c>
      <c r="AF33" s="1875"/>
      <c r="AG33" s="1853" t="s">
        <v>94</v>
      </c>
      <c r="AH33" s="1766"/>
      <c r="AI33" s="1766" t="s">
        <v>112</v>
      </c>
      <c r="AJ33" s="1766"/>
      <c r="AK33" s="1766" t="s">
        <v>376</v>
      </c>
      <c r="AL33" s="1766"/>
      <c r="AM33" s="1765" t="s">
        <v>139</v>
      </c>
      <c r="AN33" s="1766"/>
      <c r="AO33" s="206"/>
      <c r="AP33" s="153"/>
      <c r="AQ33" s="153"/>
      <c r="AR33" s="153"/>
      <c r="AS33" s="153"/>
      <c r="AT33" s="153"/>
      <c r="AU33" s="153"/>
      <c r="AV33" s="153"/>
      <c r="AW33" s="153"/>
      <c r="AX33" s="153"/>
      <c r="AY33" s="153"/>
      <c r="AZ33" s="153"/>
      <c r="BA33" s="716">
        <v>21</v>
      </c>
      <c r="BB33" s="717">
        <f t="shared" ref="BB33:BB62" si="16">COUNTA(H55:I55)</f>
        <v>0</v>
      </c>
      <c r="BC33" s="520">
        <f t="shared" ref="BC33:BC62" si="17">COUNTA(K55)</f>
        <v>0</v>
      </c>
      <c r="BD33" s="702">
        <f t="shared" ref="BD33:BE62" si="18">BB33-COUNTA(H55)</f>
        <v>0</v>
      </c>
      <c r="BE33" s="702">
        <f t="shared" si="18"/>
        <v>0</v>
      </c>
      <c r="BF33" s="701" t="s">
        <v>370</v>
      </c>
      <c r="BG33" s="712">
        <f>COUNTIF($K$13:$M$22,"準・療・精")</f>
        <v>0</v>
      </c>
      <c r="BH33" s="718">
        <f>COUNTIF($X$13:$Z$22,"準・療・精")</f>
        <v>0</v>
      </c>
      <c r="BI33" s="712">
        <f>COUNTIF($K$55:$M$84,"準・療・精")</f>
        <v>0</v>
      </c>
      <c r="BJ33" s="712">
        <f>COUNTIF($X$55:$Z$84,"準・療・精")</f>
        <v>0</v>
      </c>
      <c r="BK33" s="712">
        <f>COUNTIF($K$98:$M$127,"準・療・精")</f>
        <v>0</v>
      </c>
      <c r="BL33" s="712">
        <f>COUNTIF($X$98:$Z$127,"準・療・精")</f>
        <v>0</v>
      </c>
      <c r="BM33" s="712">
        <f>COUNTIF($K$141:$M$170,"準・療・精")</f>
        <v>0</v>
      </c>
      <c r="BN33" s="712">
        <f>COUNTIF($X$141:$Z$170,"準・療・精")</f>
        <v>0</v>
      </c>
      <c r="BO33" s="712">
        <f>COUNTIF($K$184:$M$213,"準・療・精")</f>
        <v>0</v>
      </c>
      <c r="BP33" s="712">
        <f>COUNTIF($X$184:$Z$213,"準・療・精")</f>
        <v>0</v>
      </c>
      <c r="BQ33" s="712">
        <f>COUNTIF($K$227:$M$256,"準・療・精")</f>
        <v>0</v>
      </c>
      <c r="BR33" s="712">
        <f>COUNTIF($X$227:$Z$256,"準・療・精")</f>
        <v>0</v>
      </c>
      <c r="BS33" s="712">
        <f t="shared" si="12"/>
        <v>0</v>
      </c>
      <c r="BT33" s="712">
        <f>SUMIFS($H$13:$H$22,$J$13:$J$22,"小",$K$13:$K$22,"準・療・精")+SUMIFS($U$13:$U$22,$W$13:$W$22,"小",$X$13:$X$22,"準・療・精")+SUMIFS($H$55:$H$84,$J$55:$J$84,"小",$K$55:$K$84,"準・療・精")+SUMIFS($U$55:$U$84,$W$55:$W$84,"小",$X$55:$X$84,"準・療・精")+SUMIFS($H$98:$H$127,$J$98:$J$127,"小",$K$98:$K$127,"準・療・精")+SUMIFS($H$141:$H$170,$J$141:$J$170,"小",$K$141:$K$170,"準・療・精")+SUMIFS($H$184:$H$213,$J$184:$J$213,"小",$K$184:$K$213,"準・療・精")+SUMIFS($H$227:$H$256,$J$227:$J$256,"小",$K$227:$K$256,"準・療・精")+SUMIFS($U$98:$U$127,$W$98:$W$127,"小",$X$98:$X$127,"準・療・精")+SUMIFS($U$141:$U$170,$W$141:$W$170,"小",$X$141:$X$170,"準・療・精")+SUMIFS($U$184:$U$213,$W$184:$W$213,"小",$X$184:$X$213,"準・療・精")+SUMIFS($U$227:$U$256,$W$227:$W$256,"小",$X$227:$X$256,"準・療・精")</f>
        <v>0</v>
      </c>
      <c r="BU33" s="712">
        <f>SUMIFS($I$13:$I$22,$J$13:$J$22,"小",$K$13:$K$22,"準・療・精")+SUMIFS($V$13:$V$22,$W$13:$W$22,"小",$X$13:$X$22,"準・療・精")+SUMIFS($I$55:$I$84,$J$55:$J$84,"小",$K$55:$K$84,"準・療・精")+SUMIFS($V$55:$V$84,$W$55:$W$84,"小",$X$55:$X$84,"準・療・精")+SUMIFS($I$98:$I$127,$J$98:$J$127,"小",$K$98:$K$127,"準・療・精")+SUMIFS($I$141:$I$170,$J$141:$J$170,"小",$K$141:$K$170,"準・療・精")+SUMIFS($I$184:$I$213,$J$184:$J$213,"小",$K$184:$K$213,"準・療・精")+SUMIFS($I$227:$I$256,$J$227:$J$256,"小",$K$227:$K$256,"準・療・精")+SUMIFS($V$98:$V$127,$W$98:$W$127,"小",$X$98:$X$127,"準・療・精")+SUMIFS($V$141:$V$170,$W$141:$W$170,"小",$X$141:$X$170,"準・療・精")+SUMIFS($V$184:$V$213,$W$184:$W$213,"小",$X$184:$X$213,"準・療・精")+SUMIFS($V$227:$V$256,$W$227:$W$256,"小",$X$227:$X$256,"準・療・精")</f>
        <v>0</v>
      </c>
      <c r="BV33" s="712">
        <f>SUMIFS($H$13:$H$22,$J$13:$J$22,"中",$K$13:$K$22,"準・療・精")+SUMIFS($U$13:$U$22,$W$13:$W$22,"中",$X$13:$X$22,"準・療・精")+SUMIFS($H$55:$H$84,$J$55:$J$84,"中",$K$55:$K$84,"準・療・精")+SUMIFS($U$55:$U$84,$W$55:$W$84,"中",$X$55:$X$84,"準・療・精")+SUMIFS($H$98:$H$127,$J$98:$J$127,"中",$K$98:$K$127,"準・療・精")+SUMIFS($H$141:$H$170,$J$141:$J$170,"中",$K$141:$K$170,"準・療・精")+SUMIFS($H$184:$H$213,$J$184:$J$213,"中",$K$184:$K$213,"準・療・精")+SUMIFS($H$227:$H$256,$J$227:$J$256,"中",$K$227:$K$256,"準・療・精")+SUMIFS($U$98:$U$127,$W$98:$W$127,"中",$X$98:$X$127,"準・療・精")+SUMIFS($U$141:$U$170,$W$141:$W$170,"中",$X$141:$X$170,"準・療・精")+SUMIFS($U$184:$U$213,$W$184:$W$213,"中",$X$184:$X$213,"準・療・精")+SUMIFS($U$227:$U$256,$W$227:$W$256,"中",$X$227:$X$256,"準・療・精")</f>
        <v>0</v>
      </c>
      <c r="BW33" s="712">
        <f>SUMIFS($I$13:$I$22,$J$13:$J$22,"中",$K$13:$K$22,"準・療・精")+SUMIFS($V$13:$V$22,$W$13:$W$22,"中",$X$13:$X$22,"準・療・精")+SUMIFS($I$55:$I$84,$J$55:$J$84,"中",$K$55:$K$84,"準・療・精")+SUMIFS($V$55:$V$84,$W$55:$W$84,"中",$X$55:$X$84,"準・療・精")+SUMIFS($I$98:$I$127,$J$98:$J$127,"中",$K$98:$K$127,"準・療・精")+SUMIFS($I$141:$I$170,$J$141:$J$170,"中",$K$141:$K$170,"準・療・精")+SUMIFS($I$184:$I$213,$J$184:$J$213,"中",$K$184:$K$213,"準・療・精")+SUMIFS($I$227:$I$256,$J$227:$J$256,"中",$K$227:$K$256,"準・療・精")+SUMIFS($V$98:$V$127,$W$98:$W$127,"中",$X$98:$X$127,"準・療・精")+SUMIFS($V$141:$V$170,$W$141:$W$170,"中",$X$141:$X$170,"準・療・精")+SUMIFS($V$184:$V$213,$W$184:$W$213,"中",$X$184:$X$213,"準・療・精")+SUMIFS($V$227:$V$256,$W$227:$W$256,"中",$X$227:$X$256,"準・療・精")</f>
        <v>0</v>
      </c>
      <c r="BX33" s="696"/>
      <c r="BY33" s="696"/>
      <c r="BZ33" s="696"/>
      <c r="CA33" s="696"/>
      <c r="CB33" s="696"/>
      <c r="CC33" s="695" t="str">
        <f t="shared" si="7"/>
        <v>小泊/特・身・療</v>
      </c>
      <c r="CD33" s="712">
        <f t="shared" si="8"/>
        <v>0</v>
      </c>
      <c r="CE33" s="695">
        <f>IF(OR(BT34="",BT34=0),0,94)</f>
        <v>0</v>
      </c>
      <c r="CF33" s="695">
        <v>330</v>
      </c>
      <c r="CG33" s="707">
        <v>94</v>
      </c>
      <c r="CH33" s="696"/>
      <c r="CI33" s="701"/>
      <c r="CJ33" s="701"/>
      <c r="CK33" s="696"/>
      <c r="CL33" s="696"/>
      <c r="CM33" s="696"/>
      <c r="CN33" s="696"/>
      <c r="CO33" s="696"/>
      <c r="CP33" s="696"/>
      <c r="CQ33" s="696"/>
      <c r="CR33" s="696"/>
      <c r="CS33" s="696"/>
      <c r="CT33" s="696"/>
      <c r="CU33" s="696"/>
      <c r="CV33" s="696"/>
      <c r="CW33" s="696"/>
      <c r="CX33" s="696"/>
      <c r="CY33" s="696"/>
      <c r="CZ33" s="696"/>
      <c r="DA33" s="696"/>
      <c r="DB33" s="696"/>
    </row>
    <row r="34" spans="1:106" s="2" customFormat="1" ht="20.100000000000001" customHeight="1" thickTop="1">
      <c r="A34" s="153"/>
      <c r="B34" s="1786"/>
      <c r="C34" s="1786"/>
      <c r="D34" s="1786"/>
      <c r="E34" s="1771" t="s">
        <v>40</v>
      </c>
      <c r="F34" s="1772"/>
      <c r="G34" s="1773">
        <f>BG86</f>
        <v>0</v>
      </c>
      <c r="H34" s="1749"/>
      <c r="I34" s="1749">
        <f>BI86</f>
        <v>0</v>
      </c>
      <c r="J34" s="1749"/>
      <c r="K34" s="1749">
        <f>BK86</f>
        <v>0</v>
      </c>
      <c r="L34" s="1749"/>
      <c r="M34" s="1749">
        <f>BM86</f>
        <v>0</v>
      </c>
      <c r="N34" s="1749"/>
      <c r="O34" s="207"/>
      <c r="P34" s="1878">
        <f>COUNTIF(J13:J22,"補")+COUNTIF(W13:W22,"補")+COUNTIF(J55:J84,"補")+COUNTIF(W55:W84,"補")+COUNTIF(J98:J127,"補")+COUNTIF(W98:W127,"補")+COUNTIF(J141:J170,"補")+COUNTIF(W141:W170,"補")</f>
        <v>0</v>
      </c>
      <c r="Q34" s="1879"/>
      <c r="R34" s="208"/>
      <c r="S34" s="208"/>
      <c r="T34" s="208"/>
      <c r="U34" s="153"/>
      <c r="V34" s="153"/>
      <c r="W34" s="153"/>
      <c r="X34" s="209"/>
      <c r="Y34" s="209"/>
      <c r="Z34" s="210"/>
      <c r="AA34" s="153"/>
      <c r="AB34" s="1786"/>
      <c r="AC34" s="1786"/>
      <c r="AD34" s="1786"/>
      <c r="AE34" s="1771" t="s">
        <v>40</v>
      </c>
      <c r="AF34" s="1772"/>
      <c r="AG34" s="1773">
        <v>100</v>
      </c>
      <c r="AH34" s="1749"/>
      <c r="AI34" s="1749">
        <f>CJ86</f>
        <v>0</v>
      </c>
      <c r="AJ34" s="1749"/>
      <c r="AK34" s="1749">
        <v>8</v>
      </c>
      <c r="AL34" s="1749"/>
      <c r="AM34" s="1749"/>
      <c r="AN34" s="1749"/>
      <c r="AO34" s="207"/>
      <c r="AP34" s="153"/>
      <c r="AQ34" s="153"/>
      <c r="AR34" s="208"/>
      <c r="AS34" s="208"/>
      <c r="AT34" s="208"/>
      <c r="AU34" s="153"/>
      <c r="AV34" s="153"/>
      <c r="AW34" s="153"/>
      <c r="AX34" s="209"/>
      <c r="AY34" s="209"/>
      <c r="AZ34" s="203"/>
      <c r="BA34" s="716">
        <v>22</v>
      </c>
      <c r="BB34" s="717">
        <f t="shared" si="16"/>
        <v>0</v>
      </c>
      <c r="BC34" s="520">
        <f t="shared" si="17"/>
        <v>0</v>
      </c>
      <c r="BD34" s="702">
        <f t="shared" si="18"/>
        <v>0</v>
      </c>
      <c r="BE34" s="702">
        <f t="shared" si="18"/>
        <v>0</v>
      </c>
      <c r="BF34" s="701" t="s">
        <v>371</v>
      </c>
      <c r="BG34" s="712">
        <f>COUNTIF($K$13:$M$22,"特・身・療")</f>
        <v>0</v>
      </c>
      <c r="BH34" s="718">
        <f>COUNTIF($X$13:$Z$22,"特・身・療")</f>
        <v>0</v>
      </c>
      <c r="BI34" s="712">
        <f>COUNTIF($K$55:$M$84,"特・身・療")</f>
        <v>0</v>
      </c>
      <c r="BJ34" s="712">
        <f>COUNTIF($X$55:$Z$84,"特・身・療")</f>
        <v>0</v>
      </c>
      <c r="BK34" s="712">
        <f>COUNTIF($K$98:$M$127,"特・身・療")</f>
        <v>0</v>
      </c>
      <c r="BL34" s="712">
        <f>COUNTIF($X$98:$Z$127,"特・身・療")</f>
        <v>0</v>
      </c>
      <c r="BM34" s="712">
        <f>COUNTIF($K$141:$M$170,"特・身・療")</f>
        <v>0</v>
      </c>
      <c r="BN34" s="712">
        <f>COUNTIF($X$141:$Z$170,"特・身・療")</f>
        <v>0</v>
      </c>
      <c r="BO34" s="712">
        <f>COUNTIF($K$184:$M$213,"特・身・療")</f>
        <v>0</v>
      </c>
      <c r="BP34" s="712">
        <f>COUNTIF($X$184:$Z$213,"特・身・療")</f>
        <v>0</v>
      </c>
      <c r="BQ34" s="712">
        <f>COUNTIF($K$227:$M$256,"特・身・療")</f>
        <v>0</v>
      </c>
      <c r="BR34" s="712">
        <f>COUNTIF($X$227:$Z$256,"特・身・療")</f>
        <v>0</v>
      </c>
      <c r="BS34" s="712">
        <f t="shared" si="12"/>
        <v>0</v>
      </c>
      <c r="BT34" s="712">
        <f>SUMIFS($H$13:$H$22,$J$13:$J$22,"小",$K$13:$K$22,"特・身・療")+SUMIFS($U$13:$U$22,$W$13:$W$22,"小",$X$13:$X$22,"特・身・療")+SUMIFS($H$55:$H$84,$J$55:$J$84,"小",$K$55:$K$84,"特・身・療")+SUMIFS($U$55:$U$84,$W$55:$W$84,"小",$X$55:$X$84,"特・身・療")+SUMIFS($H$98:$H$127,$J$98:$J$127,"小",$K$98:$K$127,"特・身・療")+SUMIFS($H$141:$H$170,$J$141:$J$170,"小",$K$141:$K$170,"特・身・療")+SUMIFS($H$184:$H$213,$J$184:$J$213,"小",$K$184:$K$213,"特・身・療")+SUMIFS($H$227:$H$256,$J$227:$J$256,"小",$K$227:$K$256,"特・身・療")+SUMIFS($U$98:$U$127,$W$98:$W$127,"小",$X$98:$X$127,"特・身・療")+SUMIFS($U$141:$U$170,$W$141:$W$170,"小",$X$141:$X$170,"特・身・療")+SUMIFS($U$184:$U$213,$W$184:$W$213,"小",$X$184:$X$213,"特・身・療")+SUMIFS($U$227:$U$256,$W$227:$W$256,"小",$X$227:$X$256,"特・身・療")</f>
        <v>0</v>
      </c>
      <c r="BU34" s="712">
        <f>SUMIFS($I$13:$I$22,$J$13:$J$22,"小",$K$13:$K$22,"特・身・療")+SUMIFS($V$13:$V$22,$W$13:$W$22,"小",$X$13:$X$22,"特・身・療")+SUMIFS($I$55:$I$84,$J$55:$J$84,"小",$K$55:$K$84,"特・身・療")+SUMIFS($V$55:$V$84,$W$55:$W$84,"小",$X$55:$X$84,"特・身・療")+SUMIFS($I$98:$I$127,$J$98:$J$127,"小",$K$98:$K$127,"特・身・療")+SUMIFS($I$141:$I$170,$J$141:$J$170,"小",$K$141:$K$170,"特・身・療")+SUMIFS($I$184:$I$213,$J$184:$J$213,"小",$K$184:$K$213,"特・身・療")+SUMIFS($I$227:$I$256,$J$227:$J$256,"小",$K$227:$K$256,"特・身・療")+SUMIFS($V$98:$V$127,$W$98:$W$127,"小",$X$98:$X$127,"特・身・療")+SUMIFS($V$141:$V$170,$W$141:$W$170,"小",$X$141:$X$170,"特・身・療")+SUMIFS($V$184:$V$213,$W$184:$W$213,"小",$X$184:$X$213,"特・身・療")+SUMIFS($V$227:$V$256,$W$227:$W$256,"小",$X$227:$X$256,"特・身・療")</f>
        <v>0</v>
      </c>
      <c r="BV34" s="712">
        <f>SUMIFS($H$13:$H$22,$J$13:$J$22,"中",$K$13:$K$22,"特・身・療")+SUMIFS($U$13:$U$22,$W$13:$W$22,"中",$X$13:$X$22,"特・身・療")+SUMIFS($H$55:$H$84,$J$55:$J$84,"中",$K$55:$K$84,"特・身・療")+SUMIFS($U$55:$U$84,$W$55:$W$84,"中",$X$55:$X$84,"特・身・療")+SUMIFS($H$98:$H$127,$J$98:$J$127,"中",$K$98:$K$127,"特・身・療")+SUMIFS($H$141:$H$170,$J$141:$J$170,"中",$K$141:$K$170,"特・身・療")+SUMIFS($H$184:$H$213,$J$184:$J$213,"中",$K$184:$K$213,"特・身・療")+SUMIFS($H$227:$H$256,$J$227:$J$256,"中",$K$227:$K$256,"特・身・療")+SUMIFS($U$98:$U$127,$W$98:$W$127,"中",$X$98:$X$127,"特・身・療")+SUMIFS($U$141:$U$170,$W$141:$W$170,"中",$X$141:$X$170,"特・身・療")+SUMIFS($U$184:$U$213,$W$184:$W$213,"中",$X$184:$X$213,"特・身・療")+SUMIFS($U$227:$U$256,$W$227:$W$256,"中",$X$227:$X$256,"特・身・療")</f>
        <v>0</v>
      </c>
      <c r="BW34" s="712">
        <f>SUMIFS($I$13:$I$22,$J$13:$J$22,"中",$K$13:$K$22,"特・身・療")+SUMIFS($V$13:$V$22,$W$13:$W$22,"中",$X$13:$X$22,"特・身・療")+SUMIFS($I$55:$I$84,$J$55:$J$84,"中",$K$55:$K$84,"特・身・療")+SUMIFS($V$55:$V$84,$W$55:$W$84,"中",$X$55:$X$84,"特・身・療")+SUMIFS($I$98:$I$127,$J$98:$J$127,"中",$K$98:$K$127,"特・身・療")+SUMIFS($I$141:$I$170,$J$141:$J$170,"中",$K$141:$K$170,"特・身・療")+SUMIFS($I$184:$I$213,$J$184:$J$213,"中",$K$184:$K$213,"特・身・療")+SUMIFS($I$227:$I$256,$J$227:$J$256,"中",$K$227:$K$256,"特・身・療")+SUMIFS($V$98:$V$127,$W$98:$W$127,"中",$X$98:$X$127,"特・身・療")+SUMIFS($V$141:$V$170,$W$141:$W$170,"中",$X$141:$X$170,"特・身・療")+SUMIFS($V$184:$V$213,$W$184:$W$213,"中",$X$184:$X$213,"特・身・療")+SUMIFS($V$227:$V$256,$W$227:$W$256,"中",$X$227:$X$256,"特・身・療")</f>
        <v>0</v>
      </c>
      <c r="BX34" s="696"/>
      <c r="BY34" s="696"/>
      <c r="BZ34" s="696"/>
      <c r="CA34" s="696"/>
      <c r="CB34" s="696"/>
      <c r="CC34" s="695" t="str">
        <f t="shared" si="7"/>
        <v>小泊/特・身・精</v>
      </c>
      <c r="CD34" s="712">
        <f t="shared" si="8"/>
        <v>0</v>
      </c>
      <c r="CE34" s="695">
        <f>IF(OR(BT35="",BT35=0),0,93)</f>
        <v>0</v>
      </c>
      <c r="CF34" s="695">
        <v>330</v>
      </c>
      <c r="CG34" s="707">
        <v>93</v>
      </c>
      <c r="CH34" s="696"/>
      <c r="CI34" s="701"/>
      <c r="CJ34" s="701"/>
      <c r="CK34" s="696"/>
      <c r="CL34" s="696"/>
      <c r="CM34" s="696"/>
      <c r="CN34" s="696"/>
      <c r="CO34" s="696"/>
      <c r="CP34" s="696"/>
      <c r="CQ34" s="696"/>
      <c r="CR34" s="696"/>
      <c r="CS34" s="696"/>
      <c r="CT34" s="696"/>
      <c r="CU34" s="696"/>
      <c r="CV34" s="696"/>
      <c r="CW34" s="696"/>
      <c r="CX34" s="696"/>
      <c r="CY34" s="696"/>
      <c r="CZ34" s="696"/>
      <c r="DA34" s="696"/>
      <c r="DB34" s="696"/>
    </row>
    <row r="35" spans="1:106" s="2" customFormat="1" ht="20.100000000000001" customHeight="1" thickBot="1">
      <c r="A35" s="153"/>
      <c r="B35" s="1786"/>
      <c r="C35" s="1786"/>
      <c r="D35" s="1786"/>
      <c r="E35" s="1786" t="s">
        <v>39</v>
      </c>
      <c r="F35" s="1846"/>
      <c r="G35" s="1774">
        <f>BH86</f>
        <v>0</v>
      </c>
      <c r="H35" s="1764"/>
      <c r="I35" s="1764">
        <f>BJ86</f>
        <v>0</v>
      </c>
      <c r="J35" s="1764"/>
      <c r="K35" s="1764">
        <f>BL86</f>
        <v>0</v>
      </c>
      <c r="L35" s="1764"/>
      <c r="M35" s="1764">
        <f>BN86</f>
        <v>0</v>
      </c>
      <c r="N35" s="1764"/>
      <c r="O35" s="207"/>
      <c r="P35" s="153"/>
      <c r="Q35" s="153"/>
      <c r="R35" s="208"/>
      <c r="S35" s="208"/>
      <c r="T35" s="208"/>
      <c r="U35" s="153"/>
      <c r="V35" s="153"/>
      <c r="W35" s="153"/>
      <c r="X35" s="209"/>
      <c r="Y35" s="209"/>
      <c r="Z35" s="153"/>
      <c r="AA35" s="153"/>
      <c r="AB35" s="1786"/>
      <c r="AC35" s="1786"/>
      <c r="AD35" s="1786"/>
      <c r="AE35" s="1786" t="s">
        <v>39</v>
      </c>
      <c r="AF35" s="1846"/>
      <c r="AG35" s="1774">
        <f>CI86</f>
        <v>0</v>
      </c>
      <c r="AH35" s="1764"/>
      <c r="AI35" s="1764">
        <f>CK86</f>
        <v>0</v>
      </c>
      <c r="AJ35" s="1764"/>
      <c r="AK35" s="1764">
        <f>CM86</f>
        <v>0</v>
      </c>
      <c r="AL35" s="1764"/>
      <c r="AM35" s="1764">
        <v>2</v>
      </c>
      <c r="AN35" s="1764"/>
      <c r="AO35" s="207"/>
      <c r="AP35" s="153"/>
      <c r="AQ35" s="153"/>
      <c r="AR35" s="208"/>
      <c r="AS35" s="208"/>
      <c r="AT35" s="208"/>
      <c r="AU35" s="153"/>
      <c r="AV35" s="153"/>
      <c r="AW35" s="153"/>
      <c r="AX35" s="209"/>
      <c r="AY35" s="209"/>
      <c r="AZ35" s="153"/>
      <c r="BA35" s="716">
        <v>23</v>
      </c>
      <c r="BB35" s="717">
        <f t="shared" si="16"/>
        <v>0</v>
      </c>
      <c r="BC35" s="520">
        <f t="shared" si="17"/>
        <v>0</v>
      </c>
      <c r="BD35" s="702">
        <f t="shared" si="18"/>
        <v>0</v>
      </c>
      <c r="BE35" s="702">
        <f t="shared" si="18"/>
        <v>0</v>
      </c>
      <c r="BF35" s="701" t="s">
        <v>372</v>
      </c>
      <c r="BG35" s="712">
        <f>COUNTIF($K$13:$M$22,"特・身・精")</f>
        <v>0</v>
      </c>
      <c r="BH35" s="718">
        <f>COUNTIF($X$13:$Z$22,"特・身・精")</f>
        <v>0</v>
      </c>
      <c r="BI35" s="712">
        <f>COUNTIF($K$55:$M$84,"特・身・精")</f>
        <v>0</v>
      </c>
      <c r="BJ35" s="712">
        <f>COUNTIF($X$55:$Z$84,"特・身・精")</f>
        <v>0</v>
      </c>
      <c r="BK35" s="712">
        <f>COUNTIF($K$98:$M$127,"特・身・精")</f>
        <v>0</v>
      </c>
      <c r="BL35" s="712">
        <f>COUNTIF($X$98:$Z$127,"特・身・精")</f>
        <v>0</v>
      </c>
      <c r="BM35" s="712">
        <f>COUNTIF($K$141:$M$170,"特・身・精")</f>
        <v>0</v>
      </c>
      <c r="BN35" s="712">
        <f>COUNTIF($X$141:$Z$170,"特・身・精")</f>
        <v>0</v>
      </c>
      <c r="BO35" s="712">
        <f>COUNTIF($K$184:$M$213,"特・身・精")</f>
        <v>0</v>
      </c>
      <c r="BP35" s="712">
        <f>COUNTIF($X$184:$Z$213,"特・身・精")</f>
        <v>0</v>
      </c>
      <c r="BQ35" s="712">
        <f>COUNTIF($K$227:$M$256,"特・身・精")</f>
        <v>0</v>
      </c>
      <c r="BR35" s="712">
        <f>COUNTIF($X$227:$Z$256,"特・身・精")</f>
        <v>0</v>
      </c>
      <c r="BS35" s="712">
        <f t="shared" si="12"/>
        <v>0</v>
      </c>
      <c r="BT35" s="712">
        <f>SUMIFS($H$13:$H$22,$J$13:$J$22,"小",$K$13:$K$22,"特・身・精")+SUMIFS($U$13:$U$22,$W$13:$W$22,"小",$X$13:$X$22,"特・身・精")+SUMIFS($H$55:$H$84,$J$55:$J$84,"小",$K$55:$K$84,"特・身・精")+SUMIFS($U$55:$U$84,$W$55:$W$84,"小",$X$55:$X$84,"特・身・精")+SUMIFS($H$98:$H$127,$J$98:$J$127,"小",$K$98:$K$127,"特・身・精")+SUMIFS($H$141:$H$170,$J$141:$J$170,"小",$K$141:$K$170,"特・身・精")+SUMIFS($H$184:$H$213,$J$184:$J$213,"小",$K$184:$K$213,"特・身・精")+SUMIFS($H$227:$H$256,$J$227:$J$256,"小",$K$227:$K$256,"特・身・精")+SUMIFS($U$98:$U$127,$W$98:$W$127,"小",$X$98:$X$127,"特・身・精")+SUMIFS($U$141:$U$170,$W$141:$W$170,"小",$X$141:$X$170,"特・身・精")+SUMIFS($U$184:$U$213,$W$184:$W$213,"小",$X$184:$X$213,"特・身・精")+SUMIFS($U$227:$U$256,$W$227:$W$256,"小",$X$227:$X$256,"特・身・精")</f>
        <v>0</v>
      </c>
      <c r="BU35" s="712">
        <f>SUMIFS($I$13:$I$22,$J$13:$J$22,"小",$K$13:$K$22,"特・身・精")+SUMIFS($V$13:$V$22,$W$13:$W$22,"小",$X$13:$X$22,"特・身・精")+SUMIFS($I$55:$I$84,$J$55:$J$84,"小",$K$55:$K$84,"特・身・精")+SUMIFS($V$55:$V$84,$W$55:$W$84,"小",$X$55:$X$84,"特・身・精")+SUMIFS($I$98:$I$127,$J$98:$J$127,"小",$K$98:$K$127,"特・身・精")+SUMIFS($I$141:$I$170,$J$141:$J$170,"小",$K$141:$K$170,"特・身・精")+SUMIFS($I$184:$I$213,$J$184:$J$213,"小",$K$184:$K$213,"特・身・精")+SUMIFS($I$227:$I$256,$J$227:$J$256,"小",$K$227:$K$256,"特・身・精")+SUMIFS($V$98:$V$127,$W$98:$W$127,"小",$X$98:$X$127,"特・身・精")+SUMIFS($V$141:$V$170,$W$141:$W$170,"小",$X$141:$X$170,"特・身・精")+SUMIFS($V$184:$V$213,$W$184:$W$213,"小",$X$184:$X$213,"特・身・精")+SUMIFS($V$227:$V$256,$W$227:$W$256,"小",$X$227:$X$256,"特・身・精")</f>
        <v>0</v>
      </c>
      <c r="BV35" s="712">
        <f>SUMIFS($H$13:$H$22,$J$13:$J$22,"中",$K$13:$K$22,"特・身・精")+SUMIFS($U$13:$U$22,$W$13:$W$22,"中",$X$13:$X$22,"特・身・精")+SUMIFS($H$55:$H$84,$J$55:$J$84,"中",$K$55:$K$84,"特・身・精")+SUMIFS($U$55:$U$84,$W$55:$W$84,"中",$X$55:$X$84,"特・身・精")+SUMIFS($H$98:$H$127,$J$98:$J$127,"中",$K$98:$K$127,"特・身・精")+SUMIFS($H$141:$H$170,$J$141:$J$170,"中",$K$141:$K$170,"特・身・精")+SUMIFS($H$184:$H$213,$J$184:$J$213,"中",$K$184:$K$213,"特・身・精")+SUMIFS($H$227:$H$256,$J$227:$J$256,"中",$K$227:$K$256,"特・身・精")+SUMIFS($U$98:$U$127,$W$98:$W$127,"中",$X$98:$X$127,"特・身・精")+SUMIFS($U$141:$U$170,$W$141:$W$170,"中",$X$141:$X$170,"特・身・精")+SUMIFS($U$184:$U$213,$W$184:$W$213,"中",$X$184:$X$213,"特・身・精")+SUMIFS($U$227:$U$256,$W$227:$W$256,"中",$X$227:$X$256,"特・身・精")</f>
        <v>0</v>
      </c>
      <c r="BW35" s="712">
        <f>SUMIFS($I$13:$I$22,$J$13:$J$22,"中",$K$13:$K$22,"特・身・精")+SUMIFS($V$13:$V$22,$W$13:$W$22,"中",$X$13:$X$22,"特・身・精")+SUMIFS($I$55:$I$84,$J$55:$J$84,"中",$K$55:$K$84,"特・身・精")+SUMIFS($V$55:$V$84,$W$55:$W$84,"中",$X$55:$X$84,"特・身・精")+SUMIFS($I$98:$I$127,$J$98:$J$127,"中",$K$98:$K$127,"特・身・精")+SUMIFS($I$141:$I$170,$J$141:$J$170,"中",$K$141:$K$170,"特・身・精")+SUMIFS($I$184:$I$213,$J$184:$J$213,"中",$K$184:$K$213,"特・身・精")+SUMIFS($I$227:$I$256,$J$227:$J$256,"中",$K$227:$K$256,"特・身・精")+SUMIFS($V$98:$V$127,$W$98:$W$127,"中",$X$98:$X$127,"特・身・精")+SUMIFS($V$141:$V$170,$W$141:$W$170,"中",$X$141:$X$170,"特・身・精")+SUMIFS($V$184:$V$213,$W$184:$W$213,"中",$X$184:$X$213,"特・身・精")+SUMIFS($V$227:$V$256,$W$227:$W$256,"中",$X$227:$X$256,"特・身・精")</f>
        <v>0</v>
      </c>
      <c r="BX35" s="696"/>
      <c r="BY35" s="696"/>
      <c r="BZ35" s="696"/>
      <c r="CA35" s="696"/>
      <c r="CB35" s="696"/>
      <c r="CC35" s="695" t="str">
        <f t="shared" si="7"/>
        <v>小泊/身・療・精</v>
      </c>
      <c r="CD35" s="712">
        <f t="shared" si="8"/>
        <v>0</v>
      </c>
      <c r="CE35" s="695">
        <f>IF(OR(BT36="",BT36=0),0,92)</f>
        <v>0</v>
      </c>
      <c r="CF35" s="695">
        <v>330</v>
      </c>
      <c r="CG35" s="707">
        <v>92</v>
      </c>
      <c r="CH35" s="696"/>
      <c r="CI35" s="701"/>
      <c r="CJ35" s="701"/>
      <c r="CK35" s="696"/>
      <c r="CL35" s="696"/>
      <c r="CM35" s="696"/>
      <c r="CN35" s="696"/>
      <c r="CO35" s="696"/>
      <c r="CP35" s="696"/>
      <c r="CQ35" s="696"/>
      <c r="CR35" s="696"/>
      <c r="CS35" s="696"/>
      <c r="CT35" s="696"/>
      <c r="CU35" s="696"/>
      <c r="CV35" s="696"/>
      <c r="CW35" s="696"/>
      <c r="CX35" s="696"/>
      <c r="CY35" s="696"/>
      <c r="CZ35" s="696"/>
      <c r="DA35" s="696"/>
      <c r="DB35" s="696"/>
    </row>
    <row r="36" spans="1:106" s="2" customFormat="1" ht="20.25" customHeight="1" thickBot="1">
      <c r="A36" s="1787" t="s">
        <v>111</v>
      </c>
      <c r="B36" s="1787"/>
      <c r="C36" s="1787"/>
      <c r="D36" s="1787"/>
      <c r="E36" s="1787"/>
      <c r="F36" s="1787"/>
      <c r="G36" s="1787"/>
      <c r="H36" s="1787"/>
      <c r="I36" s="1787"/>
      <c r="J36" s="1787"/>
      <c r="K36" s="1787"/>
      <c r="L36" s="1787"/>
      <c r="M36" s="1787"/>
      <c r="N36" s="211"/>
      <c r="O36" s="211"/>
      <c r="P36" s="1788" t="s">
        <v>1697</v>
      </c>
      <c r="Q36" s="1789"/>
      <c r="R36" s="1789"/>
      <c r="S36" s="1789"/>
      <c r="T36" s="1789"/>
      <c r="U36" s="1789"/>
      <c r="V36" s="1789"/>
      <c r="W36" s="1789"/>
      <c r="X36" s="1789"/>
      <c r="Y36" s="1789"/>
      <c r="Z36" s="1790"/>
      <c r="AA36" s="1787" t="s">
        <v>111</v>
      </c>
      <c r="AB36" s="1787"/>
      <c r="AC36" s="1787"/>
      <c r="AD36" s="1787"/>
      <c r="AE36" s="1787"/>
      <c r="AF36" s="1787"/>
      <c r="AG36" s="1787"/>
      <c r="AH36" s="1787"/>
      <c r="AI36" s="1787"/>
      <c r="AJ36" s="1787"/>
      <c r="AK36" s="1787"/>
      <c r="AL36" s="1787"/>
      <c r="AM36" s="1787"/>
      <c r="AN36" s="211"/>
      <c r="AO36" s="211"/>
      <c r="AP36" s="1788" t="s">
        <v>1697</v>
      </c>
      <c r="AQ36" s="1789"/>
      <c r="AR36" s="1789"/>
      <c r="AS36" s="1789"/>
      <c r="AT36" s="1789"/>
      <c r="AU36" s="1789"/>
      <c r="AV36" s="1789"/>
      <c r="AW36" s="1789"/>
      <c r="AX36" s="1789"/>
      <c r="AY36" s="1789"/>
      <c r="AZ36" s="1790"/>
      <c r="BA36" s="716">
        <v>24</v>
      </c>
      <c r="BB36" s="717">
        <f t="shared" si="16"/>
        <v>0</v>
      </c>
      <c r="BC36" s="520">
        <f t="shared" si="17"/>
        <v>0</v>
      </c>
      <c r="BD36" s="702">
        <f t="shared" si="18"/>
        <v>0</v>
      </c>
      <c r="BE36" s="702">
        <f t="shared" si="18"/>
        <v>0</v>
      </c>
      <c r="BF36" s="701" t="s">
        <v>373</v>
      </c>
      <c r="BG36" s="712">
        <f>COUNTIF($K$13:$M$22,"身・療・精")</f>
        <v>0</v>
      </c>
      <c r="BH36" s="718">
        <f>COUNTIF($X$13:$Z$22,"身・療・精")</f>
        <v>0</v>
      </c>
      <c r="BI36" s="712">
        <f>COUNTIF($K$55:$M$84,"身・療・精")</f>
        <v>0</v>
      </c>
      <c r="BJ36" s="712">
        <f>COUNTIF($X$55:$Z$84,"身・療・精")</f>
        <v>0</v>
      </c>
      <c r="BK36" s="712">
        <f>COUNTIF($K$98:$M$127,"身・療・精")</f>
        <v>0</v>
      </c>
      <c r="BL36" s="712">
        <f>COUNTIF($X$98:$Z$127,"身・療・精")</f>
        <v>0</v>
      </c>
      <c r="BM36" s="712">
        <f>COUNTIF($K$141:$M$170,"身・療・精")</f>
        <v>0</v>
      </c>
      <c r="BN36" s="712">
        <f>COUNTIF($X$141:$Z$170,"身・療・精")</f>
        <v>0</v>
      </c>
      <c r="BO36" s="712">
        <f>COUNTIF($K$184:$M$213,"身・療・精")</f>
        <v>0</v>
      </c>
      <c r="BP36" s="712">
        <f>COUNTIF($X$184:$Z$213,"身・療・精")</f>
        <v>0</v>
      </c>
      <c r="BQ36" s="712">
        <f>COUNTIF($K$227:$M$256,"身・療・精")</f>
        <v>0</v>
      </c>
      <c r="BR36" s="712">
        <f>COUNTIF($X$227:$Z$256,"身・療・精")</f>
        <v>0</v>
      </c>
      <c r="BS36" s="712">
        <f t="shared" si="12"/>
        <v>0</v>
      </c>
      <c r="BT36" s="712">
        <f>SUMIFS($H$13:$H$22,$J$13:$J$22,"小",$K$13:$K$22,"身・療・精")+SUMIFS($U$13:$U$22,$W$13:$W$22,"小",$X$13:$X$22,"身・療・精")+SUMIFS($H$55:$H$84,$J$55:$J$84,"小",$K$55:$K$84,"身・療・精")+SUMIFS($U$55:$U$84,$W$55:$W$84,"小",$X$55:$X$84,"身・療・精")+SUMIFS($H$98:$H$127,$J$98:$J$127,"小",$K$98:$K$127,"身・療・精")+SUMIFS($H$141:$H$170,$J$141:$J$170,"小",$K$141:$K$170,"身・療・精")+SUMIFS($H$184:$H$213,$J$184:$J$213,"小",$K$184:$K$213,"身・療・精")+SUMIFS($H$227:$H$256,$J$227:$J$256,"小",$K$227:$K$256,"身・療・精")+SUMIFS($U$98:$U$127,$W$98:$W$127,"小",$X$98:$X$127,"身・療・精")+SUMIFS($U$141:$U$170,$W$141:$W$170,"小",$X$141:$X$170,"身・療・精")+SUMIFS($U$184:$U$213,$W$184:$W$213,"小",$X$184:$X$213,"身・療・精")+SUMIFS($U$227:$U$256,$W$227:$W$256,"小",$X$227:$X$256,"身・療・精")</f>
        <v>0</v>
      </c>
      <c r="BU36" s="712">
        <f>SUMIFS($I$13:$I$22,$J$13:$J$22,"小",$K$13:$K$22,"身・療・精")+SUMIFS($V$13:$V$22,$W$13:$W$22,"小",$X$13:$X$22,"身・療・精")+SUMIFS($I$55:$I$84,$J$55:$J$84,"小",$K$55:$K$84,"身・療・精")+SUMIFS($V$55:$V$84,$W$55:$W$84,"小",$X$55:$X$84,"身・療・精")+SUMIFS($I$98:$I$127,$J$98:$J$127,"小",$K$98:$K$127,"身・療・精")+SUMIFS($I$141:$I$170,$J$141:$J$170,"小",$K$141:$K$170,"身・療・精")+SUMIFS($I$184:$I$213,$J$184:$J$213,"小",$K$184:$K$213,"身・療・精")+SUMIFS($I$227:$I$256,$J$227:$J$256,"小",$K$227:$K$256,"身・療・精")+SUMIFS($V$98:$V$127,$W$98:$W$127,"小",$X$98:$X$127,"身・療・精")+SUMIFS($V$141:$V$170,$W$141:$W$170,"小",$X$141:$X$170,"身・療・精")+SUMIFS($V$184:$V$213,$W$184:$W$213,"小",$X$184:$X$213,"身・療・精")+SUMIFS($V$227:$V$256,$W$227:$W$256,"小",$X$227:$X$256,"身・療・精")</f>
        <v>0</v>
      </c>
      <c r="BV36" s="712">
        <f>SUMIFS($H$13:$H$22,$J$13:$J$22,"中",$K$13:$K$22,"身・療・精")+SUMIFS($U$13:$U$22,$W$13:$W$22,"中",$X$13:$X$22,"身・療・精")+SUMIFS($H$55:$H$84,$J$55:$J$84,"中",$K$55:$K$84,"身・療・精")+SUMIFS($U$55:$U$84,$W$55:$W$84,"中",$X$55:$X$84,"身・療・精")+SUMIFS($H$98:$H$127,$J$98:$J$127,"中",$K$98:$K$127,"身・療・精")+SUMIFS($H$141:$H$170,$J$141:$J$170,"中",$K$141:$K$170,"身・療・精")+SUMIFS($H$184:$H$213,$J$184:$J$213,"中",$K$184:$K$213,"身・療・精")+SUMIFS($H$227:$H$256,$J$227:$J$256,"中",$K$227:$K$256,"身・療・精")+SUMIFS($U$98:$U$127,$W$98:$W$127,"中",$X$98:$X$127,"身・療・精")+SUMIFS($U$141:$U$170,$W$141:$W$170,"中",$X$141:$X$170,"身・療・精")+SUMIFS($U$184:$U$213,$W$184:$W$213,"中",$X$184:$X$213,"身・療・精")+SUMIFS($U$227:$U$256,$W$227:$W$256,"中",$X$227:$X$256,"身・療・精")</f>
        <v>0</v>
      </c>
      <c r="BW36" s="712">
        <f>SUMIFS($I$13:$I$22,$J$13:$J$22,"中",$K$13:$K$22,"身・療・精")+SUMIFS($V$13:$V$22,$W$13:$W$22,"中",$X$13:$X$22,"身・療・精")+SUMIFS($I$55:$I$84,$J$55:$J$84,"中",$K$55:$K$84,"身・療・精")+SUMIFS($V$55:$V$84,$W$55:$W$84,"中",$X$55:$X$84,"身・療・精")+SUMIFS($I$98:$I$127,$J$98:$J$127,"中",$K$98:$K$127,"身・療・精")+SUMIFS($I$141:$I$170,$J$141:$J$170,"中",$K$141:$K$170,"身・療・精")+SUMIFS($I$184:$I$213,$J$184:$J$213,"中",$K$184:$K$213,"身・療・精")+SUMIFS($I$227:$I$256,$J$227:$J$256,"中",$K$227:$K$256,"身・療・精")+SUMIFS($V$98:$V$127,$W$98:$W$127,"中",$X$98:$X$127,"身・療・精")+SUMIFS($V$141:$V$170,$W$141:$W$170,"中",$X$141:$X$170,"身・療・精")+SUMIFS($V$184:$V$213,$W$184:$W$213,"中",$X$184:$X$213,"身・療・精")+SUMIFS($V$227:$V$256,$W$227:$W$256,"中",$X$227:$X$256,"身・療・精")</f>
        <v>0</v>
      </c>
      <c r="BX36" s="696"/>
      <c r="BY36" s="696"/>
      <c r="BZ36" s="696"/>
      <c r="CA36" s="696"/>
      <c r="CB36" s="696"/>
      <c r="CC36" s="695" t="str">
        <f t="shared" si="7"/>
        <v>小泊/特・療・精</v>
      </c>
      <c r="CD36" s="712">
        <f t="shared" si="8"/>
        <v>0</v>
      </c>
      <c r="CE36" s="695">
        <f>IF(OR(BT37="",BT37=0),0,91)</f>
        <v>0</v>
      </c>
      <c r="CF36" s="695">
        <v>330</v>
      </c>
      <c r="CG36" s="707">
        <v>91</v>
      </c>
      <c r="CH36" s="696"/>
      <c r="CI36" s="701"/>
      <c r="CJ36" s="701"/>
      <c r="CK36" s="696"/>
      <c r="CL36" s="696"/>
      <c r="CM36" s="696"/>
      <c r="CN36" s="696"/>
      <c r="CO36" s="696"/>
      <c r="CP36" s="696"/>
      <c r="CQ36" s="696"/>
      <c r="CR36" s="696"/>
      <c r="CS36" s="696"/>
      <c r="CT36" s="696"/>
      <c r="CU36" s="696"/>
      <c r="CV36" s="696"/>
      <c r="CW36" s="696"/>
      <c r="CX36" s="696"/>
      <c r="CY36" s="696"/>
      <c r="CZ36" s="696"/>
      <c r="DA36" s="696"/>
      <c r="DB36" s="696"/>
    </row>
    <row r="37" spans="1:106" s="34" customFormat="1" ht="24" customHeight="1" thickBot="1">
      <c r="A37" s="1870" t="s">
        <v>375</v>
      </c>
      <c r="B37" s="1791" t="s">
        <v>384</v>
      </c>
      <c r="C37" s="1792"/>
      <c r="D37" s="1793"/>
      <c r="E37" s="1817" t="s">
        <v>385</v>
      </c>
      <c r="F37" s="1792"/>
      <c r="G37" s="1793"/>
      <c r="H37" s="1750" t="s">
        <v>386</v>
      </c>
      <c r="I37" s="1751"/>
      <c r="J37" s="1818"/>
      <c r="K37" s="1750" t="s">
        <v>387</v>
      </c>
      <c r="L37" s="1751"/>
      <c r="M37" s="1752"/>
      <c r="N37" s="212"/>
      <c r="O37" s="212"/>
      <c r="P37" s="1747" t="s">
        <v>40</v>
      </c>
      <c r="Q37" s="1748"/>
      <c r="R37" s="1753">
        <f>$H$23</f>
        <v>0</v>
      </c>
      <c r="S37" s="1753"/>
      <c r="T37" s="1753"/>
      <c r="U37" s="222" t="s">
        <v>313</v>
      </c>
      <c r="V37" s="1795" t="s">
        <v>312</v>
      </c>
      <c r="W37" s="1795"/>
      <c r="X37" s="1748">
        <f>COUNTIFS($BB$13:$BB$332,1,$BC$13:$BC$332,1,$BD$13:$BD$332,0)</f>
        <v>0</v>
      </c>
      <c r="Y37" s="1748"/>
      <c r="Z37" s="224" t="s">
        <v>24</v>
      </c>
      <c r="AA37" s="1870" t="s">
        <v>375</v>
      </c>
      <c r="AB37" s="1791" t="s">
        <v>384</v>
      </c>
      <c r="AC37" s="1792"/>
      <c r="AD37" s="1793"/>
      <c r="AE37" s="1817" t="s">
        <v>385</v>
      </c>
      <c r="AF37" s="1792"/>
      <c r="AG37" s="1793"/>
      <c r="AH37" s="1750" t="s">
        <v>386</v>
      </c>
      <c r="AI37" s="1751"/>
      <c r="AJ37" s="1818"/>
      <c r="AK37" s="1750" t="s">
        <v>387</v>
      </c>
      <c r="AL37" s="1751"/>
      <c r="AM37" s="1752"/>
      <c r="AN37" s="212"/>
      <c r="AO37" s="212"/>
      <c r="AP37" s="1747" t="s">
        <v>40</v>
      </c>
      <c r="AQ37" s="1748"/>
      <c r="AR37" s="1753">
        <v>109</v>
      </c>
      <c r="AS37" s="1753"/>
      <c r="AT37" s="1753"/>
      <c r="AU37" s="222" t="s">
        <v>313</v>
      </c>
      <c r="AV37" s="1748" t="s">
        <v>312</v>
      </c>
      <c r="AW37" s="1748"/>
      <c r="AX37" s="1748">
        <v>10</v>
      </c>
      <c r="AY37" s="1748"/>
      <c r="AZ37" s="224" t="s">
        <v>24</v>
      </c>
      <c r="BA37" s="724">
        <v>25</v>
      </c>
      <c r="BB37" s="717">
        <f t="shared" si="16"/>
        <v>0</v>
      </c>
      <c r="BC37" s="520">
        <f t="shared" si="17"/>
        <v>0</v>
      </c>
      <c r="BD37" s="702">
        <f t="shared" si="18"/>
        <v>0</v>
      </c>
      <c r="BE37" s="702">
        <f t="shared" si="18"/>
        <v>0</v>
      </c>
      <c r="BF37" s="701" t="s">
        <v>390</v>
      </c>
      <c r="BG37" s="712">
        <f>COUNTIF($K$13:$M$22,"特・療・精")</f>
        <v>0</v>
      </c>
      <c r="BH37" s="718">
        <f>COUNTIF($X$13:$Z$22,"特・療・精")</f>
        <v>0</v>
      </c>
      <c r="BI37" s="712">
        <f>COUNTIF($K$55:$M$84,"特・療・精")</f>
        <v>0</v>
      </c>
      <c r="BJ37" s="712">
        <f>COUNTIF($X$55:$Z$84,"特・療・精")</f>
        <v>0</v>
      </c>
      <c r="BK37" s="712">
        <f>COUNTIF($K$98:$M$127,"特・療・精")</f>
        <v>0</v>
      </c>
      <c r="BL37" s="712">
        <f>COUNTIF($X$98:$Z$127,"特・療・精")</f>
        <v>0</v>
      </c>
      <c r="BM37" s="712">
        <f>COUNTIF($K$141:$M$170,"特・療・精")</f>
        <v>0</v>
      </c>
      <c r="BN37" s="712">
        <f>COUNTIF($X$141:$Z$170,"特・療・精")</f>
        <v>0</v>
      </c>
      <c r="BO37" s="712">
        <f>COUNTIF($K$184:$M$213,"特・療・精")</f>
        <v>0</v>
      </c>
      <c r="BP37" s="712">
        <f>COUNTIF($X$184:$Z$213,"特・療・精")</f>
        <v>0</v>
      </c>
      <c r="BQ37" s="712">
        <f>COUNTIF($K$227:$M$256,"特・療・精")</f>
        <v>0</v>
      </c>
      <c r="BR37" s="712">
        <f>COUNTIF($X$227:$Z$256,"特・療・精")</f>
        <v>0</v>
      </c>
      <c r="BS37" s="712">
        <f>SUM(BG37:BR37)</f>
        <v>0</v>
      </c>
      <c r="BT37" s="712">
        <f>SUMIFS($H$13:$H$22,$J$13:$J$22,"小",$K$13:$K$22,"特・療・精")+SUMIFS($U$13:$U$22,$W$13:$W$22,"小",$X$13:$X$22,"特・療・精")+SUMIFS($H$55:$H$84,$J$55:$J$84,"小",$K$55:$K$84,"特・療・精")+SUMIFS($U$55:$U$84,$W$55:$W$84,"小",$X$55:$X$84,"特・療・精")+SUMIFS($H$98:$H$127,$J$98:$J$127,"小",$K$98:$K$127,"特・療・精")+SUMIFS($H$141:$H$170,$J$141:$J$170,"小",$K$141:$K$170,"特・療・精")+SUMIFS($H$184:$H$213,$J$184:$J$213,"小",$K$184:$K$213,"特・療・精")+SUMIFS($H$227:$H$256,$J$227:$J$256,"小",$K$227:$K$256,"特・療・精")+SUMIFS($U$98:$U$127,$W$98:$W$127,"小",$X$98:$X$127,"特・療・精")+SUMIFS($U$141:$U$170,$W$141:$W$170,"小",$X$141:$X$170,"特・療・精")+SUMIFS($U$184:$U$213,$W$184:$W$213,"小",$X$184:$X$213,"特・療・精")+SUMIFS($U$227:$U$256,$W$227:$W$256,"小",$X$227:$X$256,"特・療・精")</f>
        <v>0</v>
      </c>
      <c r="BU37" s="712">
        <f>SUMIFS($I$13:$I$22,$J$13:$J$22,"小",$K$13:$K$22,"特・療・精")+SUMIFS($V$13:$V$22,$W$13:$W$22,"小",$X$13:$X$22,"特・療・精")+SUMIFS($I$55:$I$84,$J$55:$J$84,"小",$K$55:$K$84,"特・療・精")+SUMIFS($V$55:$V$84,$W$55:$W$84,"小",$X$55:$X$84,"特・療・精")+SUMIFS($I$98:$I$127,$J$98:$J$127,"小",$K$98:$K$127,"特・療・精")+SUMIFS($I$141:$I$170,$J$141:$J$170,"小",$K$141:$K$170,"特・療・精")+SUMIFS($I$184:$I$213,$J$184:$J$213,"小",$K$184:$K$213,"特・療・精")+SUMIFS($I$227:$I$256,$J$227:$J$256,"小",$K$227:$K$256,"特・療・精")+SUMIFS($V$98:$V$127,$W$98:$W$127,"小",$X$98:$X$127,"特・療・精")+SUMIFS($V$141:$V$170,$W$141:$W$170,"小",$X$141:$X$170,"特・療・精")+SUMIFS($V$184:$V$213,$W$184:$W$213,"小",$X$184:$X$213,"特・療・精")+SUMIFS($V$227:$V$256,$W$227:$W$256,"小",$X$227:$X$256,"特・療・精")</f>
        <v>0</v>
      </c>
      <c r="BV37" s="712">
        <f>SUMIFS($H$13:$H$22,$J$13:$J$22,"中",$K$13:$K$22,"特・療・精")+SUMIFS($U$13:$U$22,$W$13:$W$22,"中",$X$13:$X$22,"特・療・精")+SUMIFS($H$55:$H$84,$J$55:$J$84,"中",$K$55:$K$84,"特・療・精")+SUMIFS($U$55:$U$84,$W$55:$W$84,"中",$X$55:$X$84,"特・療・精")+SUMIFS($H$98:$H$127,$J$98:$J$127,"中",$K$98:$K$127,"特・療・精")+SUMIFS($H$141:$H$170,$J$141:$J$170,"中",$K$141:$K$170,"特・療・精")+SUMIFS($H$184:$H$213,$J$184:$J$213,"中",$K$184:$K$213,"特・療・精")+SUMIFS($H$227:$H$256,$J$227:$J$256,"中",$K$227:$K$256,"特・療・精")+SUMIFS($U$98:$U$127,$W$98:$W$127,"中",$X$98:$X$127,"特・療・精")+SUMIFS($U$141:$U$170,$W$141:$W$170,"中",$X$141:$X$170,"特・療・精")+SUMIFS($U$184:$U$213,$W$184:$W$213,"中",$X$184:$X$213,"特・療・精")+SUMIFS($U$227:$U$256,$W$227:$W$256,"中",$X$227:$X$256,"特・療・精")</f>
        <v>0</v>
      </c>
      <c r="BW37" s="712">
        <f>SUMIFS($I$13:$I$22,$J$13:$J$22,"中",$K$13:$K$22,"特・療・精")+SUMIFS($V$13:$V$22,$W$13:$W$22,"中",$X$13:$X$22,"特・療・精")+SUMIFS($I$55:$I$84,$J$55:$J$84,"中",$K$55:$K$84,"特・療・精")+SUMIFS($V$55:$V$84,$W$55:$W$84,"中",$X$55:$X$84,"特・療・精")+SUMIFS($I$98:$I$127,$J$98:$J$127,"中",$K$98:$K$127,"特・療・精")+SUMIFS($I$141:$I$170,$J$141:$J$170,"中",$K$141:$K$170,"特・療・精")+SUMIFS($I$184:$I$213,$J$184:$J$213,"中",$K$184:$K$213,"特・療・精")+SUMIFS($I$227:$I$256,$J$227:$J$256,"中",$K$227:$K$256,"特・療・精")+SUMIFS($V$98:$V$127,$W$98:$W$127,"中",$X$98:$X$127,"特・療・精")+SUMIFS($V$141:$V$170,$W$141:$W$170,"中",$X$141:$X$170,"特・療・精")+SUMIFS($V$184:$V$213,$W$184:$W$213,"中",$X$184:$X$213,"特・療・精")+SUMIFS($V$227:$V$256,$W$227:$W$256,"中",$X$227:$X$256,"特・療・精")</f>
        <v>0</v>
      </c>
      <c r="BX37" s="696"/>
      <c r="BY37" s="696"/>
      <c r="BZ37" s="696"/>
      <c r="CA37" s="696"/>
      <c r="CB37" s="696"/>
      <c r="CC37" s="695" t="str">
        <f t="shared" ref="CC37:CC62" si="19">$BU$11&amp;BF12</f>
        <v>小日帰/準</v>
      </c>
      <c r="CD37" s="725">
        <f>BU12</f>
        <v>0</v>
      </c>
      <c r="CE37" s="695">
        <f>IF(OR(BU12="",BU12=0),0,89)</f>
        <v>0</v>
      </c>
      <c r="CF37" s="695">
        <v>110</v>
      </c>
      <c r="CG37" s="726">
        <v>89</v>
      </c>
      <c r="CH37" s="696"/>
      <c r="CI37" s="701"/>
      <c r="CJ37" s="701"/>
      <c r="CK37" s="696"/>
      <c r="CL37" s="696"/>
      <c r="CM37" s="696"/>
      <c r="CN37" s="696"/>
      <c r="CO37" s="696"/>
      <c r="CP37" s="696"/>
      <c r="CQ37" s="696"/>
      <c r="CR37" s="696"/>
      <c r="CS37" s="696"/>
      <c r="CT37" s="696"/>
      <c r="CU37" s="696"/>
      <c r="CV37" s="696"/>
      <c r="CW37" s="696"/>
      <c r="CX37" s="696"/>
      <c r="CY37" s="696"/>
      <c r="CZ37" s="727"/>
      <c r="DA37" s="727"/>
      <c r="DB37" s="727"/>
    </row>
    <row r="38" spans="1:106" s="2" customFormat="1" ht="24" customHeight="1" thickBot="1">
      <c r="A38" s="1871"/>
      <c r="B38" s="1834" t="s">
        <v>94</v>
      </c>
      <c r="C38" s="1835"/>
      <c r="D38" s="1836"/>
      <c r="E38" s="1834" t="s">
        <v>112</v>
      </c>
      <c r="F38" s="1835"/>
      <c r="G38" s="1836"/>
      <c r="H38" s="1840" t="s">
        <v>376</v>
      </c>
      <c r="I38" s="1819"/>
      <c r="J38" s="1841"/>
      <c r="K38" s="1844" t="s">
        <v>2706</v>
      </c>
      <c r="L38" s="1819"/>
      <c r="M38" s="1841"/>
      <c r="N38" s="212"/>
      <c r="O38" s="212"/>
      <c r="P38" s="1813" t="s">
        <v>39</v>
      </c>
      <c r="Q38" s="1814"/>
      <c r="R38" s="1845">
        <f>$I$23</f>
        <v>0</v>
      </c>
      <c r="S38" s="1845"/>
      <c r="T38" s="1845"/>
      <c r="U38" s="223" t="s">
        <v>313</v>
      </c>
      <c r="V38" s="1816" t="s">
        <v>312</v>
      </c>
      <c r="W38" s="1816"/>
      <c r="X38" s="1794">
        <f>COUNTIFS($BB$13:$BB$332,1,$BC$13:$BC$332,1,$BD$13:$BD$332,1)</f>
        <v>0</v>
      </c>
      <c r="Y38" s="1794"/>
      <c r="Z38" s="225" t="s">
        <v>24</v>
      </c>
      <c r="AA38" s="1871"/>
      <c r="AB38" s="1834" t="s">
        <v>94</v>
      </c>
      <c r="AC38" s="1835"/>
      <c r="AD38" s="1836"/>
      <c r="AE38" s="1834" t="s">
        <v>112</v>
      </c>
      <c r="AF38" s="1835"/>
      <c r="AG38" s="1836"/>
      <c r="AH38" s="1840" t="s">
        <v>376</v>
      </c>
      <c r="AI38" s="1819"/>
      <c r="AJ38" s="1841"/>
      <c r="AK38" s="1844" t="s">
        <v>2706</v>
      </c>
      <c r="AL38" s="1819"/>
      <c r="AM38" s="1841"/>
      <c r="AN38" s="212"/>
      <c r="AO38" s="212"/>
      <c r="AP38" s="1813" t="s">
        <v>39</v>
      </c>
      <c r="AQ38" s="1814"/>
      <c r="AR38" s="1845">
        <v>1</v>
      </c>
      <c r="AS38" s="1845"/>
      <c r="AT38" s="1845"/>
      <c r="AU38" s="223" t="s">
        <v>313</v>
      </c>
      <c r="AV38" s="1814" t="s">
        <v>312</v>
      </c>
      <c r="AW38" s="1814"/>
      <c r="AX38" s="1794">
        <v>0</v>
      </c>
      <c r="AY38" s="1794"/>
      <c r="AZ38" s="225" t="s">
        <v>24</v>
      </c>
      <c r="BA38" s="716">
        <v>26</v>
      </c>
      <c r="BB38" s="717">
        <f t="shared" si="16"/>
        <v>0</v>
      </c>
      <c r="BC38" s="520">
        <f t="shared" si="17"/>
        <v>0</v>
      </c>
      <c r="BD38" s="702">
        <f t="shared" si="18"/>
        <v>0</v>
      </c>
      <c r="BE38" s="702">
        <f t="shared" si="18"/>
        <v>0</v>
      </c>
      <c r="BF38" s="701"/>
      <c r="BG38" s="696"/>
      <c r="BH38" s="696"/>
      <c r="BI38" s="696"/>
      <c r="BJ38" s="696"/>
      <c r="BK38" s="696"/>
      <c r="BL38" s="696"/>
      <c r="BM38" s="696"/>
      <c r="BN38" s="696"/>
      <c r="BO38" s="696"/>
      <c r="BP38" s="696"/>
      <c r="BQ38" s="696"/>
      <c r="BR38" s="701" t="s">
        <v>383</v>
      </c>
      <c r="BS38" s="725">
        <f>SUM(BS12:BS36)</f>
        <v>0</v>
      </c>
      <c r="BT38" s="725">
        <f>SUM(BT12:BT37)</f>
        <v>0</v>
      </c>
      <c r="BU38" s="725">
        <f>SUM(BU12:BU37)</f>
        <v>0</v>
      </c>
      <c r="BV38" s="725">
        <f>SUM(BV12:BV37)</f>
        <v>0</v>
      </c>
      <c r="BW38" s="725">
        <f>SUM(BW12:BW37)</f>
        <v>0</v>
      </c>
      <c r="BX38" s="725">
        <f>BX17</f>
        <v>0</v>
      </c>
      <c r="BY38" s="725">
        <f>BY17</f>
        <v>0</v>
      </c>
      <c r="BZ38" s="725">
        <f>BZ17</f>
        <v>0</v>
      </c>
      <c r="CA38" s="725">
        <f>CA17</f>
        <v>0</v>
      </c>
      <c r="CB38" s="696"/>
      <c r="CC38" s="695" t="str">
        <f t="shared" si="19"/>
        <v>小日帰/特</v>
      </c>
      <c r="CD38" s="725">
        <f t="shared" ref="CD38:CD62" si="20">BU13</f>
        <v>0</v>
      </c>
      <c r="CE38" s="695">
        <f>IF(OR(BU13="",BU13=0),0,88)</f>
        <v>0</v>
      </c>
      <c r="CF38" s="695">
        <v>110</v>
      </c>
      <c r="CG38" s="726">
        <v>88</v>
      </c>
      <c r="CH38" s="696"/>
      <c r="CI38" s="701"/>
      <c r="CJ38" s="701"/>
      <c r="CK38" s="696"/>
      <c r="CL38" s="696"/>
      <c r="CM38" s="696"/>
      <c r="CN38" s="696"/>
      <c r="CO38" s="696"/>
      <c r="CP38" s="696"/>
      <c r="CQ38" s="696"/>
      <c r="CR38" s="696"/>
      <c r="CS38" s="696"/>
      <c r="CT38" s="696"/>
      <c r="CU38" s="696"/>
      <c r="CV38" s="696"/>
      <c r="CW38" s="696"/>
      <c r="CX38" s="696"/>
      <c r="CY38" s="696"/>
      <c r="CZ38" s="696"/>
      <c r="DA38" s="696"/>
      <c r="DB38" s="696"/>
    </row>
    <row r="39" spans="1:106" s="2" customFormat="1" ht="24" customHeight="1" thickBot="1">
      <c r="A39" s="1872"/>
      <c r="B39" s="1837"/>
      <c r="C39" s="1838"/>
      <c r="D39" s="1839"/>
      <c r="E39" s="1837"/>
      <c r="F39" s="1838"/>
      <c r="G39" s="1839"/>
      <c r="H39" s="1842"/>
      <c r="I39" s="1820"/>
      <c r="J39" s="1843"/>
      <c r="K39" s="1842"/>
      <c r="L39" s="1820"/>
      <c r="M39" s="1843"/>
      <c r="N39" s="198"/>
      <c r="O39" s="198"/>
      <c r="P39" s="1810" t="s">
        <v>98</v>
      </c>
      <c r="Q39" s="1811"/>
      <c r="R39" s="1812">
        <f>SUM($R$37:$T$38)</f>
        <v>0</v>
      </c>
      <c r="S39" s="1812"/>
      <c r="T39" s="1812"/>
      <c r="U39" s="222" t="s">
        <v>313</v>
      </c>
      <c r="V39" s="1815" t="s">
        <v>314</v>
      </c>
      <c r="W39" s="1815"/>
      <c r="X39" s="1811">
        <f>SUM($X$37:$Y$38)</f>
        <v>0</v>
      </c>
      <c r="Y39" s="1811"/>
      <c r="Z39" s="224" t="s">
        <v>24</v>
      </c>
      <c r="AA39" s="1872"/>
      <c r="AB39" s="1837"/>
      <c r="AC39" s="1838"/>
      <c r="AD39" s="1839"/>
      <c r="AE39" s="1837"/>
      <c r="AF39" s="1838"/>
      <c r="AG39" s="1839"/>
      <c r="AH39" s="1842"/>
      <c r="AI39" s="1820"/>
      <c r="AJ39" s="1843"/>
      <c r="AK39" s="1842"/>
      <c r="AL39" s="1820"/>
      <c r="AM39" s="1843"/>
      <c r="AN39" s="198"/>
      <c r="AO39" s="198"/>
      <c r="AP39" s="1810" t="s">
        <v>98</v>
      </c>
      <c r="AQ39" s="1811"/>
      <c r="AR39" s="1812">
        <v>110</v>
      </c>
      <c r="AS39" s="1812"/>
      <c r="AT39" s="1812"/>
      <c r="AU39" s="222" t="s">
        <v>313</v>
      </c>
      <c r="AV39" s="1811" t="s">
        <v>314</v>
      </c>
      <c r="AW39" s="1811"/>
      <c r="AX39" s="1811">
        <f>SUM($X$34:$Y$37)</f>
        <v>0</v>
      </c>
      <c r="AY39" s="1811"/>
      <c r="AZ39" s="224" t="s">
        <v>24</v>
      </c>
      <c r="BA39" s="716">
        <v>27</v>
      </c>
      <c r="BB39" s="717">
        <f t="shared" si="16"/>
        <v>0</v>
      </c>
      <c r="BC39" s="520">
        <f t="shared" si="17"/>
        <v>0</v>
      </c>
      <c r="BD39" s="702">
        <f t="shared" si="18"/>
        <v>0</v>
      </c>
      <c r="BE39" s="702">
        <f t="shared" si="18"/>
        <v>0</v>
      </c>
      <c r="BF39" s="713" t="s">
        <v>392</v>
      </c>
      <c r="BG39" s="520"/>
      <c r="BH39" s="520"/>
      <c r="BI39" s="520"/>
      <c r="BJ39" s="520"/>
      <c r="BK39" s="520"/>
      <c r="BL39" s="696"/>
      <c r="BM39" s="696"/>
      <c r="BN39" s="696"/>
      <c r="BO39" s="696"/>
      <c r="BP39" s="696"/>
      <c r="BQ39" s="696"/>
      <c r="BR39" s="696"/>
      <c r="BS39" s="701" t="s">
        <v>391</v>
      </c>
      <c r="BT39" s="725">
        <f>BT38-(BT12+BT13+BT18)</f>
        <v>0</v>
      </c>
      <c r="BU39" s="725">
        <f>BU38-(BU12+BU13+BU18)</f>
        <v>0</v>
      </c>
      <c r="BV39" s="725">
        <f>BV38-(BV12+BV13+BV18)</f>
        <v>0</v>
      </c>
      <c r="BW39" s="725">
        <f>BW38-(BW12+BW13+BW18)</f>
        <v>0</v>
      </c>
      <c r="BX39" s="725">
        <f>BX17</f>
        <v>0</v>
      </c>
      <c r="BY39" s="725">
        <f>BY17</f>
        <v>0</v>
      </c>
      <c r="BZ39" s="725">
        <f>BZ17</f>
        <v>0</v>
      </c>
      <c r="CA39" s="725">
        <f>CA17</f>
        <v>0</v>
      </c>
      <c r="CB39" s="696"/>
      <c r="CC39" s="695" t="str">
        <f t="shared" si="19"/>
        <v>小日帰/身</v>
      </c>
      <c r="CD39" s="725">
        <f t="shared" si="20"/>
        <v>0</v>
      </c>
      <c r="CE39" s="695">
        <f>IF(OR(BU14="",BU14=0),0,87)</f>
        <v>0</v>
      </c>
      <c r="CF39" s="695">
        <v>110</v>
      </c>
      <c r="CG39" s="726">
        <v>87</v>
      </c>
      <c r="CH39" s="696"/>
      <c r="CI39" s="701"/>
      <c r="CJ39" s="701"/>
      <c r="CK39" s="696"/>
      <c r="CL39" s="696"/>
      <c r="CM39" s="696"/>
      <c r="CN39" s="696"/>
      <c r="CO39" s="696"/>
      <c r="CP39" s="696"/>
      <c r="CQ39" s="696"/>
      <c r="CR39" s="696"/>
      <c r="CS39" s="696"/>
      <c r="CT39" s="696"/>
      <c r="CU39" s="696"/>
      <c r="CV39" s="696"/>
      <c r="CW39" s="696"/>
      <c r="CX39" s="696"/>
      <c r="CY39" s="696"/>
      <c r="CZ39" s="696"/>
      <c r="DA39" s="696"/>
      <c r="DB39" s="696"/>
    </row>
    <row r="40" spans="1:106" s="2" customFormat="1" ht="13.5" customHeight="1" thickBot="1">
      <c r="A40" s="213"/>
      <c r="B40" s="214"/>
      <c r="C40" s="214"/>
      <c r="D40" s="214"/>
      <c r="E40" s="214"/>
      <c r="F40" s="214"/>
      <c r="G40" s="214"/>
      <c r="H40" s="180"/>
      <c r="I40" s="182"/>
      <c r="J40" s="180"/>
      <c r="K40" s="180"/>
      <c r="L40" s="180"/>
      <c r="M40" s="182"/>
      <c r="N40" s="214"/>
      <c r="O40" s="214"/>
      <c r="P40" s="214"/>
      <c r="Q40" s="214"/>
      <c r="R40" s="214"/>
      <c r="S40" s="214"/>
      <c r="T40" s="214"/>
      <c r="U40" s="214"/>
      <c r="V40" s="170"/>
      <c r="W40" s="171"/>
      <c r="X40" s="171"/>
      <c r="Y40" s="171"/>
      <c r="Z40" s="171"/>
      <c r="AA40" s="213"/>
      <c r="AB40" s="214"/>
      <c r="AC40" s="214"/>
      <c r="AD40" s="214"/>
      <c r="AE40" s="214"/>
      <c r="AF40" s="214"/>
      <c r="AG40" s="214"/>
      <c r="AH40" s="180"/>
      <c r="AI40" s="182"/>
      <c r="AJ40" s="180"/>
      <c r="AK40" s="180"/>
      <c r="AL40" s="180"/>
      <c r="AM40" s="182"/>
      <c r="AN40" s="214"/>
      <c r="AO40" s="214"/>
      <c r="AP40" s="214"/>
      <c r="AQ40" s="214"/>
      <c r="AR40" s="214"/>
      <c r="AS40" s="214"/>
      <c r="AT40" s="214"/>
      <c r="AU40" s="214"/>
      <c r="AV40" s="170"/>
      <c r="AW40" s="171"/>
      <c r="AX40" s="171"/>
      <c r="AY40" s="171"/>
      <c r="AZ40" s="171"/>
      <c r="BA40" s="716">
        <v>28</v>
      </c>
      <c r="BB40" s="717">
        <f t="shared" si="16"/>
        <v>0</v>
      </c>
      <c r="BC40" s="520">
        <f t="shared" si="17"/>
        <v>0</v>
      </c>
      <c r="BD40" s="702">
        <f t="shared" si="18"/>
        <v>0</v>
      </c>
      <c r="BE40" s="702">
        <f t="shared" si="18"/>
        <v>0</v>
      </c>
      <c r="BF40" s="520" t="str">
        <f>I13&amp;J13&amp;K13</f>
        <v/>
      </c>
      <c r="BG40" s="728" t="str">
        <f>V13&amp;W13&amp;X13</f>
        <v/>
      </c>
      <c r="BH40" s="520" t="str">
        <f t="shared" ref="BH40:BH69" si="21">I55&amp;J55&amp;K55</f>
        <v/>
      </c>
      <c r="BI40" s="520" t="str">
        <f>V55&amp;X55&amp;W55</f>
        <v/>
      </c>
      <c r="BJ40" s="520" t="str">
        <f>I98&amp;J98&amp;K98</f>
        <v/>
      </c>
      <c r="BK40" s="520" t="str">
        <f t="shared" ref="BK40:BK69" si="22">V98&amp;X98&amp;W98</f>
        <v/>
      </c>
      <c r="BL40" s="696" t="str">
        <f>I141&amp;J141&amp;K141</f>
        <v/>
      </c>
      <c r="BM40" s="696" t="str">
        <f>V141&amp;X141&amp;W141</f>
        <v/>
      </c>
      <c r="BN40" s="696" t="str">
        <f t="shared" ref="BN40:BN69" si="23">I184&amp;J184&amp;K184</f>
        <v/>
      </c>
      <c r="BO40" s="696" t="str">
        <f>V184&amp;X184&amp;W184</f>
        <v/>
      </c>
      <c r="BP40" s="696" t="str">
        <f>I227&amp;J227&amp;K227</f>
        <v/>
      </c>
      <c r="BQ40" s="696" t="str">
        <f>V227&amp;X227&amp;W227</f>
        <v/>
      </c>
      <c r="BR40" s="696"/>
      <c r="BS40" s="696"/>
      <c r="BT40" s="696"/>
      <c r="BU40" s="696"/>
      <c r="BV40" s="696"/>
      <c r="BW40" s="696"/>
      <c r="BX40" s="696"/>
      <c r="BY40" s="696"/>
      <c r="BZ40" s="696"/>
      <c r="CA40" s="696"/>
      <c r="CB40" s="696"/>
      <c r="CC40" s="695" t="str">
        <f t="shared" si="19"/>
        <v>小日帰/療</v>
      </c>
      <c r="CD40" s="725">
        <f t="shared" si="20"/>
        <v>0</v>
      </c>
      <c r="CE40" s="695">
        <f>IF(OR(BU15="",BU15=0),0,86)</f>
        <v>0</v>
      </c>
      <c r="CF40" s="695">
        <v>110</v>
      </c>
      <c r="CG40" s="726">
        <v>86</v>
      </c>
      <c r="CH40" s="696"/>
      <c r="CI40" s="701"/>
      <c r="CJ40" s="701"/>
      <c r="CK40" s="696"/>
      <c r="CL40" s="696"/>
      <c r="CM40" s="696"/>
      <c r="CN40" s="696"/>
      <c r="CO40" s="696"/>
      <c r="CP40" s="696"/>
      <c r="CQ40" s="696"/>
      <c r="CR40" s="696"/>
      <c r="CS40" s="696"/>
      <c r="CT40" s="696"/>
      <c r="CU40" s="696"/>
      <c r="CV40" s="696"/>
      <c r="CW40" s="696"/>
      <c r="CX40" s="696"/>
      <c r="CY40" s="696"/>
      <c r="CZ40" s="696"/>
      <c r="DA40" s="696"/>
      <c r="DB40" s="696"/>
    </row>
    <row r="41" spans="1:106" s="2" customFormat="1" ht="24" customHeight="1" thickBot="1">
      <c r="A41" s="1865" t="s">
        <v>374</v>
      </c>
      <c r="B41" s="1866" t="s">
        <v>350</v>
      </c>
      <c r="C41" s="1826"/>
      <c r="D41" s="1826"/>
      <c r="E41" s="1826" t="s">
        <v>349</v>
      </c>
      <c r="F41" s="1826"/>
      <c r="G41" s="1826"/>
      <c r="H41" s="1750" t="s">
        <v>351</v>
      </c>
      <c r="I41" s="1751"/>
      <c r="J41" s="1751"/>
      <c r="K41" s="1750" t="s">
        <v>352</v>
      </c>
      <c r="L41" s="1751"/>
      <c r="M41" s="1818"/>
      <c r="N41" s="1750" t="s">
        <v>353</v>
      </c>
      <c r="O41" s="1751"/>
      <c r="P41" s="1751"/>
      <c r="Q41" s="1750" t="s">
        <v>354</v>
      </c>
      <c r="R41" s="1751"/>
      <c r="S41" s="1751"/>
      <c r="T41" s="1750" t="s">
        <v>2841</v>
      </c>
      <c r="U41" s="1751"/>
      <c r="V41" s="1752"/>
      <c r="W41" s="215"/>
      <c r="X41" s="215"/>
      <c r="Y41" s="215"/>
      <c r="Z41" s="215"/>
      <c r="AA41" s="1865" t="s">
        <v>374</v>
      </c>
      <c r="AB41" s="1866" t="s">
        <v>350</v>
      </c>
      <c r="AC41" s="1826"/>
      <c r="AD41" s="1826"/>
      <c r="AE41" s="1826" t="s">
        <v>349</v>
      </c>
      <c r="AF41" s="1826"/>
      <c r="AG41" s="1826"/>
      <c r="AH41" s="1750" t="s">
        <v>351</v>
      </c>
      <c r="AI41" s="1751"/>
      <c r="AJ41" s="1751"/>
      <c r="AK41" s="1750" t="s">
        <v>352</v>
      </c>
      <c r="AL41" s="1751"/>
      <c r="AM41" s="1818"/>
      <c r="AN41" s="1750" t="s">
        <v>353</v>
      </c>
      <c r="AO41" s="1751"/>
      <c r="AP41" s="1751"/>
      <c r="AQ41" s="1750" t="s">
        <v>354</v>
      </c>
      <c r="AR41" s="1751"/>
      <c r="AS41" s="1752"/>
      <c r="AT41" s="215"/>
      <c r="AU41" s="153"/>
      <c r="AV41" s="216"/>
      <c r="AW41" s="215"/>
      <c r="AX41" s="215"/>
      <c r="AY41" s="215"/>
      <c r="AZ41" s="215"/>
      <c r="BA41" s="716">
        <v>29</v>
      </c>
      <c r="BB41" s="717">
        <f t="shared" si="16"/>
        <v>0</v>
      </c>
      <c r="BC41" s="520">
        <f t="shared" si="17"/>
        <v>0</v>
      </c>
      <c r="BD41" s="702">
        <f t="shared" si="18"/>
        <v>0</v>
      </c>
      <c r="BE41" s="702">
        <f t="shared" si="18"/>
        <v>0</v>
      </c>
      <c r="BF41" s="520" t="str">
        <f>I14&amp;J14&amp;K14</f>
        <v/>
      </c>
      <c r="BG41" s="728" t="str">
        <f t="shared" ref="BG41:BG49" si="24">V14&amp;W14&amp;X14</f>
        <v/>
      </c>
      <c r="BH41" s="520" t="str">
        <f t="shared" si="21"/>
        <v/>
      </c>
      <c r="BI41" s="520" t="str">
        <f t="shared" ref="BI41:BI69" si="25">V56&amp;X56&amp;W56</f>
        <v/>
      </c>
      <c r="BJ41" s="520" t="str">
        <f>I99&amp;J99&amp;K99</f>
        <v/>
      </c>
      <c r="BK41" s="520" t="str">
        <f t="shared" si="22"/>
        <v/>
      </c>
      <c r="BL41" s="696" t="str">
        <f t="shared" ref="BL41:BL69" si="26">I142&amp;J142&amp;K142</f>
        <v/>
      </c>
      <c r="BM41" s="696" t="str">
        <f t="shared" ref="BM41:BM69" si="27">V142&amp;X142&amp;W142</f>
        <v/>
      </c>
      <c r="BN41" s="696" t="str">
        <f t="shared" si="23"/>
        <v/>
      </c>
      <c r="BO41" s="696" t="str">
        <f t="shared" ref="BO41:BO69" si="28">V185&amp;X185&amp;W185</f>
        <v/>
      </c>
      <c r="BP41" s="696" t="str">
        <f t="shared" ref="BP41:BP69" si="29">I228&amp;J228&amp;K228</f>
        <v/>
      </c>
      <c r="BQ41" s="696" t="str">
        <f t="shared" ref="BQ41:BQ69" si="30">V228&amp;X228&amp;W228</f>
        <v/>
      </c>
      <c r="BR41" s="696"/>
      <c r="BS41" s="706"/>
      <c r="BT41" s="701" t="s">
        <v>1672</v>
      </c>
      <c r="BU41" s="701" t="s">
        <v>1671</v>
      </c>
      <c r="BV41" s="701" t="s">
        <v>1673</v>
      </c>
      <c r="BW41" s="701" t="s">
        <v>1674</v>
      </c>
      <c r="BX41" s="701" t="s">
        <v>1675</v>
      </c>
      <c r="BY41" s="701" t="s">
        <v>1676</v>
      </c>
      <c r="BZ41" s="701" t="s">
        <v>1677</v>
      </c>
      <c r="CA41" s="701" t="s">
        <v>1678</v>
      </c>
      <c r="CB41" s="696"/>
      <c r="CC41" s="695" t="str">
        <f t="shared" si="19"/>
        <v>小日帰/精</v>
      </c>
      <c r="CD41" s="725">
        <f t="shared" si="20"/>
        <v>0</v>
      </c>
      <c r="CE41" s="695">
        <f>IF(OR(BU16="",BU16=0),0,85)</f>
        <v>0</v>
      </c>
      <c r="CF41" s="695">
        <v>110</v>
      </c>
      <c r="CG41" s="726">
        <v>85</v>
      </c>
      <c r="CH41" s="696"/>
      <c r="CI41" s="701"/>
      <c r="CJ41" s="701"/>
      <c r="CK41" s="696"/>
      <c r="CL41" s="696"/>
      <c r="CM41" s="696"/>
      <c r="CN41" s="696"/>
      <c r="CO41" s="696"/>
      <c r="CP41" s="696"/>
      <c r="CQ41" s="696"/>
      <c r="CR41" s="696"/>
      <c r="CS41" s="696"/>
      <c r="CT41" s="696"/>
      <c r="CU41" s="696"/>
      <c r="CV41" s="696"/>
      <c r="CW41" s="696"/>
      <c r="CX41" s="696"/>
      <c r="CY41" s="696"/>
      <c r="CZ41" s="696"/>
      <c r="DA41" s="696"/>
      <c r="DB41" s="696"/>
    </row>
    <row r="42" spans="1:106" s="2" customFormat="1" ht="60" customHeight="1">
      <c r="A42" s="1865"/>
      <c r="B42" s="1800" t="s">
        <v>2707</v>
      </c>
      <c r="C42" s="1801"/>
      <c r="D42" s="1802"/>
      <c r="E42" s="1800" t="s">
        <v>2708</v>
      </c>
      <c r="F42" s="1801"/>
      <c r="G42" s="1802"/>
      <c r="H42" s="1803" t="s">
        <v>2709</v>
      </c>
      <c r="I42" s="1804"/>
      <c r="J42" s="1805"/>
      <c r="K42" s="1803" t="s">
        <v>2710</v>
      </c>
      <c r="L42" s="1804"/>
      <c r="M42" s="1805"/>
      <c r="N42" s="1808" t="s">
        <v>2711</v>
      </c>
      <c r="O42" s="1804"/>
      <c r="P42" s="1805"/>
      <c r="Q42" s="1809" t="s">
        <v>2712</v>
      </c>
      <c r="R42" s="1804"/>
      <c r="S42" s="1805"/>
      <c r="T42" s="1809" t="s">
        <v>2840</v>
      </c>
      <c r="U42" s="1804"/>
      <c r="V42" s="1805"/>
      <c r="W42" s="1064"/>
      <c r="X42" s="1064"/>
      <c r="Y42" s="1064"/>
      <c r="Z42" s="218"/>
      <c r="AA42" s="1865"/>
      <c r="AB42" s="1800" t="s">
        <v>2707</v>
      </c>
      <c r="AC42" s="1801"/>
      <c r="AD42" s="1802"/>
      <c r="AE42" s="1800" t="s">
        <v>2708</v>
      </c>
      <c r="AF42" s="1801"/>
      <c r="AG42" s="1802"/>
      <c r="AH42" s="1803" t="s">
        <v>2709</v>
      </c>
      <c r="AI42" s="1804"/>
      <c r="AJ42" s="1805"/>
      <c r="AK42" s="1803" t="s">
        <v>2710</v>
      </c>
      <c r="AL42" s="1804"/>
      <c r="AM42" s="1805"/>
      <c r="AN42" s="1808" t="s">
        <v>2711</v>
      </c>
      <c r="AO42" s="1804"/>
      <c r="AP42" s="1805"/>
      <c r="AQ42" s="1809" t="s">
        <v>2712</v>
      </c>
      <c r="AR42" s="1804"/>
      <c r="AS42" s="1805"/>
      <c r="AT42" s="217"/>
      <c r="AU42" s="1728"/>
      <c r="AV42" s="1728"/>
      <c r="AW42" s="1064"/>
      <c r="AX42" s="1064"/>
      <c r="AY42" s="1064"/>
      <c r="AZ42" s="218"/>
      <c r="BA42" s="716">
        <v>30</v>
      </c>
      <c r="BB42" s="717">
        <f t="shared" si="16"/>
        <v>0</v>
      </c>
      <c r="BC42" s="520">
        <f t="shared" si="17"/>
        <v>0</v>
      </c>
      <c r="BD42" s="702">
        <f t="shared" si="18"/>
        <v>0</v>
      </c>
      <c r="BE42" s="702">
        <f t="shared" si="18"/>
        <v>0</v>
      </c>
      <c r="BF42" s="520" t="str">
        <f>I15&amp;J15&amp;K15</f>
        <v/>
      </c>
      <c r="BG42" s="728" t="str">
        <f t="shared" si="24"/>
        <v/>
      </c>
      <c r="BH42" s="520" t="str">
        <f t="shared" si="21"/>
        <v/>
      </c>
      <c r="BI42" s="520" t="str">
        <f t="shared" si="25"/>
        <v/>
      </c>
      <c r="BJ42" s="520" t="str">
        <f t="shared" ref="BJ42:BJ69" si="31">I100&amp;J100&amp;K100</f>
        <v/>
      </c>
      <c r="BK42" s="520" t="str">
        <f t="shared" si="22"/>
        <v/>
      </c>
      <c r="BL42" s="696" t="str">
        <f t="shared" si="26"/>
        <v/>
      </c>
      <c r="BM42" s="696" t="str">
        <f t="shared" si="27"/>
        <v/>
      </c>
      <c r="BN42" s="696" t="str">
        <f t="shared" si="23"/>
        <v/>
      </c>
      <c r="BO42" s="696" t="str">
        <f t="shared" si="28"/>
        <v/>
      </c>
      <c r="BP42" s="696" t="str">
        <f t="shared" si="29"/>
        <v/>
      </c>
      <c r="BQ42" s="696" t="str">
        <f t="shared" si="30"/>
        <v/>
      </c>
      <c r="BR42" s="696"/>
      <c r="BS42" s="713" t="s">
        <v>344</v>
      </c>
      <c r="BT42" s="696"/>
      <c r="BU42" s="696">
        <f>IF(OR(BU12="",BU12=0),0,26)</f>
        <v>0</v>
      </c>
      <c r="BV42" s="696">
        <f>IF(OR(BV12="",BV12=0),0,26)</f>
        <v>0</v>
      </c>
      <c r="BW42" s="696">
        <f>IF(OR(BW12="",BW12=0),0,26)</f>
        <v>0</v>
      </c>
      <c r="BX42" s="696"/>
      <c r="BY42" s="696"/>
      <c r="BZ42" s="696"/>
      <c r="CA42" s="696"/>
      <c r="CB42" s="696"/>
      <c r="CC42" s="695" t="str">
        <f t="shared" si="19"/>
        <v>小日帰/介添</v>
      </c>
      <c r="CD42" s="725">
        <f t="shared" si="20"/>
        <v>0</v>
      </c>
      <c r="CE42" s="695">
        <f>IF(OR(BU17="",BU17=0),0,84)</f>
        <v>0</v>
      </c>
      <c r="CF42" s="695">
        <v>110</v>
      </c>
      <c r="CG42" s="726">
        <v>84</v>
      </c>
      <c r="CH42" s="696"/>
      <c r="CI42" s="701"/>
      <c r="CJ42" s="701"/>
      <c r="CK42" s="696"/>
      <c r="CL42" s="696"/>
      <c r="CM42" s="696"/>
      <c r="CN42" s="696"/>
      <c r="CO42" s="696"/>
      <c r="CP42" s="696"/>
      <c r="CQ42" s="696"/>
      <c r="CR42" s="696"/>
      <c r="CS42" s="696"/>
      <c r="CT42" s="696"/>
      <c r="CU42" s="696"/>
      <c r="CV42" s="696"/>
      <c r="CW42" s="696"/>
      <c r="CX42" s="696"/>
      <c r="CY42" s="696"/>
      <c r="CZ42" s="696"/>
      <c r="DA42" s="696"/>
      <c r="DB42" s="696"/>
    </row>
    <row r="43" spans="1:106" ht="23.25">
      <c r="A43" s="1151" t="s">
        <v>315</v>
      </c>
      <c r="B43" s="1151"/>
      <c r="C43" s="1151"/>
      <c r="D43" s="1151"/>
      <c r="E43" s="1151"/>
      <c r="F43" s="1151"/>
      <c r="G43" s="1151"/>
      <c r="H43" s="1151"/>
      <c r="I43" s="1151"/>
      <c r="J43" s="1151"/>
      <c r="K43" s="1151"/>
      <c r="L43" s="1151"/>
      <c r="M43" s="1151"/>
      <c r="N43" s="1151"/>
      <c r="O43" s="1151"/>
      <c r="P43" s="1151"/>
      <c r="Q43" s="1151"/>
      <c r="R43" s="1151"/>
      <c r="S43" s="1151"/>
      <c r="T43" s="1151"/>
      <c r="U43" s="1151"/>
      <c r="V43" s="1151"/>
      <c r="W43" s="1151"/>
      <c r="X43" s="1151"/>
      <c r="Y43" s="1151"/>
      <c r="Z43" s="1151"/>
      <c r="AA43" s="1799" t="s">
        <v>113</v>
      </c>
      <c r="AB43" s="1799"/>
      <c r="AC43" s="1799"/>
      <c r="AD43" s="1799"/>
      <c r="AE43" s="1799"/>
      <c r="AF43" s="1799"/>
      <c r="AG43" s="1799"/>
      <c r="AH43" s="1799"/>
      <c r="AI43" s="1799"/>
      <c r="AJ43" s="1799"/>
      <c r="AK43" s="1799"/>
      <c r="AL43" s="1799"/>
      <c r="AM43" s="1799"/>
      <c r="AN43" s="1799"/>
      <c r="AO43" s="1799"/>
      <c r="AP43" s="1799"/>
      <c r="AQ43" s="1799"/>
      <c r="AR43" s="1799"/>
      <c r="AS43" s="1799"/>
      <c r="AT43" s="1799"/>
      <c r="AU43" s="1799"/>
      <c r="AV43" s="1799"/>
      <c r="AW43" s="1799"/>
      <c r="AX43" s="1799"/>
      <c r="AY43" s="1799"/>
      <c r="AZ43" s="1799"/>
      <c r="BA43" s="716">
        <v>31</v>
      </c>
      <c r="BB43" s="717">
        <f t="shared" si="16"/>
        <v>0</v>
      </c>
      <c r="BC43" s="520">
        <f t="shared" si="17"/>
        <v>0</v>
      </c>
      <c r="BD43" s="702">
        <f t="shared" si="18"/>
        <v>0</v>
      </c>
      <c r="BE43" s="702">
        <f t="shared" si="18"/>
        <v>0</v>
      </c>
      <c r="BF43" s="520" t="str">
        <f t="shared" ref="BF43:BF48" si="32">I16&amp;J16&amp;K16</f>
        <v/>
      </c>
      <c r="BG43" s="728" t="str">
        <f t="shared" si="24"/>
        <v/>
      </c>
      <c r="BH43" s="520" t="str">
        <f t="shared" si="21"/>
        <v/>
      </c>
      <c r="BI43" s="520" t="str">
        <f t="shared" si="25"/>
        <v/>
      </c>
      <c r="BJ43" s="520" t="str">
        <f t="shared" si="31"/>
        <v/>
      </c>
      <c r="BK43" s="520" t="str">
        <f t="shared" si="22"/>
        <v/>
      </c>
      <c r="BL43" s="696" t="str">
        <f t="shared" si="26"/>
        <v/>
      </c>
      <c r="BM43" s="696" t="str">
        <f t="shared" si="27"/>
        <v/>
      </c>
      <c r="BN43" s="696" t="str">
        <f t="shared" si="23"/>
        <v/>
      </c>
      <c r="BO43" s="696" t="str">
        <f t="shared" si="28"/>
        <v/>
      </c>
      <c r="BP43" s="696" t="str">
        <f t="shared" si="29"/>
        <v/>
      </c>
      <c r="BQ43" s="696" t="str">
        <f t="shared" si="30"/>
        <v/>
      </c>
      <c r="BS43" s="713" t="s">
        <v>345</v>
      </c>
      <c r="BT43" s="696">
        <f>IF(OR(BT13="",BT13=0),0,25)</f>
        <v>0</v>
      </c>
      <c r="BU43" s="696">
        <f>IF(OR(BU13="",BU13=0),0,25)</f>
        <v>0</v>
      </c>
      <c r="BV43" s="696">
        <f>IF(OR(BV13="",BV13=0),0,25)</f>
        <v>0</v>
      </c>
      <c r="BW43" s="696">
        <f>IF(OR(BW13="",BW13=0),0,25)</f>
        <v>0</v>
      </c>
      <c r="CC43" s="695" t="str">
        <f t="shared" si="19"/>
        <v>小日帰/準・特</v>
      </c>
      <c r="CD43" s="725">
        <f t="shared" si="20"/>
        <v>0</v>
      </c>
      <c r="CE43" s="695">
        <f>IF(OR(BU18="",BU18=0),0,83)</f>
        <v>0</v>
      </c>
      <c r="CF43" s="695">
        <v>110</v>
      </c>
      <c r="CG43" s="726">
        <v>83</v>
      </c>
    </row>
    <row r="44" spans="1:106" ht="24.95" customHeight="1" thickBot="1">
      <c r="A44" s="153">
        <f>COUNTIFS(K55:K84,"a",H55:H84,"&gt;0")</f>
        <v>0</v>
      </c>
      <c r="B44" s="153">
        <f>COUNTIFS(X55:X84,"a",U55:U84,"&gt;0")</f>
        <v>0</v>
      </c>
      <c r="C44" s="153">
        <f>COUNTIFS(K55:K84,"b",H55:H84,"&gt;0")</f>
        <v>0</v>
      </c>
      <c r="D44" s="153">
        <f>COUNTIFS(X55:X84,"b",U55:U84,"&gt;0")</f>
        <v>0</v>
      </c>
      <c r="E44" s="153">
        <f>COUNTIFS(K55:K84,"c",H55:H84,"&gt;0")</f>
        <v>0</v>
      </c>
      <c r="F44" s="153">
        <f>COUNTIFS(X55:X84,"c",U55:U84,"&gt;0")</f>
        <v>0</v>
      </c>
      <c r="G44" s="153">
        <f>COUNTIFS(K55:K84,"d",H55:H84,"&gt;0")</f>
        <v>0</v>
      </c>
      <c r="H44" s="153">
        <f>COUNTIFS(X55:X84,"d",U55:U84,"&gt;0")</f>
        <v>0</v>
      </c>
      <c r="I44" s="153">
        <f>COUNTIFS(K55:K84,"e",H55:H84,"&gt;0")</f>
        <v>0</v>
      </c>
      <c r="J44" s="153">
        <f>COUNTIFS(X55:X84,"e",U55:U84,"&gt;0")</f>
        <v>0</v>
      </c>
      <c r="K44" s="153">
        <f>COUNTIFS(K55:K84,"f",H55:H84,"&gt;0")</f>
        <v>0</v>
      </c>
      <c r="L44" s="153">
        <f>COUNTIFS(X55:X84,"f",U55:U84,"&gt;0")</f>
        <v>0</v>
      </c>
      <c r="M44" s="184">
        <f>COUNTIFS(K55:K84,"g",H55:H84,"&gt;0")</f>
        <v>0</v>
      </c>
      <c r="N44" s="184">
        <f>COUNTIFS(X55:X84,"g",U55:U84,"&gt;0")</f>
        <v>0</v>
      </c>
      <c r="O44" s="184">
        <f>COUNTIFS(K55:K84,"h",H55:H84,"&gt;0")</f>
        <v>0</v>
      </c>
      <c r="P44" s="184">
        <f>COUNTIFS(X55:X84,"h",U55:U84,"&gt;0")</f>
        <v>0</v>
      </c>
      <c r="Q44" s="184">
        <f>COUNTIFS(K55:K84,"i",H55:H84,"&gt;0")</f>
        <v>0</v>
      </c>
      <c r="R44" s="184">
        <f>COUNTIFS(X55:X84,"i",U55:U84,"&gt;0")</f>
        <v>0</v>
      </c>
      <c r="S44" s="185">
        <f>SUM(A44:R44)</f>
        <v>0</v>
      </c>
      <c r="T44" s="179"/>
      <c r="U44" s="179"/>
      <c r="V44" s="179"/>
      <c r="W44" s="1797" t="s">
        <v>316</v>
      </c>
      <c r="X44" s="1797"/>
      <c r="Y44" s="1797">
        <v>2</v>
      </c>
      <c r="Z44" s="1797"/>
      <c r="AA44" s="1799"/>
      <c r="AB44" s="1799"/>
      <c r="AC44" s="1799"/>
      <c r="AD44" s="1799"/>
      <c r="AE44" s="1799"/>
      <c r="AF44" s="1799"/>
      <c r="AG44" s="1799"/>
      <c r="AH44" s="1799"/>
      <c r="AI44" s="1799"/>
      <c r="AJ44" s="1799"/>
      <c r="AK44" s="1799"/>
      <c r="AL44" s="1799"/>
      <c r="AM44" s="1799"/>
      <c r="AN44" s="1799"/>
      <c r="AO44" s="1799"/>
      <c r="AP44" s="1799"/>
      <c r="AQ44" s="1799"/>
      <c r="AR44" s="1799"/>
      <c r="AS44" s="1799"/>
      <c r="AT44" s="1799"/>
      <c r="AU44" s="1799"/>
      <c r="AV44" s="1799"/>
      <c r="AW44" s="1799"/>
      <c r="AX44" s="1799"/>
      <c r="AY44" s="1799"/>
      <c r="AZ44" s="1799"/>
      <c r="BA44" s="716">
        <v>32</v>
      </c>
      <c r="BB44" s="717">
        <f t="shared" si="16"/>
        <v>0</v>
      </c>
      <c r="BC44" s="520">
        <f t="shared" si="17"/>
        <v>0</v>
      </c>
      <c r="BD44" s="702">
        <f t="shared" si="18"/>
        <v>0</v>
      </c>
      <c r="BE44" s="702">
        <f t="shared" si="18"/>
        <v>0</v>
      </c>
      <c r="BF44" s="520" t="str">
        <f t="shared" si="32"/>
        <v/>
      </c>
      <c r="BG44" s="728" t="str">
        <f t="shared" si="24"/>
        <v/>
      </c>
      <c r="BH44" s="520" t="str">
        <f t="shared" si="21"/>
        <v/>
      </c>
      <c r="BI44" s="520" t="str">
        <f t="shared" si="25"/>
        <v/>
      </c>
      <c r="BJ44" s="520" t="str">
        <f t="shared" si="31"/>
        <v/>
      </c>
      <c r="BK44" s="520" t="str">
        <f t="shared" si="22"/>
        <v/>
      </c>
      <c r="BL44" s="696" t="str">
        <f t="shared" si="26"/>
        <v/>
      </c>
      <c r="BM44" s="696" t="str">
        <f t="shared" si="27"/>
        <v/>
      </c>
      <c r="BN44" s="696" t="str">
        <f t="shared" si="23"/>
        <v/>
      </c>
      <c r="BO44" s="696" t="str">
        <f t="shared" si="28"/>
        <v/>
      </c>
      <c r="BP44" s="696" t="str">
        <f t="shared" si="29"/>
        <v/>
      </c>
      <c r="BQ44" s="696" t="str">
        <f t="shared" si="30"/>
        <v/>
      </c>
      <c r="BS44" s="695" t="s">
        <v>346</v>
      </c>
      <c r="BT44" s="696">
        <f>IF(OR(BT14="",BT14=0),0,24)</f>
        <v>0</v>
      </c>
      <c r="BU44" s="696">
        <f>IF(OR(BU14="",BU14=0),0,24)</f>
        <v>0</v>
      </c>
      <c r="BV44" s="696">
        <f>IF(OR(BV14="",BV14=0),0,24)</f>
        <v>0</v>
      </c>
      <c r="BW44" s="696">
        <f>IF(OR(BW14="",BW14=0),0,24)</f>
        <v>0</v>
      </c>
      <c r="CC44" s="695" t="str">
        <f t="shared" si="19"/>
        <v>小日帰/準・身</v>
      </c>
      <c r="CD44" s="725">
        <f t="shared" si="20"/>
        <v>0</v>
      </c>
      <c r="CE44" s="695">
        <f>IF(OR(BU19="",BU19=0),0,82)</f>
        <v>0</v>
      </c>
      <c r="CF44" s="695">
        <v>110</v>
      </c>
      <c r="CG44" s="726">
        <v>82</v>
      </c>
    </row>
    <row r="45" spans="1:106" ht="24" customHeight="1">
      <c r="A45" s="184">
        <f>COUNTIFS(K55:K84,"a",I55:I84,"&gt;0")</f>
        <v>0</v>
      </c>
      <c r="B45" s="184">
        <f>COUNTIFS(X55:X84,"a",V55:V84,"&gt;0")</f>
        <v>0</v>
      </c>
      <c r="C45" s="184">
        <f>COUNTIFS(K55:K84,"b",I55:I84,"&gt;0")</f>
        <v>0</v>
      </c>
      <c r="D45" s="184">
        <f>COUNTIFS(X55:X84,"b",V55:V84,"&gt;0")</f>
        <v>0</v>
      </c>
      <c r="E45" s="184">
        <f>COUNTIFS(K55:K84,"c",I55:I84,"&gt;0")</f>
        <v>0</v>
      </c>
      <c r="F45" s="184">
        <f>COUNTIFS(X55:X84,"c",V55:V84,"&gt;0")</f>
        <v>0</v>
      </c>
      <c r="G45" s="184">
        <f>COUNTIFS(K55:K84,"d",I55:I84,"&gt;0")</f>
        <v>0</v>
      </c>
      <c r="H45" s="184">
        <f>COUNTIFS(X55:X84,"d",V55:V84,"&gt;0")</f>
        <v>0</v>
      </c>
      <c r="I45" s="184">
        <f>COUNTIFS(K55:K84,"e",I55:I84,"&gt;0")</f>
        <v>0</v>
      </c>
      <c r="J45" s="184">
        <f>COUNTIFS(X55:X84,"e",V55:V84,"&gt;0")</f>
        <v>0</v>
      </c>
      <c r="K45" s="184">
        <f>COUNTIFS(K55:K84,"f",I55:I84,"&gt;0")</f>
        <v>0</v>
      </c>
      <c r="L45" s="184">
        <f>COUNTIFS(X55:X84,"f",V55:V84,"&gt;0")</f>
        <v>0</v>
      </c>
      <c r="M45" s="184">
        <f>COUNTIFS(K55:K84,"g",I55:I84,"&gt;0")</f>
        <v>0</v>
      </c>
      <c r="N45" s="184">
        <f>COUNTIFS(X55:X84,"g",V55:V84,"&gt;0")</f>
        <v>0</v>
      </c>
      <c r="O45" s="184">
        <f>COUNTIFS(K55:K84,"h",I55:I84,"&gt;0")</f>
        <v>0</v>
      </c>
      <c r="P45" s="184">
        <f>COUNTIFS(X55:X84,"h",V55:V84,"&gt;0")</f>
        <v>0</v>
      </c>
      <c r="Q45" s="184">
        <f>COUNTIFS(K55:K84,"i",I55:I84,"&gt;0")</f>
        <v>0</v>
      </c>
      <c r="R45" s="184">
        <f>COUNTIFS(X55:X84,"i",V55:V84,"&gt;0")</f>
        <v>0</v>
      </c>
      <c r="S45" s="185">
        <f>SUM(A45:R45)</f>
        <v>0</v>
      </c>
      <c r="T45" s="185"/>
      <c r="U45" s="185"/>
      <c r="V45" s="185"/>
      <c r="W45" s="219"/>
      <c r="X45" s="219"/>
      <c r="Y45" s="219"/>
      <c r="Z45" s="219"/>
      <c r="AA45" s="1799"/>
      <c r="AB45" s="1799"/>
      <c r="AC45" s="1799"/>
      <c r="AD45" s="1799"/>
      <c r="AE45" s="1799"/>
      <c r="AF45" s="1799"/>
      <c r="AG45" s="1799"/>
      <c r="AH45" s="1799"/>
      <c r="AI45" s="1799"/>
      <c r="AJ45" s="1799"/>
      <c r="AK45" s="1799"/>
      <c r="AL45" s="1799"/>
      <c r="AM45" s="1799"/>
      <c r="AN45" s="1799"/>
      <c r="AO45" s="1799"/>
      <c r="AP45" s="1799"/>
      <c r="AQ45" s="1799"/>
      <c r="AR45" s="1799"/>
      <c r="AS45" s="1799"/>
      <c r="AT45" s="1799"/>
      <c r="AU45" s="1799"/>
      <c r="AV45" s="1799"/>
      <c r="AW45" s="1799"/>
      <c r="AX45" s="1799"/>
      <c r="AY45" s="1799"/>
      <c r="AZ45" s="1799"/>
      <c r="BA45" s="716">
        <v>33</v>
      </c>
      <c r="BB45" s="717">
        <f t="shared" si="16"/>
        <v>0</v>
      </c>
      <c r="BC45" s="520">
        <f t="shared" si="17"/>
        <v>0</v>
      </c>
      <c r="BD45" s="702">
        <f t="shared" si="18"/>
        <v>0</v>
      </c>
      <c r="BE45" s="702">
        <f t="shared" si="18"/>
        <v>0</v>
      </c>
      <c r="BF45" s="520" t="str">
        <f t="shared" si="32"/>
        <v/>
      </c>
      <c r="BG45" s="728" t="str">
        <f t="shared" si="24"/>
        <v/>
      </c>
      <c r="BH45" s="520" t="str">
        <f t="shared" si="21"/>
        <v/>
      </c>
      <c r="BI45" s="520" t="str">
        <f t="shared" si="25"/>
        <v/>
      </c>
      <c r="BJ45" s="520" t="str">
        <f t="shared" si="31"/>
        <v/>
      </c>
      <c r="BK45" s="520" t="str">
        <f t="shared" si="22"/>
        <v/>
      </c>
      <c r="BL45" s="696" t="str">
        <f t="shared" si="26"/>
        <v/>
      </c>
      <c r="BM45" s="696" t="str">
        <f t="shared" si="27"/>
        <v/>
      </c>
      <c r="BN45" s="696" t="str">
        <f t="shared" si="23"/>
        <v/>
      </c>
      <c r="BO45" s="696" t="str">
        <f t="shared" si="28"/>
        <v/>
      </c>
      <c r="BP45" s="696" t="str">
        <f t="shared" si="29"/>
        <v/>
      </c>
      <c r="BQ45" s="696" t="str">
        <f t="shared" si="30"/>
        <v/>
      </c>
      <c r="BS45" s="695" t="s">
        <v>347</v>
      </c>
      <c r="BT45" s="696">
        <f>IF(OR(BT15="",BT15=0),0,23)</f>
        <v>0</v>
      </c>
      <c r="BU45" s="696">
        <f>IF(OR(BU15="",BU15=0),0,23)</f>
        <v>0</v>
      </c>
      <c r="BV45" s="696">
        <f>IF(OR(BV15="",BV15=0),0,23)</f>
        <v>0</v>
      </c>
      <c r="BW45" s="696">
        <f>IF(OR(BW15="",BW15=0),0,23)</f>
        <v>0</v>
      </c>
      <c r="CC45" s="695" t="str">
        <f t="shared" si="19"/>
        <v>小日帰/準・療</v>
      </c>
      <c r="CD45" s="725">
        <f t="shared" si="20"/>
        <v>0</v>
      </c>
      <c r="CE45" s="695">
        <f>IF(OR(BU20="",BU20=0),0,81)</f>
        <v>0</v>
      </c>
      <c r="CF45" s="695">
        <v>110</v>
      </c>
      <c r="CG45" s="726">
        <v>81</v>
      </c>
    </row>
    <row r="46" spans="1:106" ht="36" customHeight="1">
      <c r="A46" s="1144" t="s">
        <v>71</v>
      </c>
      <c r="B46" s="1144"/>
      <c r="C46" s="1851">
        <f>C4</f>
        <v>0</v>
      </c>
      <c r="D46" s="1851"/>
      <c r="E46" s="1851"/>
      <c r="F46" s="1851"/>
      <c r="G46" s="1851"/>
      <c r="H46" s="1851"/>
      <c r="I46" s="1851"/>
      <c r="J46" s="1851"/>
      <c r="K46" s="1851"/>
      <c r="L46" s="1851"/>
      <c r="M46" s="1851"/>
      <c r="N46" s="1851"/>
      <c r="O46" s="1851"/>
      <c r="P46" s="1851"/>
      <c r="Q46" s="1851"/>
      <c r="R46" s="1851"/>
      <c r="S46" s="1851"/>
      <c r="T46" s="1851"/>
      <c r="U46" s="178"/>
      <c r="V46" s="178"/>
      <c r="W46" s="178"/>
      <c r="X46" s="178"/>
      <c r="Y46" s="178"/>
      <c r="Z46" s="178"/>
      <c r="AA46" s="1799"/>
      <c r="AB46" s="1799"/>
      <c r="AC46" s="1799"/>
      <c r="AD46" s="1799"/>
      <c r="AE46" s="1799"/>
      <c r="AF46" s="1799"/>
      <c r="AG46" s="1799"/>
      <c r="AH46" s="1799"/>
      <c r="AI46" s="1799"/>
      <c r="AJ46" s="1799"/>
      <c r="AK46" s="1799"/>
      <c r="AL46" s="1799"/>
      <c r="AM46" s="1799"/>
      <c r="AN46" s="1799"/>
      <c r="AO46" s="1799"/>
      <c r="AP46" s="1799"/>
      <c r="AQ46" s="1799"/>
      <c r="AR46" s="1799"/>
      <c r="AS46" s="1799"/>
      <c r="AT46" s="1799"/>
      <c r="AU46" s="1799"/>
      <c r="AV46" s="1799"/>
      <c r="AW46" s="1799"/>
      <c r="AX46" s="1799"/>
      <c r="AY46" s="1799"/>
      <c r="AZ46" s="1799"/>
      <c r="BA46" s="716">
        <v>34</v>
      </c>
      <c r="BB46" s="717">
        <f t="shared" si="16"/>
        <v>0</v>
      </c>
      <c r="BC46" s="520">
        <f t="shared" si="17"/>
        <v>0</v>
      </c>
      <c r="BD46" s="702">
        <f t="shared" si="18"/>
        <v>0</v>
      </c>
      <c r="BE46" s="702">
        <f t="shared" si="18"/>
        <v>0</v>
      </c>
      <c r="BF46" s="520" t="str">
        <f t="shared" si="32"/>
        <v/>
      </c>
      <c r="BG46" s="728" t="str">
        <f t="shared" si="24"/>
        <v/>
      </c>
      <c r="BH46" s="520" t="str">
        <f t="shared" si="21"/>
        <v/>
      </c>
      <c r="BI46" s="520" t="str">
        <f t="shared" si="25"/>
        <v/>
      </c>
      <c r="BJ46" s="520" t="str">
        <f t="shared" si="31"/>
        <v/>
      </c>
      <c r="BK46" s="520" t="str">
        <f t="shared" si="22"/>
        <v/>
      </c>
      <c r="BL46" s="696" t="str">
        <f t="shared" si="26"/>
        <v/>
      </c>
      <c r="BM46" s="696" t="str">
        <f t="shared" si="27"/>
        <v/>
      </c>
      <c r="BN46" s="696" t="str">
        <f t="shared" si="23"/>
        <v/>
      </c>
      <c r="BO46" s="696" t="str">
        <f t="shared" si="28"/>
        <v/>
      </c>
      <c r="BP46" s="696" t="str">
        <f t="shared" si="29"/>
        <v/>
      </c>
      <c r="BQ46" s="696" t="str">
        <f t="shared" si="30"/>
        <v/>
      </c>
      <c r="BS46" s="695" t="s">
        <v>348</v>
      </c>
      <c r="BT46" s="696">
        <f>IF(OR(BT16="",BT16=0),0,22)</f>
        <v>0</v>
      </c>
      <c r="BU46" s="696">
        <f>IF(OR(BU16="",BU16=0),0,22)</f>
        <v>0</v>
      </c>
      <c r="BV46" s="696">
        <f>IF(OR(BV16="",BV16=0),0,22)</f>
        <v>0</v>
      </c>
      <c r="BW46" s="696">
        <f>IF(OR(BW16="",BW16=0),0,22)</f>
        <v>0</v>
      </c>
      <c r="CC46" s="695" t="str">
        <f t="shared" si="19"/>
        <v>小日帰/準・精</v>
      </c>
      <c r="CD46" s="725">
        <f t="shared" si="20"/>
        <v>0</v>
      </c>
      <c r="CE46" s="695">
        <f>IF(OR(BU21="",BU21=0),0,80)</f>
        <v>0</v>
      </c>
      <c r="CF46" s="695">
        <v>110</v>
      </c>
      <c r="CG46" s="726">
        <v>80</v>
      </c>
    </row>
    <row r="47" spans="1:106" ht="15.95" customHeight="1">
      <c r="A47" s="1203" t="s">
        <v>69</v>
      </c>
      <c r="B47" s="1203"/>
      <c r="C47" s="1725" t="str">
        <f>C5</f>
        <v>令和</v>
      </c>
      <c r="D47" s="1725"/>
      <c r="E47" s="1819" t="s">
        <v>14</v>
      </c>
      <c r="F47" s="1725">
        <f>F5</f>
        <v>0</v>
      </c>
      <c r="G47" s="1819" t="s">
        <v>13</v>
      </c>
      <c r="H47" s="1825">
        <f>H5</f>
        <v>0</v>
      </c>
      <c r="I47" s="1819" t="s">
        <v>12</v>
      </c>
      <c r="J47" s="1819" t="s">
        <v>317</v>
      </c>
      <c r="K47" s="1825">
        <f>K5</f>
        <v>0</v>
      </c>
      <c r="L47" s="1819" t="s">
        <v>296</v>
      </c>
      <c r="M47" s="1819" t="s">
        <v>318</v>
      </c>
      <c r="N47" s="1825">
        <f>N5</f>
        <v>0</v>
      </c>
      <c r="O47" s="1819" t="s">
        <v>13</v>
      </c>
      <c r="P47" s="1825">
        <f>P5</f>
        <v>0</v>
      </c>
      <c r="Q47" s="1819" t="s">
        <v>12</v>
      </c>
      <c r="R47" s="1819" t="s">
        <v>290</v>
      </c>
      <c r="S47" s="1825">
        <f>S5</f>
        <v>0</v>
      </c>
      <c r="T47" s="1819" t="s">
        <v>293</v>
      </c>
      <c r="U47" s="1819"/>
      <c r="V47" s="1819"/>
      <c r="W47" s="187">
        <f>W5</f>
        <v>0</v>
      </c>
      <c r="X47" s="153" t="s">
        <v>38</v>
      </c>
      <c r="Y47" s="187">
        <f>Y5</f>
        <v>0</v>
      </c>
      <c r="Z47" s="153" t="s">
        <v>12</v>
      </c>
      <c r="AA47" s="1873" t="s">
        <v>114</v>
      </c>
      <c r="AB47" s="1873"/>
      <c r="AC47" s="1873"/>
      <c r="AD47" s="1873"/>
      <c r="AE47" s="1873"/>
      <c r="AF47" s="1873"/>
      <c r="AG47" s="1873"/>
      <c r="AH47" s="1873"/>
      <c r="AI47" s="1873"/>
      <c r="AJ47" s="1873"/>
      <c r="AK47" s="1873"/>
      <c r="AL47" s="1873"/>
      <c r="AM47" s="1873"/>
      <c r="AN47" s="1873"/>
      <c r="AO47" s="1873"/>
      <c r="AP47" s="1873"/>
      <c r="AQ47" s="1873"/>
      <c r="AR47" s="1873"/>
      <c r="AS47" s="1873"/>
      <c r="AT47" s="1873"/>
      <c r="AU47" s="1873"/>
      <c r="AV47" s="1873"/>
      <c r="AW47" s="1873"/>
      <c r="AX47" s="1873"/>
      <c r="AY47" s="1873"/>
      <c r="AZ47" s="1873"/>
      <c r="BA47" s="716">
        <v>35</v>
      </c>
      <c r="BB47" s="717">
        <f t="shared" si="16"/>
        <v>0</v>
      </c>
      <c r="BC47" s="520">
        <f t="shared" si="17"/>
        <v>0</v>
      </c>
      <c r="BD47" s="702">
        <f t="shared" si="18"/>
        <v>0</v>
      </c>
      <c r="BE47" s="702">
        <f t="shared" si="18"/>
        <v>0</v>
      </c>
      <c r="BF47" s="520" t="str">
        <f t="shared" si="32"/>
        <v/>
      </c>
      <c r="BG47" s="728" t="str">
        <f t="shared" si="24"/>
        <v/>
      </c>
      <c r="BH47" s="520" t="str">
        <f t="shared" si="21"/>
        <v/>
      </c>
      <c r="BI47" s="520" t="str">
        <f t="shared" si="25"/>
        <v/>
      </c>
      <c r="BJ47" s="520" t="str">
        <f t="shared" si="31"/>
        <v/>
      </c>
      <c r="BK47" s="520" t="str">
        <f t="shared" si="22"/>
        <v/>
      </c>
      <c r="BL47" s="696" t="str">
        <f t="shared" si="26"/>
        <v/>
      </c>
      <c r="BM47" s="696" t="str">
        <f t="shared" si="27"/>
        <v/>
      </c>
      <c r="BN47" s="696" t="str">
        <f t="shared" si="23"/>
        <v/>
      </c>
      <c r="BO47" s="696" t="str">
        <f t="shared" si="28"/>
        <v/>
      </c>
      <c r="BP47" s="696" t="str">
        <f t="shared" si="29"/>
        <v/>
      </c>
      <c r="BQ47" s="696" t="str">
        <f t="shared" si="30"/>
        <v/>
      </c>
      <c r="BS47" s="719" t="s">
        <v>382</v>
      </c>
      <c r="BT47" s="696">
        <f>IF(OR(BT17="",BT17=0),0,21)</f>
        <v>0</v>
      </c>
      <c r="BU47" s="696">
        <f>IF(OR(BU17="",BU17=0),0,21)</f>
        <v>0</v>
      </c>
      <c r="BV47" s="696">
        <f>IF(OR(BV17="",BV17=0),0,21)</f>
        <v>0</v>
      </c>
      <c r="BW47" s="696">
        <f>IF(OR(BW17="",BW17=0),0,21)</f>
        <v>0</v>
      </c>
      <c r="CC47" s="695" t="str">
        <f t="shared" si="19"/>
        <v>小日帰/特・身</v>
      </c>
      <c r="CD47" s="725">
        <f t="shared" si="20"/>
        <v>0</v>
      </c>
      <c r="CE47" s="695">
        <f>IF(OR(BU22="",BU22=0),0,79)</f>
        <v>0</v>
      </c>
      <c r="CF47" s="695">
        <v>110</v>
      </c>
      <c r="CG47" s="726">
        <v>79</v>
      </c>
    </row>
    <row r="48" spans="1:106" ht="15.95" customHeight="1">
      <c r="A48" s="1144"/>
      <c r="B48" s="1144"/>
      <c r="C48" s="1726"/>
      <c r="D48" s="1726"/>
      <c r="E48" s="1820"/>
      <c r="F48" s="1726"/>
      <c r="G48" s="1820"/>
      <c r="H48" s="1726"/>
      <c r="I48" s="1820"/>
      <c r="J48" s="1820"/>
      <c r="K48" s="1726"/>
      <c r="L48" s="1820"/>
      <c r="M48" s="1820"/>
      <c r="N48" s="1726"/>
      <c r="O48" s="1820"/>
      <c r="P48" s="1726"/>
      <c r="Q48" s="1820"/>
      <c r="R48" s="1820"/>
      <c r="S48" s="1726"/>
      <c r="T48" s="1820"/>
      <c r="U48" s="1819"/>
      <c r="V48" s="1819"/>
      <c r="W48" s="1819" t="s">
        <v>39</v>
      </c>
      <c r="X48" s="1819"/>
      <c r="Y48" s="189" t="str">
        <f>Y6</f>
        <v/>
      </c>
      <c r="Z48" s="153" t="s">
        <v>12</v>
      </c>
      <c r="AA48" s="1873"/>
      <c r="AB48" s="1873"/>
      <c r="AC48" s="1873"/>
      <c r="AD48" s="1873"/>
      <c r="AE48" s="1873"/>
      <c r="AF48" s="1873"/>
      <c r="AG48" s="1873"/>
      <c r="AH48" s="1873"/>
      <c r="AI48" s="1873"/>
      <c r="AJ48" s="1873"/>
      <c r="AK48" s="1873"/>
      <c r="AL48" s="1873"/>
      <c r="AM48" s="1873"/>
      <c r="AN48" s="1873"/>
      <c r="AO48" s="1873"/>
      <c r="AP48" s="1873"/>
      <c r="AQ48" s="1873"/>
      <c r="AR48" s="1873"/>
      <c r="AS48" s="1873"/>
      <c r="AT48" s="1873"/>
      <c r="AU48" s="1873"/>
      <c r="AV48" s="1873"/>
      <c r="AW48" s="1873"/>
      <c r="AX48" s="1873"/>
      <c r="AY48" s="1873"/>
      <c r="AZ48" s="1873"/>
      <c r="BA48" s="716">
        <v>36</v>
      </c>
      <c r="BB48" s="717">
        <f t="shared" si="16"/>
        <v>0</v>
      </c>
      <c r="BC48" s="520">
        <f t="shared" si="17"/>
        <v>0</v>
      </c>
      <c r="BD48" s="702">
        <f t="shared" si="18"/>
        <v>0</v>
      </c>
      <c r="BE48" s="702">
        <f t="shared" si="18"/>
        <v>0</v>
      </c>
      <c r="BF48" s="520" t="str">
        <f t="shared" si="32"/>
        <v/>
      </c>
      <c r="BG48" s="728" t="str">
        <f t="shared" si="24"/>
        <v/>
      </c>
      <c r="BH48" s="520" t="str">
        <f t="shared" si="21"/>
        <v/>
      </c>
      <c r="BI48" s="520" t="str">
        <f t="shared" si="25"/>
        <v/>
      </c>
      <c r="BJ48" s="520" t="str">
        <f t="shared" si="31"/>
        <v/>
      </c>
      <c r="BK48" s="520" t="str">
        <f t="shared" si="22"/>
        <v/>
      </c>
      <c r="BL48" s="696" t="str">
        <f t="shared" si="26"/>
        <v/>
      </c>
      <c r="BM48" s="696" t="str">
        <f t="shared" si="27"/>
        <v/>
      </c>
      <c r="BN48" s="696" t="str">
        <f t="shared" si="23"/>
        <v/>
      </c>
      <c r="BO48" s="696" t="str">
        <f t="shared" si="28"/>
        <v/>
      </c>
      <c r="BP48" s="696" t="str">
        <f t="shared" si="29"/>
        <v/>
      </c>
      <c r="BQ48" s="696" t="str">
        <f t="shared" si="30"/>
        <v/>
      </c>
      <c r="BS48" s="713" t="s">
        <v>355</v>
      </c>
      <c r="BT48" s="696">
        <f>IF(OR(BT18="",BT18=0),0,20)</f>
        <v>0</v>
      </c>
      <c r="BU48" s="696">
        <f>IF(OR(BU18="",BU18=0),0,20)</f>
        <v>0</v>
      </c>
      <c r="BV48" s="696">
        <f>IF(OR(BV18="",BV18=0),0,20)</f>
        <v>0</v>
      </c>
      <c r="BW48" s="696">
        <f>IF(OR(BW18="",BW18=0),0,20)</f>
        <v>0</v>
      </c>
      <c r="CC48" s="695" t="str">
        <f t="shared" si="19"/>
        <v>小日帰/特・療</v>
      </c>
      <c r="CD48" s="725">
        <f t="shared" si="20"/>
        <v>0</v>
      </c>
      <c r="CE48" s="695">
        <f>IF(OR(BU23="",BU23=0),0,78)</f>
        <v>0</v>
      </c>
      <c r="CF48" s="695">
        <v>110</v>
      </c>
      <c r="CG48" s="726">
        <v>78</v>
      </c>
    </row>
    <row r="49" spans="1:85" ht="15" customHeight="1">
      <c r="A49" s="190"/>
      <c r="B49" s="190"/>
      <c r="C49" s="190"/>
      <c r="D49" s="190"/>
      <c r="E49" s="190"/>
      <c r="F49" s="190"/>
      <c r="G49" s="190"/>
      <c r="H49" s="190"/>
      <c r="I49" s="190"/>
      <c r="J49" s="190"/>
      <c r="K49" s="190"/>
      <c r="L49" s="190"/>
      <c r="M49" s="190"/>
      <c r="N49" s="190"/>
      <c r="O49" s="190"/>
      <c r="P49" s="190"/>
      <c r="Q49" s="190"/>
      <c r="R49" s="190"/>
      <c r="S49" s="190"/>
      <c r="T49" s="190"/>
      <c r="U49" s="191"/>
      <c r="V49" s="191"/>
      <c r="W49" s="191"/>
      <c r="X49" s="191"/>
      <c r="Y49" s="191"/>
      <c r="Z49" s="191"/>
      <c r="AA49" s="1873"/>
      <c r="AB49" s="1873"/>
      <c r="AC49" s="1873"/>
      <c r="AD49" s="1873"/>
      <c r="AE49" s="1873"/>
      <c r="AF49" s="1873"/>
      <c r="AG49" s="1873"/>
      <c r="AH49" s="1873"/>
      <c r="AI49" s="1873"/>
      <c r="AJ49" s="1873"/>
      <c r="AK49" s="1873"/>
      <c r="AL49" s="1873"/>
      <c r="AM49" s="1873"/>
      <c r="AN49" s="1873"/>
      <c r="AO49" s="1873"/>
      <c r="AP49" s="1873"/>
      <c r="AQ49" s="1873"/>
      <c r="AR49" s="1873"/>
      <c r="AS49" s="1873"/>
      <c r="AT49" s="1873"/>
      <c r="AU49" s="1873"/>
      <c r="AV49" s="1873"/>
      <c r="AW49" s="1873"/>
      <c r="AX49" s="1873"/>
      <c r="AY49" s="1873"/>
      <c r="AZ49" s="1873"/>
      <c r="BA49" s="716">
        <v>37</v>
      </c>
      <c r="BB49" s="717">
        <f t="shared" si="16"/>
        <v>0</v>
      </c>
      <c r="BC49" s="520">
        <f t="shared" si="17"/>
        <v>0</v>
      </c>
      <c r="BD49" s="702">
        <f t="shared" si="18"/>
        <v>0</v>
      </c>
      <c r="BE49" s="702">
        <f t="shared" si="18"/>
        <v>0</v>
      </c>
      <c r="BF49" s="520" t="str">
        <f>I22&amp;J22&amp;K22</f>
        <v/>
      </c>
      <c r="BG49" s="728" t="str">
        <f t="shared" si="24"/>
        <v/>
      </c>
      <c r="BH49" s="520" t="str">
        <f t="shared" si="21"/>
        <v/>
      </c>
      <c r="BI49" s="520" t="str">
        <f t="shared" si="25"/>
        <v/>
      </c>
      <c r="BJ49" s="520" t="str">
        <f t="shared" si="31"/>
        <v/>
      </c>
      <c r="BK49" s="520" t="str">
        <f t="shared" si="22"/>
        <v/>
      </c>
      <c r="BL49" s="696" t="str">
        <f t="shared" si="26"/>
        <v/>
      </c>
      <c r="BM49" s="696" t="str">
        <f t="shared" si="27"/>
        <v/>
      </c>
      <c r="BN49" s="696" t="str">
        <f t="shared" si="23"/>
        <v/>
      </c>
      <c r="BO49" s="696" t="str">
        <f t="shared" si="28"/>
        <v/>
      </c>
      <c r="BP49" s="696" t="str">
        <f t="shared" si="29"/>
        <v/>
      </c>
      <c r="BQ49" s="696" t="str">
        <f t="shared" si="30"/>
        <v/>
      </c>
      <c r="BS49" s="695" t="s">
        <v>356</v>
      </c>
      <c r="BT49" s="696">
        <f>IF(OR(BT19="",BT19=0),0,19)</f>
        <v>0</v>
      </c>
      <c r="BU49" s="696">
        <f>IF(OR(BU19="",BU19=0),0,19)</f>
        <v>0</v>
      </c>
      <c r="BV49" s="696">
        <f>IF(OR(BV19="",BV19=0),0,19)</f>
        <v>0</v>
      </c>
      <c r="BW49" s="696">
        <f>IF(OR(BW19="",BW19=0),0,19)</f>
        <v>0</v>
      </c>
      <c r="CC49" s="695" t="str">
        <f t="shared" si="19"/>
        <v>小日帰/特・精</v>
      </c>
      <c r="CD49" s="725">
        <f t="shared" si="20"/>
        <v>0</v>
      </c>
      <c r="CE49" s="695">
        <f>IF(OR(BU24="",BU24=0),0,77)</f>
        <v>0</v>
      </c>
      <c r="CF49" s="695">
        <v>110</v>
      </c>
      <c r="CG49" s="726">
        <v>77</v>
      </c>
    </row>
    <row r="50" spans="1:85" ht="13.5" customHeight="1">
      <c r="A50" s="1786" t="s">
        <v>319</v>
      </c>
      <c r="B50" s="1729" t="s">
        <v>108</v>
      </c>
      <c r="C50" s="1730"/>
      <c r="D50" s="1730"/>
      <c r="E50" s="1730"/>
      <c r="F50" s="1730"/>
      <c r="G50" s="1848"/>
      <c r="H50" s="1847" t="s">
        <v>109</v>
      </c>
      <c r="I50" s="1848"/>
      <c r="J50" s="1729" t="s">
        <v>110</v>
      </c>
      <c r="K50" s="1730"/>
      <c r="L50" s="1730"/>
      <c r="M50" s="1731"/>
      <c r="N50" s="1858" t="s">
        <v>319</v>
      </c>
      <c r="O50" s="1729" t="s">
        <v>108</v>
      </c>
      <c r="P50" s="1730"/>
      <c r="Q50" s="1730"/>
      <c r="R50" s="1730"/>
      <c r="S50" s="1730"/>
      <c r="T50" s="1848"/>
      <c r="U50" s="1847" t="s">
        <v>109</v>
      </c>
      <c r="V50" s="1848"/>
      <c r="W50" s="1729" t="s">
        <v>110</v>
      </c>
      <c r="X50" s="1730"/>
      <c r="Y50" s="1730"/>
      <c r="Z50" s="1731"/>
      <c r="AA50" s="1873"/>
      <c r="AB50" s="1873"/>
      <c r="AC50" s="1873"/>
      <c r="AD50" s="1873"/>
      <c r="AE50" s="1873"/>
      <c r="AF50" s="1873"/>
      <c r="AG50" s="1873"/>
      <c r="AH50" s="1873"/>
      <c r="AI50" s="1873"/>
      <c r="AJ50" s="1873"/>
      <c r="AK50" s="1873"/>
      <c r="AL50" s="1873"/>
      <c r="AM50" s="1873"/>
      <c r="AN50" s="1873"/>
      <c r="AO50" s="1873"/>
      <c r="AP50" s="1873"/>
      <c r="AQ50" s="1873"/>
      <c r="AR50" s="1873"/>
      <c r="AS50" s="1873"/>
      <c r="AT50" s="1873"/>
      <c r="AU50" s="1873"/>
      <c r="AV50" s="1873"/>
      <c r="AW50" s="1873"/>
      <c r="AX50" s="1873"/>
      <c r="AY50" s="1873"/>
      <c r="AZ50" s="1873"/>
      <c r="BA50" s="716">
        <v>38</v>
      </c>
      <c r="BB50" s="717">
        <f t="shared" si="16"/>
        <v>0</v>
      </c>
      <c r="BC50" s="520">
        <f t="shared" si="17"/>
        <v>0</v>
      </c>
      <c r="BD50" s="702">
        <f t="shared" si="18"/>
        <v>0</v>
      </c>
      <c r="BE50" s="702">
        <f t="shared" si="18"/>
        <v>0</v>
      </c>
      <c r="BH50" s="520" t="str">
        <f t="shared" si="21"/>
        <v/>
      </c>
      <c r="BI50" s="520" t="str">
        <f t="shared" si="25"/>
        <v/>
      </c>
      <c r="BJ50" s="520" t="str">
        <f t="shared" si="31"/>
        <v/>
      </c>
      <c r="BK50" s="520" t="str">
        <f t="shared" si="22"/>
        <v/>
      </c>
      <c r="BL50" s="696" t="str">
        <f t="shared" si="26"/>
        <v/>
      </c>
      <c r="BM50" s="696" t="str">
        <f t="shared" si="27"/>
        <v/>
      </c>
      <c r="BN50" s="696" t="str">
        <f t="shared" si="23"/>
        <v/>
      </c>
      <c r="BO50" s="696" t="str">
        <f t="shared" si="28"/>
        <v/>
      </c>
      <c r="BP50" s="696" t="str">
        <f t="shared" si="29"/>
        <v/>
      </c>
      <c r="BQ50" s="696" t="str">
        <f t="shared" si="30"/>
        <v/>
      </c>
      <c r="BS50" s="695" t="s">
        <v>357</v>
      </c>
      <c r="BT50" s="696">
        <f>IF(OR(BT20="",BT20=0),0,18)</f>
        <v>0</v>
      </c>
      <c r="BU50" s="696">
        <f>IF(OR(BU20="",BU20=0),0,18)</f>
        <v>0</v>
      </c>
      <c r="BV50" s="696">
        <f>IF(OR(BV20="",BV20=0),0,18)</f>
        <v>0</v>
      </c>
      <c r="BW50" s="696">
        <f>IF(OR(BW20="",BW20=0),0,18)</f>
        <v>0</v>
      </c>
      <c r="CC50" s="695" t="str">
        <f t="shared" si="19"/>
        <v>小日帰/身・療</v>
      </c>
      <c r="CD50" s="725">
        <f t="shared" si="20"/>
        <v>0</v>
      </c>
      <c r="CE50" s="695">
        <f>IF(OR(BU25="",BU25=0),0,76)</f>
        <v>0</v>
      </c>
      <c r="CF50" s="695">
        <v>110</v>
      </c>
      <c r="CG50" s="726">
        <v>76</v>
      </c>
    </row>
    <row r="51" spans="1:85">
      <c r="A51" s="1786"/>
      <c r="B51" s="1855"/>
      <c r="C51" s="1856"/>
      <c r="D51" s="1856"/>
      <c r="E51" s="1856"/>
      <c r="F51" s="1856"/>
      <c r="G51" s="1857"/>
      <c r="H51" s="1732"/>
      <c r="I51" s="1849"/>
      <c r="J51" s="1732"/>
      <c r="K51" s="1733"/>
      <c r="L51" s="1733"/>
      <c r="M51" s="1734"/>
      <c r="N51" s="1859"/>
      <c r="O51" s="1855"/>
      <c r="P51" s="1856"/>
      <c r="Q51" s="1856"/>
      <c r="R51" s="1856"/>
      <c r="S51" s="1856"/>
      <c r="T51" s="1857"/>
      <c r="U51" s="1732"/>
      <c r="V51" s="1849"/>
      <c r="W51" s="1732"/>
      <c r="X51" s="1733"/>
      <c r="Y51" s="1733"/>
      <c r="Z51" s="1734"/>
      <c r="AA51" s="1873"/>
      <c r="AB51" s="1873"/>
      <c r="AC51" s="1873"/>
      <c r="AD51" s="1873"/>
      <c r="AE51" s="1873"/>
      <c r="AF51" s="1873"/>
      <c r="AG51" s="1873"/>
      <c r="AH51" s="1873"/>
      <c r="AI51" s="1873"/>
      <c r="AJ51" s="1873"/>
      <c r="AK51" s="1873"/>
      <c r="AL51" s="1873"/>
      <c r="AM51" s="1873"/>
      <c r="AN51" s="1873"/>
      <c r="AO51" s="1873"/>
      <c r="AP51" s="1873"/>
      <c r="AQ51" s="1873"/>
      <c r="AR51" s="1873"/>
      <c r="AS51" s="1873"/>
      <c r="AT51" s="1873"/>
      <c r="AU51" s="1873"/>
      <c r="AV51" s="1873"/>
      <c r="AW51" s="1873"/>
      <c r="AX51" s="1873"/>
      <c r="AY51" s="1873"/>
      <c r="AZ51" s="1873"/>
      <c r="BA51" s="716">
        <v>39</v>
      </c>
      <c r="BB51" s="717">
        <f t="shared" si="16"/>
        <v>0</v>
      </c>
      <c r="BC51" s="520">
        <f t="shared" si="17"/>
        <v>0</v>
      </c>
      <c r="BD51" s="702">
        <f t="shared" si="18"/>
        <v>0</v>
      </c>
      <c r="BE51" s="702">
        <f t="shared" si="18"/>
        <v>0</v>
      </c>
      <c r="BH51" s="520" t="str">
        <f t="shared" si="21"/>
        <v/>
      </c>
      <c r="BI51" s="520" t="str">
        <f t="shared" si="25"/>
        <v/>
      </c>
      <c r="BJ51" s="520" t="str">
        <f t="shared" si="31"/>
        <v/>
      </c>
      <c r="BK51" s="520" t="str">
        <f t="shared" si="22"/>
        <v/>
      </c>
      <c r="BL51" s="696" t="str">
        <f t="shared" si="26"/>
        <v/>
      </c>
      <c r="BM51" s="696" t="str">
        <f t="shared" si="27"/>
        <v/>
      </c>
      <c r="BN51" s="696" t="str">
        <f t="shared" si="23"/>
        <v/>
      </c>
      <c r="BO51" s="696" t="str">
        <f t="shared" si="28"/>
        <v/>
      </c>
      <c r="BP51" s="696" t="str">
        <f t="shared" si="29"/>
        <v/>
      </c>
      <c r="BQ51" s="696" t="str">
        <f t="shared" si="30"/>
        <v/>
      </c>
      <c r="BS51" s="695" t="s">
        <v>358</v>
      </c>
      <c r="BT51" s="696">
        <f>IF(OR(BT21="",BT21=0),0,17)</f>
        <v>0</v>
      </c>
      <c r="BU51" s="696">
        <f>IF(OR(BU21="",BU21=0),0,17)</f>
        <v>0</v>
      </c>
      <c r="BV51" s="696">
        <f>IF(OR(BV21="",BV21=0),0,17)</f>
        <v>0</v>
      </c>
      <c r="BW51" s="696">
        <f>IF(OR(BW21="",BW21=0),0,17)</f>
        <v>0</v>
      </c>
      <c r="CC51" s="695" t="str">
        <f t="shared" si="19"/>
        <v>小日帰/身・精</v>
      </c>
      <c r="CD51" s="725">
        <f t="shared" si="20"/>
        <v>0</v>
      </c>
      <c r="CE51" s="695">
        <f>IF(OR(BU26="",BU26=0),0,75)</f>
        <v>0</v>
      </c>
      <c r="CF51" s="695">
        <v>110</v>
      </c>
      <c r="CG51" s="726">
        <v>75</v>
      </c>
    </row>
    <row r="52" spans="1:85" ht="26.1" customHeight="1">
      <c r="A52" s="1786"/>
      <c r="B52" s="1855"/>
      <c r="C52" s="1856"/>
      <c r="D52" s="1856"/>
      <c r="E52" s="1856"/>
      <c r="F52" s="1856"/>
      <c r="G52" s="1857"/>
      <c r="H52" s="1798" t="s">
        <v>40</v>
      </c>
      <c r="I52" s="1796" t="s">
        <v>39</v>
      </c>
      <c r="J52" s="1832" t="s">
        <v>375</v>
      </c>
      <c r="K52" s="1735" t="s">
        <v>374</v>
      </c>
      <c r="L52" s="1736"/>
      <c r="M52" s="1737"/>
      <c r="N52" s="1859"/>
      <c r="O52" s="1855"/>
      <c r="P52" s="1856"/>
      <c r="Q52" s="1856"/>
      <c r="R52" s="1856"/>
      <c r="S52" s="1856"/>
      <c r="T52" s="1857"/>
      <c r="U52" s="1798" t="s">
        <v>40</v>
      </c>
      <c r="V52" s="1796" t="s">
        <v>39</v>
      </c>
      <c r="W52" s="1832" t="s">
        <v>375</v>
      </c>
      <c r="X52" s="1735" t="s">
        <v>374</v>
      </c>
      <c r="Y52" s="1736"/>
      <c r="Z52" s="1737"/>
      <c r="AA52" s="1873"/>
      <c r="AB52" s="1873"/>
      <c r="AC52" s="1873"/>
      <c r="AD52" s="1873"/>
      <c r="AE52" s="1873"/>
      <c r="AF52" s="1873"/>
      <c r="AG52" s="1873"/>
      <c r="AH52" s="1873"/>
      <c r="AI52" s="1873"/>
      <c r="AJ52" s="1873"/>
      <c r="AK52" s="1873"/>
      <c r="AL52" s="1873"/>
      <c r="AM52" s="1873"/>
      <c r="AN52" s="1873"/>
      <c r="AO52" s="1873"/>
      <c r="AP52" s="1873"/>
      <c r="AQ52" s="1873"/>
      <c r="AR52" s="1873"/>
      <c r="AS52" s="1873"/>
      <c r="AT52" s="1873"/>
      <c r="AU52" s="1873"/>
      <c r="AV52" s="1873"/>
      <c r="AW52" s="1873"/>
      <c r="AX52" s="1873"/>
      <c r="AY52" s="1873"/>
      <c r="AZ52" s="1873"/>
      <c r="BA52" s="716">
        <v>40</v>
      </c>
      <c r="BB52" s="717">
        <f t="shared" si="16"/>
        <v>0</v>
      </c>
      <c r="BC52" s="520">
        <f t="shared" si="17"/>
        <v>0</v>
      </c>
      <c r="BD52" s="702">
        <f t="shared" si="18"/>
        <v>0</v>
      </c>
      <c r="BE52" s="702">
        <f t="shared" si="18"/>
        <v>0</v>
      </c>
      <c r="BH52" s="520" t="str">
        <f t="shared" si="21"/>
        <v/>
      </c>
      <c r="BI52" s="520" t="str">
        <f t="shared" si="25"/>
        <v/>
      </c>
      <c r="BJ52" s="520" t="str">
        <f t="shared" si="31"/>
        <v/>
      </c>
      <c r="BK52" s="520" t="str">
        <f t="shared" si="22"/>
        <v/>
      </c>
      <c r="BL52" s="696" t="str">
        <f t="shared" si="26"/>
        <v/>
      </c>
      <c r="BM52" s="696" t="str">
        <f t="shared" si="27"/>
        <v/>
      </c>
      <c r="BN52" s="696" t="str">
        <f t="shared" si="23"/>
        <v/>
      </c>
      <c r="BO52" s="696" t="str">
        <f t="shared" si="28"/>
        <v/>
      </c>
      <c r="BP52" s="696" t="str">
        <f t="shared" si="29"/>
        <v/>
      </c>
      <c r="BQ52" s="696" t="str">
        <f t="shared" si="30"/>
        <v/>
      </c>
      <c r="BS52" s="695" t="s">
        <v>359</v>
      </c>
      <c r="BT52" s="696">
        <f>IF(OR(BT22="",BT22=0),0,16)</f>
        <v>0</v>
      </c>
      <c r="BU52" s="696">
        <f>IF(OR(BU22="",BU22=0),0,16)</f>
        <v>0</v>
      </c>
      <c r="BV52" s="696">
        <f>IF(OR(BV22="",BV22=0),0,16)</f>
        <v>0</v>
      </c>
      <c r="BW52" s="696">
        <f>IF(OR(BW22="",BW22=0),0,16)</f>
        <v>0</v>
      </c>
      <c r="CC52" s="695" t="str">
        <f t="shared" si="19"/>
        <v>小日帰/療・精</v>
      </c>
      <c r="CD52" s="725">
        <f t="shared" si="20"/>
        <v>0</v>
      </c>
      <c r="CE52" s="695">
        <f>IF(OR(BU27="",BU27=0),0,74)</f>
        <v>0</v>
      </c>
      <c r="CF52" s="695">
        <v>110</v>
      </c>
      <c r="CG52" s="726">
        <v>74</v>
      </c>
    </row>
    <row r="53" spans="1:85" ht="26.1" customHeight="1">
      <c r="A53" s="1786"/>
      <c r="B53" s="1855"/>
      <c r="C53" s="1856"/>
      <c r="D53" s="1856"/>
      <c r="E53" s="1856"/>
      <c r="F53" s="1856"/>
      <c r="G53" s="1857"/>
      <c r="H53" s="1798"/>
      <c r="I53" s="1796"/>
      <c r="J53" s="1833"/>
      <c r="K53" s="1735"/>
      <c r="L53" s="1736"/>
      <c r="M53" s="1737"/>
      <c r="N53" s="1859"/>
      <c r="O53" s="1855"/>
      <c r="P53" s="1856"/>
      <c r="Q53" s="1856"/>
      <c r="R53" s="1856"/>
      <c r="S53" s="1856"/>
      <c r="T53" s="1857"/>
      <c r="U53" s="1798"/>
      <c r="V53" s="1796"/>
      <c r="W53" s="1833"/>
      <c r="X53" s="1735"/>
      <c r="Y53" s="1736"/>
      <c r="Z53" s="1737"/>
      <c r="AA53" s="1873"/>
      <c r="AB53" s="1873"/>
      <c r="AC53" s="1873"/>
      <c r="AD53" s="1873"/>
      <c r="AE53" s="1873"/>
      <c r="AF53" s="1873"/>
      <c r="AG53" s="1873"/>
      <c r="AH53" s="1873"/>
      <c r="AI53" s="1873"/>
      <c r="AJ53" s="1873"/>
      <c r="AK53" s="1873"/>
      <c r="AL53" s="1873"/>
      <c r="AM53" s="1873"/>
      <c r="AN53" s="1873"/>
      <c r="AO53" s="1873"/>
      <c r="AP53" s="1873"/>
      <c r="AQ53" s="1873"/>
      <c r="AR53" s="1873"/>
      <c r="AS53" s="1873"/>
      <c r="AT53" s="1873"/>
      <c r="AU53" s="1873"/>
      <c r="AV53" s="1873"/>
      <c r="AW53" s="1873"/>
      <c r="AX53" s="1873"/>
      <c r="AY53" s="1873"/>
      <c r="AZ53" s="1873"/>
      <c r="BA53" s="716">
        <v>41</v>
      </c>
      <c r="BB53" s="717">
        <f t="shared" si="16"/>
        <v>0</v>
      </c>
      <c r="BC53" s="520">
        <f t="shared" si="17"/>
        <v>0</v>
      </c>
      <c r="BD53" s="702">
        <f t="shared" si="18"/>
        <v>0</v>
      </c>
      <c r="BE53" s="702">
        <f t="shared" si="18"/>
        <v>0</v>
      </c>
      <c r="BH53" s="520" t="str">
        <f t="shared" si="21"/>
        <v/>
      </c>
      <c r="BI53" s="520" t="str">
        <f t="shared" si="25"/>
        <v/>
      </c>
      <c r="BJ53" s="520" t="str">
        <f t="shared" si="31"/>
        <v/>
      </c>
      <c r="BK53" s="520" t="str">
        <f t="shared" si="22"/>
        <v/>
      </c>
      <c r="BL53" s="696" t="str">
        <f t="shared" si="26"/>
        <v/>
      </c>
      <c r="BM53" s="696" t="str">
        <f t="shared" si="27"/>
        <v/>
      </c>
      <c r="BN53" s="696" t="str">
        <f t="shared" si="23"/>
        <v/>
      </c>
      <c r="BO53" s="696" t="str">
        <f t="shared" si="28"/>
        <v/>
      </c>
      <c r="BP53" s="696" t="str">
        <f t="shared" si="29"/>
        <v/>
      </c>
      <c r="BQ53" s="696" t="str">
        <f t="shared" si="30"/>
        <v/>
      </c>
      <c r="BS53" s="695" t="s">
        <v>360</v>
      </c>
      <c r="BT53" s="696">
        <f>IF(OR(BT23="",BT23=0),0,15)</f>
        <v>0</v>
      </c>
      <c r="BU53" s="696">
        <f>IF(OR(BU23="",BU23=0),0,15)</f>
        <v>0</v>
      </c>
      <c r="BV53" s="696">
        <f>IF(OR(BV23="",BV23=0),0,15)</f>
        <v>0</v>
      </c>
      <c r="BW53" s="696">
        <f>IF(OR(BW23="",BW23=0),0,15)</f>
        <v>0</v>
      </c>
      <c r="CC53" s="695" t="str">
        <f t="shared" si="19"/>
        <v>小日帰/準・特・身</v>
      </c>
      <c r="CD53" s="725">
        <f t="shared" si="20"/>
        <v>0</v>
      </c>
      <c r="CE53" s="695">
        <f>IF(OR(BU28="",BU28=0),0,73)</f>
        <v>0</v>
      </c>
      <c r="CF53" s="695">
        <v>110</v>
      </c>
      <c r="CG53" s="726">
        <v>73</v>
      </c>
    </row>
    <row r="54" spans="1:85" ht="26.1" customHeight="1">
      <c r="A54" s="1786"/>
      <c r="B54" s="1732"/>
      <c r="C54" s="1733"/>
      <c r="D54" s="1733"/>
      <c r="E54" s="1733"/>
      <c r="F54" s="1733"/>
      <c r="G54" s="1849"/>
      <c r="H54" s="1798"/>
      <c r="I54" s="1796"/>
      <c r="J54" s="1833"/>
      <c r="K54" s="1738"/>
      <c r="L54" s="1739"/>
      <c r="M54" s="1740"/>
      <c r="N54" s="1860"/>
      <c r="O54" s="1732"/>
      <c r="P54" s="1733"/>
      <c r="Q54" s="1733"/>
      <c r="R54" s="1733"/>
      <c r="S54" s="1733"/>
      <c r="T54" s="1849"/>
      <c r="U54" s="1798"/>
      <c r="V54" s="1796"/>
      <c r="W54" s="1833"/>
      <c r="X54" s="1738"/>
      <c r="Y54" s="1739"/>
      <c r="Z54" s="1740"/>
      <c r="AA54" s="1873"/>
      <c r="AB54" s="1873"/>
      <c r="AC54" s="1873"/>
      <c r="AD54" s="1873"/>
      <c r="AE54" s="1873"/>
      <c r="AF54" s="1873"/>
      <c r="AG54" s="1873"/>
      <c r="AH54" s="1873"/>
      <c r="AI54" s="1873"/>
      <c r="AJ54" s="1873"/>
      <c r="AK54" s="1873"/>
      <c r="AL54" s="1873"/>
      <c r="AM54" s="1873"/>
      <c r="AN54" s="1873"/>
      <c r="AO54" s="1873"/>
      <c r="AP54" s="1873"/>
      <c r="AQ54" s="1873"/>
      <c r="AR54" s="1873"/>
      <c r="AS54" s="1873"/>
      <c r="AT54" s="1873"/>
      <c r="AU54" s="1873"/>
      <c r="AV54" s="1873"/>
      <c r="AW54" s="1873"/>
      <c r="AX54" s="1873"/>
      <c r="AY54" s="1873"/>
      <c r="AZ54" s="1873"/>
      <c r="BA54" s="716">
        <v>42</v>
      </c>
      <c r="BB54" s="717">
        <f t="shared" si="16"/>
        <v>0</v>
      </c>
      <c r="BC54" s="520">
        <f t="shared" si="17"/>
        <v>0</v>
      </c>
      <c r="BD54" s="702">
        <f t="shared" si="18"/>
        <v>0</v>
      </c>
      <c r="BE54" s="702">
        <f t="shared" si="18"/>
        <v>0</v>
      </c>
      <c r="BH54" s="520" t="str">
        <f t="shared" si="21"/>
        <v/>
      </c>
      <c r="BI54" s="520" t="str">
        <f t="shared" si="25"/>
        <v/>
      </c>
      <c r="BJ54" s="520" t="str">
        <f t="shared" si="31"/>
        <v/>
      </c>
      <c r="BK54" s="520" t="str">
        <f t="shared" si="22"/>
        <v/>
      </c>
      <c r="BL54" s="696" t="str">
        <f t="shared" si="26"/>
        <v/>
      </c>
      <c r="BM54" s="696" t="str">
        <f t="shared" si="27"/>
        <v/>
      </c>
      <c r="BN54" s="696" t="str">
        <f t="shared" si="23"/>
        <v/>
      </c>
      <c r="BO54" s="696" t="str">
        <f t="shared" si="28"/>
        <v/>
      </c>
      <c r="BP54" s="696" t="str">
        <f t="shared" si="29"/>
        <v/>
      </c>
      <c r="BQ54" s="696" t="str">
        <f t="shared" si="30"/>
        <v/>
      </c>
      <c r="BS54" s="701" t="s">
        <v>361</v>
      </c>
      <c r="BT54" s="696">
        <f>IF(OR(BT24="",BT24=0),0,14)</f>
        <v>0</v>
      </c>
      <c r="BU54" s="696">
        <f>IF(OR(BU24="",BU24=0),0,14)</f>
        <v>0</v>
      </c>
      <c r="BV54" s="696">
        <f>IF(OR(BV24="",BV24=0),0,14)</f>
        <v>0</v>
      </c>
      <c r="BW54" s="696">
        <f>IF(OR(BW24="",BW24=0),0,14)</f>
        <v>0</v>
      </c>
      <c r="CC54" s="695" t="str">
        <f t="shared" si="19"/>
        <v>小日帰/準・特・療</v>
      </c>
      <c r="CD54" s="725">
        <f t="shared" si="20"/>
        <v>0</v>
      </c>
      <c r="CE54" s="695">
        <f>IF(OR(BU29="",BU29=0),0,72)</f>
        <v>0</v>
      </c>
      <c r="CF54" s="695">
        <v>110</v>
      </c>
      <c r="CG54" s="726">
        <v>72</v>
      </c>
    </row>
    <row r="55" spans="1:85" ht="24.75" customHeight="1">
      <c r="A55" s="192">
        <v>21</v>
      </c>
      <c r="B55" s="1775"/>
      <c r="C55" s="1806"/>
      <c r="D55" s="1806"/>
      <c r="E55" s="1806"/>
      <c r="F55" s="1806"/>
      <c r="G55" s="1807"/>
      <c r="H55" s="193"/>
      <c r="I55" s="194"/>
      <c r="J55" s="195"/>
      <c r="K55" s="1744"/>
      <c r="L55" s="1745"/>
      <c r="M55" s="1746"/>
      <c r="N55" s="197">
        <v>51</v>
      </c>
      <c r="O55" s="1824"/>
      <c r="P55" s="1806"/>
      <c r="Q55" s="1806"/>
      <c r="R55" s="1806"/>
      <c r="S55" s="1806"/>
      <c r="T55" s="1807"/>
      <c r="U55" s="193"/>
      <c r="V55" s="194"/>
      <c r="W55" s="195"/>
      <c r="X55" s="1744"/>
      <c r="Y55" s="1745"/>
      <c r="Z55" s="1746"/>
      <c r="AA55" s="1873"/>
      <c r="AB55" s="1873"/>
      <c r="AC55" s="1873"/>
      <c r="AD55" s="1873"/>
      <c r="AE55" s="1873"/>
      <c r="AF55" s="1873"/>
      <c r="AG55" s="1873"/>
      <c r="AH55" s="1873"/>
      <c r="AI55" s="1873"/>
      <c r="AJ55" s="1873"/>
      <c r="AK55" s="1873"/>
      <c r="AL55" s="1873"/>
      <c r="AM55" s="1873"/>
      <c r="AN55" s="1873"/>
      <c r="AO55" s="1873"/>
      <c r="AP55" s="1873"/>
      <c r="AQ55" s="1873"/>
      <c r="AR55" s="1873"/>
      <c r="AS55" s="1873"/>
      <c r="AT55" s="1873"/>
      <c r="AU55" s="1873"/>
      <c r="AV55" s="1873"/>
      <c r="AW55" s="1873"/>
      <c r="AX55" s="1873"/>
      <c r="AY55" s="1873"/>
      <c r="AZ55" s="1873"/>
      <c r="BA55" s="716">
        <v>43</v>
      </c>
      <c r="BB55" s="717">
        <f t="shared" si="16"/>
        <v>0</v>
      </c>
      <c r="BC55" s="520">
        <f t="shared" si="17"/>
        <v>0</v>
      </c>
      <c r="BD55" s="702">
        <f t="shared" si="18"/>
        <v>0</v>
      </c>
      <c r="BE55" s="702">
        <f t="shared" si="18"/>
        <v>0</v>
      </c>
      <c r="BH55" s="520" t="str">
        <f t="shared" si="21"/>
        <v/>
      </c>
      <c r="BI55" s="520" t="str">
        <f t="shared" si="25"/>
        <v/>
      </c>
      <c r="BJ55" s="520" t="str">
        <f t="shared" si="31"/>
        <v/>
      </c>
      <c r="BK55" s="520" t="str">
        <f t="shared" si="22"/>
        <v/>
      </c>
      <c r="BL55" s="696" t="str">
        <f t="shared" si="26"/>
        <v/>
      </c>
      <c r="BM55" s="696" t="str">
        <f t="shared" si="27"/>
        <v/>
      </c>
      <c r="BN55" s="696" t="str">
        <f t="shared" si="23"/>
        <v/>
      </c>
      <c r="BO55" s="696" t="str">
        <f t="shared" si="28"/>
        <v/>
      </c>
      <c r="BP55" s="696" t="str">
        <f t="shared" si="29"/>
        <v/>
      </c>
      <c r="BQ55" s="696" t="str">
        <f t="shared" si="30"/>
        <v/>
      </c>
      <c r="BS55" s="701" t="s">
        <v>362</v>
      </c>
      <c r="BT55" s="696">
        <f>IF(OR(BT25="",BT25=0),0,13)</f>
        <v>0</v>
      </c>
      <c r="BU55" s="696">
        <f>IF(OR(BU25="",BU25=0),0,13)</f>
        <v>0</v>
      </c>
      <c r="BV55" s="696">
        <f>IF(OR(BV25="",BV25=0),0,13)</f>
        <v>0</v>
      </c>
      <c r="BW55" s="696">
        <f>IF(OR(BW25="",BW25=0),0,13)</f>
        <v>0</v>
      </c>
      <c r="CC55" s="695" t="str">
        <f t="shared" si="19"/>
        <v>小日帰/準・特・精</v>
      </c>
      <c r="CD55" s="725">
        <f t="shared" si="20"/>
        <v>0</v>
      </c>
      <c r="CE55" s="695">
        <f>IF(OR(BU30="",BU30=0),0,71)</f>
        <v>0</v>
      </c>
      <c r="CF55" s="695">
        <v>110</v>
      </c>
      <c r="CG55" s="726">
        <v>71</v>
      </c>
    </row>
    <row r="56" spans="1:85" ht="24.95" customHeight="1">
      <c r="A56" s="192">
        <v>22</v>
      </c>
      <c r="B56" s="1775"/>
      <c r="C56" s="1806"/>
      <c r="D56" s="1806"/>
      <c r="E56" s="1806"/>
      <c r="F56" s="1806"/>
      <c r="G56" s="1807"/>
      <c r="H56" s="193"/>
      <c r="I56" s="194"/>
      <c r="J56" s="195"/>
      <c r="K56" s="1744"/>
      <c r="L56" s="1745"/>
      <c r="M56" s="1746"/>
      <c r="N56" s="197">
        <v>52</v>
      </c>
      <c r="O56" s="1775"/>
      <c r="P56" s="1806"/>
      <c r="Q56" s="1806"/>
      <c r="R56" s="1806"/>
      <c r="S56" s="1806"/>
      <c r="T56" s="1807"/>
      <c r="U56" s="193"/>
      <c r="V56" s="194"/>
      <c r="W56" s="195"/>
      <c r="X56" s="1744"/>
      <c r="Y56" s="1745"/>
      <c r="Z56" s="1746"/>
      <c r="AA56" s="1873"/>
      <c r="AB56" s="1873"/>
      <c r="AC56" s="1873"/>
      <c r="AD56" s="1873"/>
      <c r="AE56" s="1873"/>
      <c r="AF56" s="1873"/>
      <c r="AG56" s="1873"/>
      <c r="AH56" s="1873"/>
      <c r="AI56" s="1873"/>
      <c r="AJ56" s="1873"/>
      <c r="AK56" s="1873"/>
      <c r="AL56" s="1873"/>
      <c r="AM56" s="1873"/>
      <c r="AN56" s="1873"/>
      <c r="AO56" s="1873"/>
      <c r="AP56" s="1873"/>
      <c r="AQ56" s="1873"/>
      <c r="AR56" s="1873"/>
      <c r="AS56" s="1873"/>
      <c r="AT56" s="1873"/>
      <c r="AU56" s="1873"/>
      <c r="AV56" s="1873"/>
      <c r="AW56" s="1873"/>
      <c r="AX56" s="1873"/>
      <c r="AY56" s="1873"/>
      <c r="AZ56" s="1873"/>
      <c r="BA56" s="716">
        <v>44</v>
      </c>
      <c r="BB56" s="717">
        <f t="shared" si="16"/>
        <v>0</v>
      </c>
      <c r="BC56" s="520">
        <f t="shared" si="17"/>
        <v>0</v>
      </c>
      <c r="BD56" s="702">
        <f t="shared" si="18"/>
        <v>0</v>
      </c>
      <c r="BE56" s="702">
        <f t="shared" si="18"/>
        <v>0</v>
      </c>
      <c r="BH56" s="520" t="str">
        <f t="shared" si="21"/>
        <v/>
      </c>
      <c r="BI56" s="520" t="str">
        <f t="shared" si="25"/>
        <v/>
      </c>
      <c r="BJ56" s="520" t="str">
        <f t="shared" si="31"/>
        <v/>
      </c>
      <c r="BK56" s="520" t="str">
        <f t="shared" si="22"/>
        <v/>
      </c>
      <c r="BL56" s="696" t="str">
        <f t="shared" si="26"/>
        <v/>
      </c>
      <c r="BM56" s="696" t="str">
        <f t="shared" si="27"/>
        <v/>
      </c>
      <c r="BN56" s="696" t="str">
        <f t="shared" si="23"/>
        <v/>
      </c>
      <c r="BO56" s="696" t="str">
        <f t="shared" si="28"/>
        <v/>
      </c>
      <c r="BP56" s="696" t="str">
        <f t="shared" si="29"/>
        <v/>
      </c>
      <c r="BQ56" s="696" t="str">
        <f t="shared" si="30"/>
        <v/>
      </c>
      <c r="BS56" s="701" t="s">
        <v>363</v>
      </c>
      <c r="BT56" s="696">
        <f>IF(OR(BT26="",BT26=0),0,12)</f>
        <v>0</v>
      </c>
      <c r="BU56" s="696">
        <f>IF(OR(BU26="",BU26=0),0,12)</f>
        <v>0</v>
      </c>
      <c r="BV56" s="696">
        <f>IF(OR(BV26="",BV26=0),0,12)</f>
        <v>0</v>
      </c>
      <c r="BW56" s="696">
        <f>IF(OR(BW26="",BW26=0),0,12)</f>
        <v>0</v>
      </c>
      <c r="CC56" s="695" t="str">
        <f t="shared" si="19"/>
        <v>小日帰/準・身・療</v>
      </c>
      <c r="CD56" s="725">
        <f t="shared" si="20"/>
        <v>0</v>
      </c>
      <c r="CE56" s="695">
        <f>IF(OR(BU31="",BU31=0),0,70)</f>
        <v>0</v>
      </c>
      <c r="CF56" s="695">
        <v>110</v>
      </c>
      <c r="CG56" s="726">
        <v>70</v>
      </c>
    </row>
    <row r="57" spans="1:85" ht="24.95" customHeight="1">
      <c r="A57" s="192">
        <v>23</v>
      </c>
      <c r="B57" s="1775"/>
      <c r="C57" s="1806"/>
      <c r="D57" s="1806"/>
      <c r="E57" s="1806"/>
      <c r="F57" s="1806"/>
      <c r="G57" s="1807"/>
      <c r="H57" s="193"/>
      <c r="I57" s="194"/>
      <c r="J57" s="195"/>
      <c r="K57" s="1744"/>
      <c r="L57" s="1745"/>
      <c r="M57" s="1746"/>
      <c r="N57" s="197">
        <v>53</v>
      </c>
      <c r="O57" s="1775"/>
      <c r="P57" s="1806"/>
      <c r="Q57" s="1806"/>
      <c r="R57" s="1806"/>
      <c r="S57" s="1806"/>
      <c r="T57" s="1807"/>
      <c r="U57" s="193"/>
      <c r="V57" s="194"/>
      <c r="W57" s="195"/>
      <c r="X57" s="1744"/>
      <c r="Y57" s="1745"/>
      <c r="Z57" s="1746"/>
      <c r="AA57" s="1873"/>
      <c r="AB57" s="1873"/>
      <c r="AC57" s="1873"/>
      <c r="AD57" s="1873"/>
      <c r="AE57" s="1873"/>
      <c r="AF57" s="1873"/>
      <c r="AG57" s="1873"/>
      <c r="AH57" s="1873"/>
      <c r="AI57" s="1873"/>
      <c r="AJ57" s="1873"/>
      <c r="AK57" s="1873"/>
      <c r="AL57" s="1873"/>
      <c r="AM57" s="1873"/>
      <c r="AN57" s="1873"/>
      <c r="AO57" s="1873"/>
      <c r="AP57" s="1873"/>
      <c r="AQ57" s="1873"/>
      <c r="AR57" s="1873"/>
      <c r="AS57" s="1873"/>
      <c r="AT57" s="1873"/>
      <c r="AU57" s="1873"/>
      <c r="AV57" s="1873"/>
      <c r="AW57" s="1873"/>
      <c r="AX57" s="1873"/>
      <c r="AY57" s="1873"/>
      <c r="AZ57" s="1873"/>
      <c r="BA57" s="716">
        <v>45</v>
      </c>
      <c r="BB57" s="717">
        <f t="shared" si="16"/>
        <v>0</v>
      </c>
      <c r="BC57" s="520">
        <f t="shared" si="17"/>
        <v>0</v>
      </c>
      <c r="BD57" s="702">
        <f t="shared" si="18"/>
        <v>0</v>
      </c>
      <c r="BE57" s="702">
        <f t="shared" si="18"/>
        <v>0</v>
      </c>
      <c r="BH57" s="520" t="str">
        <f t="shared" si="21"/>
        <v/>
      </c>
      <c r="BI57" s="520" t="str">
        <f t="shared" si="25"/>
        <v/>
      </c>
      <c r="BJ57" s="520" t="str">
        <f t="shared" si="31"/>
        <v/>
      </c>
      <c r="BK57" s="520" t="str">
        <f t="shared" si="22"/>
        <v/>
      </c>
      <c r="BL57" s="696" t="str">
        <f t="shared" si="26"/>
        <v/>
      </c>
      <c r="BM57" s="696" t="str">
        <f t="shared" si="27"/>
        <v/>
      </c>
      <c r="BN57" s="696" t="str">
        <f t="shared" si="23"/>
        <v/>
      </c>
      <c r="BO57" s="696" t="str">
        <f t="shared" si="28"/>
        <v/>
      </c>
      <c r="BP57" s="696" t="str">
        <f t="shared" si="29"/>
        <v/>
      </c>
      <c r="BQ57" s="696" t="str">
        <f t="shared" si="30"/>
        <v/>
      </c>
      <c r="BS57" s="701" t="s">
        <v>364</v>
      </c>
      <c r="BT57" s="696">
        <f>IF(OR(BT27="",BT27=0),0,11)</f>
        <v>0</v>
      </c>
      <c r="BU57" s="696">
        <f>IF(OR(BU27="",BU27=0),0,11)</f>
        <v>0</v>
      </c>
      <c r="BV57" s="696">
        <f>IF(OR(BV27="",BV27=0),0,11)</f>
        <v>0</v>
      </c>
      <c r="BW57" s="696">
        <f>IF(OR(BW27="",BW27=0),0,11)</f>
        <v>0</v>
      </c>
      <c r="CC57" s="695" t="str">
        <f t="shared" si="19"/>
        <v>小日帰/準・身・精</v>
      </c>
      <c r="CD57" s="725">
        <f t="shared" si="20"/>
        <v>0</v>
      </c>
      <c r="CE57" s="695">
        <f>IF(OR(BU32="",BU32=0),0,69)</f>
        <v>0</v>
      </c>
      <c r="CF57" s="695">
        <v>110</v>
      </c>
      <c r="CG57" s="726">
        <v>69</v>
      </c>
    </row>
    <row r="58" spans="1:85" ht="24.95" customHeight="1">
      <c r="A58" s="192">
        <v>24</v>
      </c>
      <c r="B58" s="1775"/>
      <c r="C58" s="1806"/>
      <c r="D58" s="1806"/>
      <c r="E58" s="1806"/>
      <c r="F58" s="1806"/>
      <c r="G58" s="1807"/>
      <c r="H58" s="193"/>
      <c r="I58" s="194"/>
      <c r="J58" s="195"/>
      <c r="K58" s="1744"/>
      <c r="L58" s="1745"/>
      <c r="M58" s="1746"/>
      <c r="N58" s="197">
        <v>54</v>
      </c>
      <c r="O58" s="1775"/>
      <c r="P58" s="1806"/>
      <c r="Q58" s="1806"/>
      <c r="R58" s="1806"/>
      <c r="S58" s="1806"/>
      <c r="T58" s="1807"/>
      <c r="U58" s="193"/>
      <c r="V58" s="194"/>
      <c r="W58" s="195"/>
      <c r="X58" s="1744"/>
      <c r="Y58" s="1745"/>
      <c r="Z58" s="1746"/>
      <c r="AA58" s="1873"/>
      <c r="AB58" s="1873"/>
      <c r="AC58" s="1873"/>
      <c r="AD58" s="1873"/>
      <c r="AE58" s="1873"/>
      <c r="AF58" s="1873"/>
      <c r="AG58" s="1873"/>
      <c r="AH58" s="1873"/>
      <c r="AI58" s="1873"/>
      <c r="AJ58" s="1873"/>
      <c r="AK58" s="1873"/>
      <c r="AL58" s="1873"/>
      <c r="AM58" s="1873"/>
      <c r="AN58" s="1873"/>
      <c r="AO58" s="1873"/>
      <c r="AP58" s="1873"/>
      <c r="AQ58" s="1873"/>
      <c r="AR58" s="1873"/>
      <c r="AS58" s="1873"/>
      <c r="AT58" s="1873"/>
      <c r="AU58" s="1873"/>
      <c r="AV58" s="1873"/>
      <c r="AW58" s="1873"/>
      <c r="AX58" s="1873"/>
      <c r="AY58" s="1873"/>
      <c r="AZ58" s="1873"/>
      <c r="BA58" s="716">
        <v>46</v>
      </c>
      <c r="BB58" s="717">
        <f t="shared" si="16"/>
        <v>0</v>
      </c>
      <c r="BC58" s="520">
        <f t="shared" si="17"/>
        <v>0</v>
      </c>
      <c r="BD58" s="702">
        <f t="shared" si="18"/>
        <v>0</v>
      </c>
      <c r="BE58" s="702">
        <f t="shared" si="18"/>
        <v>0</v>
      </c>
      <c r="BH58" s="520" t="str">
        <f t="shared" si="21"/>
        <v/>
      </c>
      <c r="BI58" s="520" t="str">
        <f t="shared" si="25"/>
        <v/>
      </c>
      <c r="BJ58" s="520" t="str">
        <f t="shared" si="31"/>
        <v/>
      </c>
      <c r="BK58" s="520" t="str">
        <f t="shared" si="22"/>
        <v/>
      </c>
      <c r="BL58" s="696" t="str">
        <f t="shared" si="26"/>
        <v/>
      </c>
      <c r="BM58" s="696" t="str">
        <f t="shared" si="27"/>
        <v/>
      </c>
      <c r="BN58" s="696" t="str">
        <f t="shared" si="23"/>
        <v/>
      </c>
      <c r="BO58" s="696" t="str">
        <f t="shared" si="28"/>
        <v/>
      </c>
      <c r="BP58" s="696" t="str">
        <f t="shared" si="29"/>
        <v/>
      </c>
      <c r="BQ58" s="696" t="str">
        <f t="shared" si="30"/>
        <v/>
      </c>
      <c r="BS58" s="701" t="s">
        <v>365</v>
      </c>
      <c r="BT58" s="696">
        <f>IF(OR(BT28="",BT28=0),0,10)</f>
        <v>0</v>
      </c>
      <c r="BU58" s="696">
        <f>IF(OR(BU28="",BU28=0),0,10)</f>
        <v>0</v>
      </c>
      <c r="BV58" s="696">
        <f>IF(OR(BV28="",BV28=0),0,10)</f>
        <v>0</v>
      </c>
      <c r="BW58" s="696">
        <f>IF(OR(BW28="",BW28=0),0,10)</f>
        <v>0</v>
      </c>
      <c r="CC58" s="695" t="str">
        <f t="shared" si="19"/>
        <v>小日帰/準・療・精</v>
      </c>
      <c r="CD58" s="725">
        <f t="shared" si="20"/>
        <v>0</v>
      </c>
      <c r="CE58" s="695">
        <f>IF(OR(BU33="",BU33=0),0,68)</f>
        <v>0</v>
      </c>
      <c r="CF58" s="695">
        <v>110</v>
      </c>
      <c r="CG58" s="726">
        <v>68</v>
      </c>
    </row>
    <row r="59" spans="1:85" ht="24.95" customHeight="1">
      <c r="A59" s="192">
        <v>25</v>
      </c>
      <c r="B59" s="1775"/>
      <c r="C59" s="1806"/>
      <c r="D59" s="1806"/>
      <c r="E59" s="1806"/>
      <c r="F59" s="1806"/>
      <c r="G59" s="1807"/>
      <c r="H59" s="193"/>
      <c r="I59" s="194"/>
      <c r="J59" s="195"/>
      <c r="K59" s="1744"/>
      <c r="L59" s="1745"/>
      <c r="M59" s="1746"/>
      <c r="N59" s="197">
        <v>55</v>
      </c>
      <c r="O59" s="1775"/>
      <c r="P59" s="1806"/>
      <c r="Q59" s="1806"/>
      <c r="R59" s="1806"/>
      <c r="S59" s="1806"/>
      <c r="T59" s="1807"/>
      <c r="U59" s="193"/>
      <c r="V59" s="194"/>
      <c r="W59" s="195"/>
      <c r="X59" s="1744"/>
      <c r="Y59" s="1745"/>
      <c r="Z59" s="1746"/>
      <c r="AA59" s="1873"/>
      <c r="AB59" s="1873"/>
      <c r="AC59" s="1873"/>
      <c r="AD59" s="1873"/>
      <c r="AE59" s="1873"/>
      <c r="AF59" s="1873"/>
      <c r="AG59" s="1873"/>
      <c r="AH59" s="1873"/>
      <c r="AI59" s="1873"/>
      <c r="AJ59" s="1873"/>
      <c r="AK59" s="1873"/>
      <c r="AL59" s="1873"/>
      <c r="AM59" s="1873"/>
      <c r="AN59" s="1873"/>
      <c r="AO59" s="1873"/>
      <c r="AP59" s="1873"/>
      <c r="AQ59" s="1873"/>
      <c r="AR59" s="1873"/>
      <c r="AS59" s="1873"/>
      <c r="AT59" s="1873"/>
      <c r="AU59" s="1873"/>
      <c r="AV59" s="1873"/>
      <c r="AW59" s="1873"/>
      <c r="AX59" s="1873"/>
      <c r="AY59" s="1873"/>
      <c r="AZ59" s="1873"/>
      <c r="BA59" s="716">
        <v>47</v>
      </c>
      <c r="BB59" s="717">
        <f t="shared" si="16"/>
        <v>0</v>
      </c>
      <c r="BC59" s="520">
        <f t="shared" si="17"/>
        <v>0</v>
      </c>
      <c r="BD59" s="702">
        <f t="shared" si="18"/>
        <v>0</v>
      </c>
      <c r="BE59" s="702">
        <f t="shared" si="18"/>
        <v>0</v>
      </c>
      <c r="BH59" s="520" t="str">
        <f t="shared" si="21"/>
        <v/>
      </c>
      <c r="BI59" s="520" t="str">
        <f t="shared" si="25"/>
        <v/>
      </c>
      <c r="BJ59" s="520" t="str">
        <f t="shared" si="31"/>
        <v/>
      </c>
      <c r="BK59" s="520" t="str">
        <f t="shared" si="22"/>
        <v/>
      </c>
      <c r="BL59" s="696" t="str">
        <f t="shared" si="26"/>
        <v/>
      </c>
      <c r="BM59" s="696" t="str">
        <f t="shared" si="27"/>
        <v/>
      </c>
      <c r="BN59" s="696" t="str">
        <f t="shared" si="23"/>
        <v/>
      </c>
      <c r="BO59" s="696" t="str">
        <f t="shared" si="28"/>
        <v/>
      </c>
      <c r="BP59" s="696" t="str">
        <f t="shared" si="29"/>
        <v/>
      </c>
      <c r="BQ59" s="696" t="str">
        <f t="shared" si="30"/>
        <v/>
      </c>
      <c r="BS59" s="701" t="s">
        <v>366</v>
      </c>
      <c r="BT59" s="696">
        <f>IF(OR(BT29="",BT29=0),0,9)</f>
        <v>0</v>
      </c>
      <c r="BU59" s="696">
        <f>IF(OR(BU29="",BU29=0),0,9)</f>
        <v>0</v>
      </c>
      <c r="BV59" s="696">
        <f>IF(OR(BV29="",BV29=0),0,9)</f>
        <v>0</v>
      </c>
      <c r="BW59" s="696">
        <f>IF(OR(BW29="",BW29=0),0,9)</f>
        <v>0</v>
      </c>
      <c r="CC59" s="695" t="str">
        <f t="shared" si="19"/>
        <v>小日帰/特・身・療</v>
      </c>
      <c r="CD59" s="725">
        <f t="shared" si="20"/>
        <v>0</v>
      </c>
      <c r="CE59" s="695">
        <f>IF(OR(BU34="",BU34=0),0,67)</f>
        <v>0</v>
      </c>
      <c r="CF59" s="695">
        <v>110</v>
      </c>
      <c r="CG59" s="726">
        <v>67</v>
      </c>
    </row>
    <row r="60" spans="1:85" ht="24.95" customHeight="1">
      <c r="A60" s="192">
        <v>26</v>
      </c>
      <c r="B60" s="1775"/>
      <c r="C60" s="1806"/>
      <c r="D60" s="1806"/>
      <c r="E60" s="1806"/>
      <c r="F60" s="1806"/>
      <c r="G60" s="1807"/>
      <c r="H60" s="193"/>
      <c r="I60" s="194"/>
      <c r="J60" s="195"/>
      <c r="K60" s="1744"/>
      <c r="L60" s="1745"/>
      <c r="M60" s="1746"/>
      <c r="N60" s="197">
        <v>56</v>
      </c>
      <c r="O60" s="1775"/>
      <c r="P60" s="1806"/>
      <c r="Q60" s="1806"/>
      <c r="R60" s="1806"/>
      <c r="S60" s="1806"/>
      <c r="T60" s="1807"/>
      <c r="U60" s="193"/>
      <c r="V60" s="194"/>
      <c r="W60" s="195"/>
      <c r="X60" s="1744"/>
      <c r="Y60" s="1745"/>
      <c r="Z60" s="1746"/>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716">
        <v>48</v>
      </c>
      <c r="BB60" s="717">
        <f t="shared" si="16"/>
        <v>0</v>
      </c>
      <c r="BC60" s="520">
        <f t="shared" si="17"/>
        <v>0</v>
      </c>
      <c r="BD60" s="702">
        <f t="shared" si="18"/>
        <v>0</v>
      </c>
      <c r="BE60" s="702">
        <f t="shared" si="18"/>
        <v>0</v>
      </c>
      <c r="BH60" s="520" t="str">
        <f t="shared" si="21"/>
        <v/>
      </c>
      <c r="BI60" s="520" t="str">
        <f t="shared" si="25"/>
        <v/>
      </c>
      <c r="BJ60" s="520" t="str">
        <f t="shared" si="31"/>
        <v/>
      </c>
      <c r="BK60" s="520" t="str">
        <f t="shared" si="22"/>
        <v/>
      </c>
      <c r="BL60" s="696" t="str">
        <f t="shared" si="26"/>
        <v/>
      </c>
      <c r="BM60" s="696" t="str">
        <f t="shared" si="27"/>
        <v/>
      </c>
      <c r="BN60" s="696" t="str">
        <f t="shared" si="23"/>
        <v/>
      </c>
      <c r="BO60" s="696" t="str">
        <f t="shared" si="28"/>
        <v/>
      </c>
      <c r="BP60" s="696" t="str">
        <f t="shared" si="29"/>
        <v/>
      </c>
      <c r="BQ60" s="696" t="str">
        <f t="shared" si="30"/>
        <v/>
      </c>
      <c r="BS60" s="701" t="s">
        <v>367</v>
      </c>
      <c r="BT60" s="696">
        <f>IF(OR(BT30="",BT30=0),0,8)</f>
        <v>0</v>
      </c>
      <c r="BU60" s="696">
        <f>IF(OR(BU30="",BU30=0),0,8)</f>
        <v>0</v>
      </c>
      <c r="BV60" s="696">
        <f>IF(OR(BV30="",BV30=0),0,8)</f>
        <v>0</v>
      </c>
      <c r="BW60" s="696">
        <f>IF(OR(BW30="",BW30=0),0,8)</f>
        <v>0</v>
      </c>
      <c r="CC60" s="695" t="str">
        <f t="shared" si="19"/>
        <v>小日帰/特・身・精</v>
      </c>
      <c r="CD60" s="725">
        <f t="shared" si="20"/>
        <v>0</v>
      </c>
      <c r="CE60" s="695">
        <f>IF(OR(BU35="",BU35=0),0,66)</f>
        <v>0</v>
      </c>
      <c r="CF60" s="695">
        <v>110</v>
      </c>
      <c r="CG60" s="726">
        <v>66</v>
      </c>
    </row>
    <row r="61" spans="1:85" ht="24.95" customHeight="1">
      <c r="A61" s="192">
        <v>27</v>
      </c>
      <c r="B61" s="1775"/>
      <c r="C61" s="1806"/>
      <c r="D61" s="1806"/>
      <c r="E61" s="1806"/>
      <c r="F61" s="1806"/>
      <c r="G61" s="1807"/>
      <c r="H61" s="193"/>
      <c r="I61" s="194"/>
      <c r="J61" s="195"/>
      <c r="K61" s="1744"/>
      <c r="L61" s="1745"/>
      <c r="M61" s="1746"/>
      <c r="N61" s="197">
        <v>57</v>
      </c>
      <c r="O61" s="1775"/>
      <c r="P61" s="1806"/>
      <c r="Q61" s="1806"/>
      <c r="R61" s="1806"/>
      <c r="S61" s="1806"/>
      <c r="T61" s="1807"/>
      <c r="U61" s="193"/>
      <c r="V61" s="194"/>
      <c r="W61" s="195"/>
      <c r="X61" s="1744"/>
      <c r="Y61" s="1745"/>
      <c r="Z61" s="1746"/>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716">
        <v>49</v>
      </c>
      <c r="BB61" s="717">
        <f t="shared" si="16"/>
        <v>0</v>
      </c>
      <c r="BC61" s="520">
        <f t="shared" si="17"/>
        <v>0</v>
      </c>
      <c r="BD61" s="702">
        <f t="shared" si="18"/>
        <v>0</v>
      </c>
      <c r="BE61" s="702">
        <f t="shared" si="18"/>
        <v>0</v>
      </c>
      <c r="BH61" s="520" t="str">
        <f t="shared" si="21"/>
        <v/>
      </c>
      <c r="BI61" s="520" t="str">
        <f t="shared" si="25"/>
        <v/>
      </c>
      <c r="BJ61" s="520" t="str">
        <f t="shared" si="31"/>
        <v/>
      </c>
      <c r="BK61" s="520" t="str">
        <f t="shared" si="22"/>
        <v/>
      </c>
      <c r="BL61" s="696" t="str">
        <f t="shared" si="26"/>
        <v/>
      </c>
      <c r="BM61" s="696" t="str">
        <f t="shared" si="27"/>
        <v/>
      </c>
      <c r="BN61" s="696" t="str">
        <f t="shared" si="23"/>
        <v/>
      </c>
      <c r="BO61" s="696" t="str">
        <f t="shared" si="28"/>
        <v/>
      </c>
      <c r="BP61" s="696" t="str">
        <f t="shared" si="29"/>
        <v/>
      </c>
      <c r="BQ61" s="696" t="str">
        <f t="shared" si="30"/>
        <v/>
      </c>
      <c r="BS61" s="701" t="s">
        <v>368</v>
      </c>
      <c r="BT61" s="696">
        <f>IF(OR(BT31="",BT31=0),0,7)</f>
        <v>0</v>
      </c>
      <c r="BU61" s="696">
        <f>IF(OR(BU31="",BU31=0),0,7)</f>
        <v>0</v>
      </c>
      <c r="BV61" s="696">
        <f>IF(OR(BV31="",BV31=0),0,7)</f>
        <v>0</v>
      </c>
      <c r="BW61" s="696">
        <f>IF(OR(BW31="",BW31=0),0,7)</f>
        <v>0</v>
      </c>
      <c r="CC61" s="695" t="str">
        <f t="shared" si="19"/>
        <v>小日帰/身・療・精</v>
      </c>
      <c r="CD61" s="725">
        <f t="shared" si="20"/>
        <v>0</v>
      </c>
      <c r="CE61" s="695">
        <f>IF(OR(BU36="",BU36=0),0,65)</f>
        <v>0</v>
      </c>
      <c r="CF61" s="695">
        <v>110</v>
      </c>
      <c r="CG61" s="726">
        <v>65</v>
      </c>
    </row>
    <row r="62" spans="1:85" ht="24.95" customHeight="1">
      <c r="A62" s="192">
        <v>28</v>
      </c>
      <c r="B62" s="1775"/>
      <c r="C62" s="1806"/>
      <c r="D62" s="1806"/>
      <c r="E62" s="1806"/>
      <c r="F62" s="1806"/>
      <c r="G62" s="1807"/>
      <c r="H62" s="193"/>
      <c r="I62" s="194"/>
      <c r="J62" s="195"/>
      <c r="K62" s="1744"/>
      <c r="L62" s="1745"/>
      <c r="M62" s="1746"/>
      <c r="N62" s="197">
        <v>58</v>
      </c>
      <c r="O62" s="1775"/>
      <c r="P62" s="1806"/>
      <c r="Q62" s="1806"/>
      <c r="R62" s="1806"/>
      <c r="S62" s="1806"/>
      <c r="T62" s="1807"/>
      <c r="U62" s="193"/>
      <c r="V62" s="194"/>
      <c r="W62" s="195"/>
      <c r="X62" s="1744"/>
      <c r="Y62" s="1745"/>
      <c r="Z62" s="1746"/>
      <c r="BA62" s="716">
        <v>50</v>
      </c>
      <c r="BB62" s="717">
        <f t="shared" si="16"/>
        <v>0</v>
      </c>
      <c r="BC62" s="520">
        <f t="shared" si="17"/>
        <v>0</v>
      </c>
      <c r="BD62" s="702">
        <f t="shared" si="18"/>
        <v>0</v>
      </c>
      <c r="BE62" s="702">
        <f t="shared" si="18"/>
        <v>0</v>
      </c>
      <c r="BH62" s="520" t="str">
        <f t="shared" si="21"/>
        <v/>
      </c>
      <c r="BI62" s="520" t="str">
        <f t="shared" si="25"/>
        <v/>
      </c>
      <c r="BJ62" s="520" t="str">
        <f t="shared" si="31"/>
        <v/>
      </c>
      <c r="BK62" s="520" t="str">
        <f t="shared" si="22"/>
        <v/>
      </c>
      <c r="BL62" s="696" t="str">
        <f t="shared" si="26"/>
        <v/>
      </c>
      <c r="BM62" s="696" t="str">
        <f t="shared" si="27"/>
        <v/>
      </c>
      <c r="BN62" s="696" t="str">
        <f t="shared" si="23"/>
        <v/>
      </c>
      <c r="BO62" s="696" t="str">
        <f t="shared" si="28"/>
        <v/>
      </c>
      <c r="BP62" s="696" t="str">
        <f t="shared" si="29"/>
        <v/>
      </c>
      <c r="BQ62" s="696" t="str">
        <f t="shared" si="30"/>
        <v/>
      </c>
      <c r="BS62" s="701" t="s">
        <v>369</v>
      </c>
      <c r="BT62" s="696">
        <f>IF(OR(BT32="",BT32=0),0,6)</f>
        <v>0</v>
      </c>
      <c r="BU62" s="696">
        <f>IF(OR(BU32="",BU32=0),0,6)</f>
        <v>0</v>
      </c>
      <c r="BV62" s="696">
        <f>IF(OR(BV32="",BV32=0),0,6)</f>
        <v>0</v>
      </c>
      <c r="BW62" s="696">
        <f>IF(OR(BW32="",BW32=0),0,6)</f>
        <v>0</v>
      </c>
      <c r="CC62" s="695" t="str">
        <f t="shared" si="19"/>
        <v>小日帰/特・療・精</v>
      </c>
      <c r="CD62" s="725">
        <f t="shared" si="20"/>
        <v>0</v>
      </c>
      <c r="CE62" s="695">
        <f>IF(OR(BU37="",BU37=0),0,64)</f>
        <v>0</v>
      </c>
      <c r="CF62" s="695">
        <v>110</v>
      </c>
      <c r="CG62" s="726">
        <v>64</v>
      </c>
    </row>
    <row r="63" spans="1:85" ht="24.95" customHeight="1">
      <c r="A63" s="192">
        <v>29</v>
      </c>
      <c r="B63" s="1775"/>
      <c r="C63" s="1806"/>
      <c r="D63" s="1806"/>
      <c r="E63" s="1806"/>
      <c r="F63" s="1806"/>
      <c r="G63" s="1807"/>
      <c r="H63" s="193"/>
      <c r="I63" s="194"/>
      <c r="J63" s="195"/>
      <c r="K63" s="1744"/>
      <c r="L63" s="1745"/>
      <c r="M63" s="1746"/>
      <c r="N63" s="197">
        <v>59</v>
      </c>
      <c r="O63" s="1775"/>
      <c r="P63" s="1806"/>
      <c r="Q63" s="1806"/>
      <c r="R63" s="1806"/>
      <c r="S63" s="1806"/>
      <c r="T63" s="1807"/>
      <c r="U63" s="193"/>
      <c r="V63" s="194"/>
      <c r="W63" s="195"/>
      <c r="X63" s="1744"/>
      <c r="Y63" s="1745"/>
      <c r="Z63" s="1746"/>
      <c r="BA63" s="716">
        <v>51</v>
      </c>
      <c r="BB63" s="717">
        <f t="shared" ref="BB63:BB92" si="33">COUNTA(U55:V55)</f>
        <v>0</v>
      </c>
      <c r="BC63" s="520">
        <f t="shared" ref="BC63:BC92" si="34">COUNTA(X55)</f>
        <v>0</v>
      </c>
      <c r="BD63" s="702">
        <f t="shared" ref="BD63:BE92" si="35">BB63-COUNTA(U55)</f>
        <v>0</v>
      </c>
      <c r="BE63" s="702">
        <f t="shared" si="35"/>
        <v>0</v>
      </c>
      <c r="BH63" s="520" t="str">
        <f t="shared" si="21"/>
        <v/>
      </c>
      <c r="BI63" s="520" t="str">
        <f t="shared" si="25"/>
        <v/>
      </c>
      <c r="BJ63" s="520" t="str">
        <f t="shared" si="31"/>
        <v/>
      </c>
      <c r="BK63" s="520" t="str">
        <f t="shared" si="22"/>
        <v/>
      </c>
      <c r="BL63" s="696" t="str">
        <f t="shared" si="26"/>
        <v/>
      </c>
      <c r="BM63" s="696" t="str">
        <f t="shared" si="27"/>
        <v/>
      </c>
      <c r="BN63" s="696" t="str">
        <f t="shared" si="23"/>
        <v/>
      </c>
      <c r="BO63" s="696" t="str">
        <f t="shared" si="28"/>
        <v/>
      </c>
      <c r="BP63" s="696" t="str">
        <f t="shared" si="29"/>
        <v/>
      </c>
      <c r="BQ63" s="696" t="str">
        <f t="shared" si="30"/>
        <v/>
      </c>
      <c r="BS63" s="701" t="s">
        <v>370</v>
      </c>
      <c r="BT63" s="696">
        <f>IF(OR(BT33="",BT33=0),0,5)</f>
        <v>0</v>
      </c>
      <c r="BU63" s="696">
        <f>IF(OR(BU33="",BU33=0),0,5)</f>
        <v>0</v>
      </c>
      <c r="BV63" s="696">
        <f>IF(OR(BV33="",BV33=0),0,5)</f>
        <v>0</v>
      </c>
      <c r="BW63" s="696">
        <f>IF(OR(BW33="",BW33=0),0,5)</f>
        <v>0</v>
      </c>
      <c r="CC63" s="695" t="str">
        <f t="shared" ref="CC63:CC88" si="36">$BV$11&amp;BF12</f>
        <v>中泊/準</v>
      </c>
      <c r="CD63" s="712">
        <f>BV12</f>
        <v>0</v>
      </c>
      <c r="CE63" s="695">
        <f>IF(OR(BV12="",BV12=0),0,62)</f>
        <v>0</v>
      </c>
      <c r="CF63" s="695">
        <v>330</v>
      </c>
      <c r="CG63" s="729">
        <v>62</v>
      </c>
    </row>
    <row r="64" spans="1:85" ht="24.95" customHeight="1">
      <c r="A64" s="192">
        <v>30</v>
      </c>
      <c r="B64" s="1775"/>
      <c r="C64" s="1806"/>
      <c r="D64" s="1806"/>
      <c r="E64" s="1806"/>
      <c r="F64" s="1806"/>
      <c r="G64" s="1807"/>
      <c r="H64" s="193"/>
      <c r="I64" s="194"/>
      <c r="J64" s="195"/>
      <c r="K64" s="1744"/>
      <c r="L64" s="1745"/>
      <c r="M64" s="1746"/>
      <c r="N64" s="197">
        <v>60</v>
      </c>
      <c r="O64" s="1775"/>
      <c r="P64" s="1806"/>
      <c r="Q64" s="1806"/>
      <c r="R64" s="1806"/>
      <c r="S64" s="1806"/>
      <c r="T64" s="1807"/>
      <c r="U64" s="193"/>
      <c r="V64" s="194"/>
      <c r="W64" s="195"/>
      <c r="X64" s="1744"/>
      <c r="Y64" s="1745"/>
      <c r="Z64" s="1746"/>
      <c r="BA64" s="716">
        <v>52</v>
      </c>
      <c r="BB64" s="717">
        <f t="shared" si="33"/>
        <v>0</v>
      </c>
      <c r="BC64" s="520">
        <f t="shared" si="34"/>
        <v>0</v>
      </c>
      <c r="BD64" s="702">
        <f t="shared" si="35"/>
        <v>0</v>
      </c>
      <c r="BE64" s="702">
        <f t="shared" si="35"/>
        <v>0</v>
      </c>
      <c r="BH64" s="520" t="str">
        <f t="shared" si="21"/>
        <v/>
      </c>
      <c r="BI64" s="520" t="str">
        <f t="shared" si="25"/>
        <v/>
      </c>
      <c r="BJ64" s="520" t="str">
        <f t="shared" si="31"/>
        <v/>
      </c>
      <c r="BK64" s="520" t="str">
        <f t="shared" si="22"/>
        <v/>
      </c>
      <c r="BL64" s="696" t="str">
        <f t="shared" si="26"/>
        <v/>
      </c>
      <c r="BM64" s="696" t="str">
        <f t="shared" si="27"/>
        <v/>
      </c>
      <c r="BN64" s="696" t="str">
        <f t="shared" si="23"/>
        <v/>
      </c>
      <c r="BO64" s="696" t="str">
        <f t="shared" si="28"/>
        <v/>
      </c>
      <c r="BP64" s="696" t="str">
        <f t="shared" si="29"/>
        <v/>
      </c>
      <c r="BQ64" s="696" t="str">
        <f t="shared" si="30"/>
        <v/>
      </c>
      <c r="BS64" s="701" t="s">
        <v>371</v>
      </c>
      <c r="BT64" s="696">
        <f>IF(OR(BT34="",BT34=0),0,4)</f>
        <v>0</v>
      </c>
      <c r="BU64" s="696">
        <f>IF(OR(BU34="",BU34=0),0,4)</f>
        <v>0</v>
      </c>
      <c r="BV64" s="696">
        <f>IF(OR(BV34="",BV34=0),0,4)</f>
        <v>0</v>
      </c>
      <c r="BW64" s="696">
        <f>IF(OR(BW34="",BW34=0),0,4)</f>
        <v>0</v>
      </c>
      <c r="CC64" s="695" t="str">
        <f t="shared" si="36"/>
        <v>中泊/特</v>
      </c>
      <c r="CD64" s="712">
        <f t="shared" ref="CD64:CD88" si="37">BV13</f>
        <v>0</v>
      </c>
      <c r="CE64" s="695">
        <f>IF(OR(BV13="",BV13=0),0,61)</f>
        <v>0</v>
      </c>
      <c r="CF64" s="695">
        <v>330</v>
      </c>
      <c r="CG64" s="729">
        <v>61</v>
      </c>
    </row>
    <row r="65" spans="1:106" ht="24.95" customHeight="1">
      <c r="A65" s="192">
        <v>31</v>
      </c>
      <c r="B65" s="1775"/>
      <c r="C65" s="1806"/>
      <c r="D65" s="1806"/>
      <c r="E65" s="1806"/>
      <c r="F65" s="1806"/>
      <c r="G65" s="1807"/>
      <c r="H65" s="193"/>
      <c r="I65" s="194"/>
      <c r="J65" s="195"/>
      <c r="K65" s="1744"/>
      <c r="L65" s="1745"/>
      <c r="M65" s="1746"/>
      <c r="N65" s="197">
        <v>61</v>
      </c>
      <c r="O65" s="1775"/>
      <c r="P65" s="1806"/>
      <c r="Q65" s="1806"/>
      <c r="R65" s="1806"/>
      <c r="S65" s="1806"/>
      <c r="T65" s="1807"/>
      <c r="U65" s="193"/>
      <c r="V65" s="194"/>
      <c r="W65" s="195"/>
      <c r="X65" s="1744"/>
      <c r="Y65" s="1745"/>
      <c r="Z65" s="1746"/>
      <c r="BA65" s="716">
        <v>53</v>
      </c>
      <c r="BB65" s="717">
        <f t="shared" si="33"/>
        <v>0</v>
      </c>
      <c r="BC65" s="520">
        <f t="shared" si="34"/>
        <v>0</v>
      </c>
      <c r="BD65" s="702">
        <f t="shared" si="35"/>
        <v>0</v>
      </c>
      <c r="BE65" s="702">
        <f t="shared" si="35"/>
        <v>0</v>
      </c>
      <c r="BH65" s="520" t="str">
        <f t="shared" si="21"/>
        <v/>
      </c>
      <c r="BI65" s="520" t="str">
        <f t="shared" si="25"/>
        <v/>
      </c>
      <c r="BJ65" s="520" t="str">
        <f t="shared" si="31"/>
        <v/>
      </c>
      <c r="BK65" s="520" t="str">
        <f t="shared" si="22"/>
        <v/>
      </c>
      <c r="BL65" s="696" t="str">
        <f t="shared" si="26"/>
        <v/>
      </c>
      <c r="BM65" s="696" t="str">
        <f t="shared" si="27"/>
        <v/>
      </c>
      <c r="BN65" s="696" t="str">
        <f t="shared" si="23"/>
        <v/>
      </c>
      <c r="BO65" s="696" t="str">
        <f t="shared" si="28"/>
        <v/>
      </c>
      <c r="BP65" s="696" t="str">
        <f t="shared" si="29"/>
        <v/>
      </c>
      <c r="BQ65" s="696" t="str">
        <f t="shared" si="30"/>
        <v/>
      </c>
      <c r="BS65" s="701" t="s">
        <v>372</v>
      </c>
      <c r="BT65" s="696">
        <f>IF(OR(BT35="",BT35=0),0,3)</f>
        <v>0</v>
      </c>
      <c r="BU65" s="696">
        <f>IF(OR(BU35="",BU35=0),0,3)</f>
        <v>0</v>
      </c>
      <c r="BV65" s="696">
        <f>IF(OR(BV35="",BV35=0),0,3)</f>
        <v>0</v>
      </c>
      <c r="BW65" s="696">
        <f>IF(OR(BW35="",BW35=0),0,3)</f>
        <v>0</v>
      </c>
      <c r="CC65" s="695" t="str">
        <f t="shared" si="36"/>
        <v>中泊/身</v>
      </c>
      <c r="CD65" s="712">
        <f t="shared" si="37"/>
        <v>0</v>
      </c>
      <c r="CE65" s="695">
        <f>IF(OR(BV14="",BV14=0),0,60)</f>
        <v>0</v>
      </c>
      <c r="CF65" s="695">
        <v>330</v>
      </c>
      <c r="CG65" s="729">
        <v>60</v>
      </c>
    </row>
    <row r="66" spans="1:106" ht="24.95" customHeight="1">
      <c r="A66" s="192">
        <v>32</v>
      </c>
      <c r="B66" s="1775"/>
      <c r="C66" s="1806"/>
      <c r="D66" s="1806"/>
      <c r="E66" s="1806"/>
      <c r="F66" s="1806"/>
      <c r="G66" s="1807"/>
      <c r="H66" s="193"/>
      <c r="I66" s="194"/>
      <c r="J66" s="195"/>
      <c r="K66" s="1744"/>
      <c r="L66" s="1745"/>
      <c r="M66" s="1746"/>
      <c r="N66" s="197">
        <v>62</v>
      </c>
      <c r="O66" s="1775"/>
      <c r="P66" s="1806"/>
      <c r="Q66" s="1806"/>
      <c r="R66" s="1806"/>
      <c r="S66" s="1806"/>
      <c r="T66" s="1807"/>
      <c r="U66" s="193"/>
      <c r="V66" s="194"/>
      <c r="W66" s="195"/>
      <c r="X66" s="1744"/>
      <c r="Y66" s="1745"/>
      <c r="Z66" s="1746"/>
      <c r="BA66" s="716">
        <v>54</v>
      </c>
      <c r="BB66" s="717">
        <f t="shared" si="33"/>
        <v>0</v>
      </c>
      <c r="BC66" s="520">
        <f t="shared" si="34"/>
        <v>0</v>
      </c>
      <c r="BD66" s="702">
        <f t="shared" si="35"/>
        <v>0</v>
      </c>
      <c r="BE66" s="702">
        <f t="shared" si="35"/>
        <v>0</v>
      </c>
      <c r="BH66" s="520" t="str">
        <f t="shared" si="21"/>
        <v/>
      </c>
      <c r="BI66" s="520" t="str">
        <f t="shared" si="25"/>
        <v/>
      </c>
      <c r="BJ66" s="520" t="str">
        <f t="shared" si="31"/>
        <v/>
      </c>
      <c r="BK66" s="520" t="str">
        <f t="shared" si="22"/>
        <v/>
      </c>
      <c r="BL66" s="696" t="str">
        <f t="shared" si="26"/>
        <v/>
      </c>
      <c r="BM66" s="696" t="str">
        <f t="shared" si="27"/>
        <v/>
      </c>
      <c r="BN66" s="696" t="str">
        <f t="shared" si="23"/>
        <v/>
      </c>
      <c r="BO66" s="696" t="str">
        <f t="shared" si="28"/>
        <v/>
      </c>
      <c r="BP66" s="696" t="str">
        <f t="shared" si="29"/>
        <v/>
      </c>
      <c r="BQ66" s="696" t="str">
        <f t="shared" si="30"/>
        <v/>
      </c>
      <c r="BS66" s="701" t="s">
        <v>373</v>
      </c>
      <c r="BT66" s="696">
        <f>IF(OR(BT36="",BT36=0),0,2)</f>
        <v>0</v>
      </c>
      <c r="BU66" s="696">
        <f>IF(OR(BU36="",BU36=0),0,2)</f>
        <v>0</v>
      </c>
      <c r="BV66" s="696">
        <f>IF(OR(BV36="",BV36=0),0,2)</f>
        <v>0</v>
      </c>
      <c r="BW66" s="696">
        <f>IF(OR(BW36="",BW36=0),0,2)</f>
        <v>0</v>
      </c>
      <c r="CC66" s="695" t="str">
        <f t="shared" si="36"/>
        <v>中泊/療</v>
      </c>
      <c r="CD66" s="712">
        <f t="shared" si="37"/>
        <v>0</v>
      </c>
      <c r="CE66" s="695">
        <f>IF(OR(BV15="",BV15=0),0,59)</f>
        <v>0</v>
      </c>
      <c r="CF66" s="695">
        <v>330</v>
      </c>
      <c r="CG66" s="729">
        <v>59</v>
      </c>
    </row>
    <row r="67" spans="1:106" ht="24.95" customHeight="1">
      <c r="A67" s="192">
        <v>33</v>
      </c>
      <c r="B67" s="1775"/>
      <c r="C67" s="1806"/>
      <c r="D67" s="1806"/>
      <c r="E67" s="1806"/>
      <c r="F67" s="1806"/>
      <c r="G67" s="1807"/>
      <c r="H67" s="193"/>
      <c r="I67" s="194"/>
      <c r="J67" s="195"/>
      <c r="K67" s="1744"/>
      <c r="L67" s="1745"/>
      <c r="M67" s="1746"/>
      <c r="N67" s="197">
        <v>63</v>
      </c>
      <c r="O67" s="1775"/>
      <c r="P67" s="1806"/>
      <c r="Q67" s="1806"/>
      <c r="R67" s="1806"/>
      <c r="S67" s="1806"/>
      <c r="T67" s="1807"/>
      <c r="U67" s="193"/>
      <c r="V67" s="194"/>
      <c r="W67" s="195"/>
      <c r="X67" s="1744"/>
      <c r="Y67" s="1745"/>
      <c r="Z67" s="1746"/>
      <c r="BA67" s="716">
        <v>55</v>
      </c>
      <c r="BB67" s="717">
        <f t="shared" si="33"/>
        <v>0</v>
      </c>
      <c r="BC67" s="520">
        <f t="shared" si="34"/>
        <v>0</v>
      </c>
      <c r="BD67" s="702">
        <f t="shared" si="35"/>
        <v>0</v>
      </c>
      <c r="BE67" s="702">
        <f t="shared" si="35"/>
        <v>0</v>
      </c>
      <c r="BH67" s="520" t="str">
        <f t="shared" si="21"/>
        <v/>
      </c>
      <c r="BI67" s="520" t="str">
        <f t="shared" si="25"/>
        <v/>
      </c>
      <c r="BJ67" s="520" t="str">
        <f t="shared" si="31"/>
        <v/>
      </c>
      <c r="BK67" s="520" t="str">
        <f t="shared" si="22"/>
        <v/>
      </c>
      <c r="BL67" s="696" t="str">
        <f t="shared" si="26"/>
        <v/>
      </c>
      <c r="BM67" s="696" t="str">
        <f t="shared" si="27"/>
        <v/>
      </c>
      <c r="BN67" s="696" t="str">
        <f t="shared" si="23"/>
        <v/>
      </c>
      <c r="BO67" s="696" t="str">
        <f t="shared" si="28"/>
        <v/>
      </c>
      <c r="BP67" s="696" t="str">
        <f t="shared" si="29"/>
        <v/>
      </c>
      <c r="BQ67" s="696" t="str">
        <f t="shared" si="30"/>
        <v/>
      </c>
      <c r="BS67" s="701" t="s">
        <v>390</v>
      </c>
      <c r="BT67" s="696">
        <f>IF(OR(BT37="",BT37=0),0,1)</f>
        <v>0</v>
      </c>
      <c r="BU67" s="696">
        <f>IF(OR(BU37="",BU37=0),0,1)</f>
        <v>0</v>
      </c>
      <c r="BV67" s="696">
        <f>IF(OR(BV37="",BV37=0),0,1)</f>
        <v>0</v>
      </c>
      <c r="BW67" s="696">
        <f>IF(OR(BW37="",BW37=0),0,1)</f>
        <v>0</v>
      </c>
      <c r="CC67" s="695" t="str">
        <f t="shared" si="36"/>
        <v>中泊/精</v>
      </c>
      <c r="CD67" s="712">
        <f t="shared" si="37"/>
        <v>0</v>
      </c>
      <c r="CE67" s="695">
        <f>IF(OR(BV16="",BV16=0),0,58)</f>
        <v>0</v>
      </c>
      <c r="CF67" s="695">
        <v>330</v>
      </c>
      <c r="CG67" s="729">
        <v>58</v>
      </c>
    </row>
    <row r="68" spans="1:106" ht="24.95" customHeight="1">
      <c r="A68" s="192">
        <v>34</v>
      </c>
      <c r="B68" s="1775"/>
      <c r="C68" s="1806"/>
      <c r="D68" s="1806"/>
      <c r="E68" s="1806"/>
      <c r="F68" s="1806"/>
      <c r="G68" s="1807"/>
      <c r="H68" s="193"/>
      <c r="I68" s="194"/>
      <c r="J68" s="195"/>
      <c r="K68" s="1744"/>
      <c r="L68" s="1745"/>
      <c r="M68" s="1746"/>
      <c r="N68" s="197">
        <v>64</v>
      </c>
      <c r="O68" s="1775"/>
      <c r="P68" s="1806"/>
      <c r="Q68" s="1806"/>
      <c r="R68" s="1806"/>
      <c r="S68" s="1806"/>
      <c r="T68" s="1807"/>
      <c r="U68" s="193"/>
      <c r="V68" s="194"/>
      <c r="W68" s="195"/>
      <c r="X68" s="1744"/>
      <c r="Y68" s="1745"/>
      <c r="Z68" s="1746"/>
      <c r="BA68" s="716">
        <v>56</v>
      </c>
      <c r="BB68" s="717">
        <f t="shared" si="33"/>
        <v>0</v>
      </c>
      <c r="BC68" s="520">
        <f t="shared" si="34"/>
        <v>0</v>
      </c>
      <c r="BD68" s="702">
        <f t="shared" si="35"/>
        <v>0</v>
      </c>
      <c r="BE68" s="702">
        <f t="shared" si="35"/>
        <v>0</v>
      </c>
      <c r="BH68" s="520" t="str">
        <f t="shared" si="21"/>
        <v/>
      </c>
      <c r="BI68" s="520" t="str">
        <f t="shared" si="25"/>
        <v/>
      </c>
      <c r="BJ68" s="520" t="str">
        <f t="shared" si="31"/>
        <v/>
      </c>
      <c r="BK68" s="520" t="str">
        <f t="shared" si="22"/>
        <v/>
      </c>
      <c r="BL68" s="696" t="str">
        <f t="shared" si="26"/>
        <v/>
      </c>
      <c r="BM68" s="696" t="str">
        <f t="shared" si="27"/>
        <v/>
      </c>
      <c r="BN68" s="696" t="str">
        <f t="shared" si="23"/>
        <v/>
      </c>
      <c r="BO68" s="696" t="str">
        <f t="shared" si="28"/>
        <v/>
      </c>
      <c r="BP68" s="696" t="str">
        <f t="shared" si="29"/>
        <v/>
      </c>
      <c r="BQ68" s="696" t="str">
        <f t="shared" si="30"/>
        <v/>
      </c>
      <c r="BS68" s="701" t="s">
        <v>1679</v>
      </c>
      <c r="CC68" s="695" t="str">
        <f t="shared" si="36"/>
        <v>中泊/介添</v>
      </c>
      <c r="CD68" s="712">
        <f t="shared" si="37"/>
        <v>0</v>
      </c>
      <c r="CE68" s="695">
        <f>IF(OR(BV17="",BV17=0),0,57)</f>
        <v>0</v>
      </c>
      <c r="CF68" s="695">
        <v>330</v>
      </c>
      <c r="CG68" s="729">
        <v>57</v>
      </c>
    </row>
    <row r="69" spans="1:106" ht="24.95" customHeight="1">
      <c r="A69" s="192">
        <v>35</v>
      </c>
      <c r="B69" s="1775"/>
      <c r="C69" s="1806"/>
      <c r="D69" s="1806"/>
      <c r="E69" s="1806"/>
      <c r="F69" s="1806"/>
      <c r="G69" s="1807"/>
      <c r="H69" s="193"/>
      <c r="I69" s="194"/>
      <c r="J69" s="195"/>
      <c r="K69" s="1744"/>
      <c r="L69" s="1745"/>
      <c r="M69" s="1746"/>
      <c r="N69" s="197">
        <v>65</v>
      </c>
      <c r="O69" s="1775"/>
      <c r="P69" s="1806"/>
      <c r="Q69" s="1806"/>
      <c r="R69" s="1806"/>
      <c r="S69" s="1806"/>
      <c r="T69" s="1807"/>
      <c r="U69" s="193"/>
      <c r="V69" s="194"/>
      <c r="W69" s="195"/>
      <c r="X69" s="1744"/>
      <c r="Y69" s="1745"/>
      <c r="Z69" s="1746"/>
      <c r="BA69" s="716">
        <v>57</v>
      </c>
      <c r="BB69" s="717">
        <f t="shared" si="33"/>
        <v>0</v>
      </c>
      <c r="BC69" s="520">
        <f t="shared" si="34"/>
        <v>0</v>
      </c>
      <c r="BD69" s="702">
        <f t="shared" si="35"/>
        <v>0</v>
      </c>
      <c r="BE69" s="702">
        <f t="shared" si="35"/>
        <v>0</v>
      </c>
      <c r="BH69" s="520" t="str">
        <f t="shared" si="21"/>
        <v/>
      </c>
      <c r="BI69" s="520" t="str">
        <f t="shared" si="25"/>
        <v/>
      </c>
      <c r="BJ69" s="520" t="str">
        <f t="shared" si="31"/>
        <v/>
      </c>
      <c r="BK69" s="520" t="str">
        <f t="shared" si="22"/>
        <v/>
      </c>
      <c r="BL69" s="696" t="str">
        <f t="shared" si="26"/>
        <v/>
      </c>
      <c r="BM69" s="696" t="str">
        <f t="shared" si="27"/>
        <v/>
      </c>
      <c r="BN69" s="696" t="str">
        <f t="shared" si="23"/>
        <v/>
      </c>
      <c r="BO69" s="696" t="str">
        <f t="shared" si="28"/>
        <v/>
      </c>
      <c r="BP69" s="696" t="str">
        <f t="shared" si="29"/>
        <v/>
      </c>
      <c r="BQ69" s="696" t="str">
        <f t="shared" si="30"/>
        <v/>
      </c>
      <c r="CC69" s="695" t="str">
        <f t="shared" si="36"/>
        <v>中泊/準・特</v>
      </c>
      <c r="CD69" s="712">
        <f t="shared" si="37"/>
        <v>0</v>
      </c>
      <c r="CE69" s="695">
        <f>IF(OR(BV18="",BV18=0),0,56)</f>
        <v>0</v>
      </c>
      <c r="CF69" s="695">
        <v>330</v>
      </c>
      <c r="CG69" s="729">
        <v>56</v>
      </c>
    </row>
    <row r="70" spans="1:106" ht="24.95" customHeight="1">
      <c r="A70" s="192">
        <v>36</v>
      </c>
      <c r="B70" s="1775"/>
      <c r="C70" s="1806"/>
      <c r="D70" s="1806"/>
      <c r="E70" s="1806"/>
      <c r="F70" s="1806"/>
      <c r="G70" s="1807"/>
      <c r="H70" s="193"/>
      <c r="I70" s="194"/>
      <c r="J70" s="195"/>
      <c r="K70" s="1744"/>
      <c r="L70" s="1745"/>
      <c r="M70" s="1746"/>
      <c r="N70" s="197">
        <v>66</v>
      </c>
      <c r="O70" s="1775"/>
      <c r="P70" s="1806"/>
      <c r="Q70" s="1806"/>
      <c r="R70" s="1806"/>
      <c r="S70" s="1806"/>
      <c r="T70" s="1807"/>
      <c r="U70" s="193"/>
      <c r="V70" s="194"/>
      <c r="W70" s="195"/>
      <c r="X70" s="1744"/>
      <c r="Y70" s="1745"/>
      <c r="Z70" s="1746"/>
      <c r="BA70" s="716">
        <v>58</v>
      </c>
      <c r="BB70" s="717">
        <f t="shared" si="33"/>
        <v>0</v>
      </c>
      <c r="BC70" s="520">
        <f t="shared" si="34"/>
        <v>0</v>
      </c>
      <c r="BD70" s="702">
        <f t="shared" si="35"/>
        <v>0</v>
      </c>
      <c r="BE70" s="702">
        <f t="shared" si="35"/>
        <v>0</v>
      </c>
      <c r="BF70" s="730" t="s">
        <v>1220</v>
      </c>
      <c r="BG70" s="520">
        <f>COUNTIFS(BF40:BQ69,"2一")*2</f>
        <v>0</v>
      </c>
      <c r="BH70" s="730" t="s">
        <v>1230</v>
      </c>
      <c r="BI70" s="520">
        <f>COUNTIFS(BF40:BQ69,"2一介添")</f>
        <v>0</v>
      </c>
      <c r="BJ70" s="730" t="s">
        <v>1219</v>
      </c>
      <c r="BK70" s="520">
        <f>COUNTIFS(BF40:BQ69,"2一")</f>
        <v>0</v>
      </c>
      <c r="CC70" s="695" t="str">
        <f t="shared" si="36"/>
        <v>中泊/準・身</v>
      </c>
      <c r="CD70" s="712">
        <f t="shared" si="37"/>
        <v>0</v>
      </c>
      <c r="CE70" s="695">
        <f>IF(OR(BV19="",BV19=0),0,55)</f>
        <v>0</v>
      </c>
      <c r="CF70" s="695">
        <v>330</v>
      </c>
      <c r="CG70" s="729">
        <v>55</v>
      </c>
    </row>
    <row r="71" spans="1:106" ht="24.95" customHeight="1">
      <c r="A71" s="192">
        <v>37</v>
      </c>
      <c r="B71" s="1775"/>
      <c r="C71" s="1806"/>
      <c r="D71" s="1806"/>
      <c r="E71" s="1806"/>
      <c r="F71" s="1806"/>
      <c r="G71" s="1807"/>
      <c r="H71" s="193"/>
      <c r="I71" s="194"/>
      <c r="J71" s="195"/>
      <c r="K71" s="1744"/>
      <c r="L71" s="1745"/>
      <c r="M71" s="1746"/>
      <c r="N71" s="197">
        <v>67</v>
      </c>
      <c r="O71" s="1775"/>
      <c r="P71" s="1806"/>
      <c r="Q71" s="1806"/>
      <c r="R71" s="1806"/>
      <c r="S71" s="1806"/>
      <c r="T71" s="1807"/>
      <c r="U71" s="193"/>
      <c r="V71" s="194"/>
      <c r="W71" s="195"/>
      <c r="X71" s="1744"/>
      <c r="Y71" s="1745"/>
      <c r="Z71" s="1746"/>
      <c r="BA71" s="716">
        <v>59</v>
      </c>
      <c r="BB71" s="717">
        <f t="shared" si="33"/>
        <v>0</v>
      </c>
      <c r="BC71" s="520">
        <f t="shared" si="34"/>
        <v>0</v>
      </c>
      <c r="BD71" s="702">
        <f t="shared" si="35"/>
        <v>0</v>
      </c>
      <c r="BE71" s="702">
        <f t="shared" si="35"/>
        <v>0</v>
      </c>
      <c r="CC71" s="695" t="str">
        <f t="shared" si="36"/>
        <v>中泊/準・療</v>
      </c>
      <c r="CD71" s="712">
        <f t="shared" si="37"/>
        <v>0</v>
      </c>
      <c r="CE71" s="695">
        <f>IF(OR(BV20="",BV20=0),0,54)</f>
        <v>0</v>
      </c>
      <c r="CF71" s="695">
        <v>330</v>
      </c>
      <c r="CG71" s="729">
        <v>54</v>
      </c>
    </row>
    <row r="72" spans="1:106" ht="24.95" customHeight="1">
      <c r="A72" s="192">
        <v>38</v>
      </c>
      <c r="B72" s="1775"/>
      <c r="C72" s="1806"/>
      <c r="D72" s="1806"/>
      <c r="E72" s="1806"/>
      <c r="F72" s="1806"/>
      <c r="G72" s="1807"/>
      <c r="H72" s="193"/>
      <c r="I72" s="194"/>
      <c r="J72" s="195"/>
      <c r="K72" s="1744"/>
      <c r="L72" s="1745"/>
      <c r="M72" s="1746"/>
      <c r="N72" s="197">
        <v>68</v>
      </c>
      <c r="O72" s="1775"/>
      <c r="P72" s="1806"/>
      <c r="Q72" s="1806"/>
      <c r="R72" s="1806"/>
      <c r="S72" s="1806"/>
      <c r="T72" s="1807"/>
      <c r="U72" s="193"/>
      <c r="V72" s="194"/>
      <c r="W72" s="195"/>
      <c r="X72" s="1744"/>
      <c r="Y72" s="1745"/>
      <c r="Z72" s="1746"/>
      <c r="BA72" s="716">
        <v>60</v>
      </c>
      <c r="BB72" s="717">
        <f t="shared" si="33"/>
        <v>0</v>
      </c>
      <c r="BC72" s="520">
        <f t="shared" si="34"/>
        <v>0</v>
      </c>
      <c r="BD72" s="702">
        <f t="shared" si="35"/>
        <v>0</v>
      </c>
      <c r="BE72" s="702">
        <f t="shared" si="35"/>
        <v>0</v>
      </c>
      <c r="BF72" s="1727" t="s">
        <v>1702</v>
      </c>
      <c r="BG72" s="1727"/>
      <c r="BH72" s="1727"/>
      <c r="BI72" s="1727"/>
      <c r="BJ72" s="1727"/>
      <c r="BK72" s="1727"/>
      <c r="BL72" s="1727"/>
      <c r="BM72" s="1727"/>
      <c r="BN72" s="1727"/>
      <c r="CC72" s="695" t="str">
        <f t="shared" si="36"/>
        <v>中泊/準・精</v>
      </c>
      <c r="CD72" s="712">
        <f t="shared" si="37"/>
        <v>0</v>
      </c>
      <c r="CE72" s="695">
        <f>IF(OR(BV21="",BV21=0),0,53)</f>
        <v>0</v>
      </c>
      <c r="CF72" s="695">
        <v>330</v>
      </c>
      <c r="CG72" s="729">
        <v>53</v>
      </c>
    </row>
    <row r="73" spans="1:106" ht="24.95" customHeight="1">
      <c r="A73" s="192">
        <v>39</v>
      </c>
      <c r="B73" s="1775"/>
      <c r="C73" s="1806"/>
      <c r="D73" s="1806"/>
      <c r="E73" s="1806"/>
      <c r="F73" s="1806"/>
      <c r="G73" s="1807"/>
      <c r="H73" s="193"/>
      <c r="I73" s="194"/>
      <c r="J73" s="195"/>
      <c r="K73" s="1744"/>
      <c r="L73" s="1745"/>
      <c r="M73" s="1746"/>
      <c r="N73" s="197">
        <v>69</v>
      </c>
      <c r="O73" s="1775"/>
      <c r="P73" s="1806"/>
      <c r="Q73" s="1806"/>
      <c r="R73" s="1806"/>
      <c r="S73" s="1806"/>
      <c r="T73" s="1807"/>
      <c r="U73" s="193"/>
      <c r="V73" s="194"/>
      <c r="W73" s="195"/>
      <c r="X73" s="1744"/>
      <c r="Y73" s="1745"/>
      <c r="Z73" s="1746"/>
      <c r="BA73" s="716">
        <v>61</v>
      </c>
      <c r="BB73" s="717">
        <f t="shared" si="33"/>
        <v>0</v>
      </c>
      <c r="BC73" s="520">
        <f t="shared" si="34"/>
        <v>0</v>
      </c>
      <c r="BD73" s="702">
        <f t="shared" si="35"/>
        <v>0</v>
      </c>
      <c r="BE73" s="702">
        <f t="shared" si="35"/>
        <v>0</v>
      </c>
      <c r="BF73" s="695" t="s">
        <v>1207</v>
      </c>
      <c r="BG73" s="695" t="s">
        <v>1698</v>
      </c>
      <c r="BH73" s="695" t="s">
        <v>1671</v>
      </c>
      <c r="BI73" s="695" t="s">
        <v>1699</v>
      </c>
      <c r="BJ73" s="695" t="s">
        <v>1674</v>
      </c>
      <c r="BK73" s="695" t="s">
        <v>1700</v>
      </c>
      <c r="BL73" s="695" t="s">
        <v>1683</v>
      </c>
      <c r="BM73" s="695" t="s">
        <v>1701</v>
      </c>
      <c r="BN73" s="695" t="s">
        <v>1678</v>
      </c>
      <c r="BO73" s="695"/>
      <c r="BP73" s="695"/>
      <c r="BQ73" s="695"/>
      <c r="CC73" s="695" t="str">
        <f t="shared" si="36"/>
        <v>中泊/特・身</v>
      </c>
      <c r="CD73" s="712">
        <f t="shared" si="37"/>
        <v>0</v>
      </c>
      <c r="CE73" s="695">
        <f>IF(OR(BV22="",BV22=0),0,52)</f>
        <v>0</v>
      </c>
      <c r="CF73" s="695">
        <v>330</v>
      </c>
      <c r="CG73" s="729">
        <v>52</v>
      </c>
    </row>
    <row r="74" spans="1:106" ht="24.95" customHeight="1">
      <c r="A74" s="192">
        <v>40</v>
      </c>
      <c r="B74" s="1775"/>
      <c r="C74" s="1806"/>
      <c r="D74" s="1806"/>
      <c r="E74" s="1806"/>
      <c r="F74" s="1806"/>
      <c r="G74" s="1807"/>
      <c r="H74" s="193"/>
      <c r="I74" s="194"/>
      <c r="J74" s="195"/>
      <c r="K74" s="1744"/>
      <c r="L74" s="1745"/>
      <c r="M74" s="1746"/>
      <c r="N74" s="197">
        <v>70</v>
      </c>
      <c r="O74" s="1821"/>
      <c r="P74" s="1822"/>
      <c r="Q74" s="1822"/>
      <c r="R74" s="1822"/>
      <c r="S74" s="1822"/>
      <c r="T74" s="1823"/>
      <c r="U74" s="193"/>
      <c r="V74" s="194"/>
      <c r="W74" s="195"/>
      <c r="X74" s="1744"/>
      <c r="Y74" s="1745"/>
      <c r="Z74" s="1746"/>
      <c r="BA74" s="716">
        <v>62</v>
      </c>
      <c r="BB74" s="717">
        <f t="shared" si="33"/>
        <v>0</v>
      </c>
      <c r="BC74" s="520">
        <f t="shared" si="34"/>
        <v>0</v>
      </c>
      <c r="BD74" s="702">
        <f t="shared" si="35"/>
        <v>0</v>
      </c>
      <c r="BE74" s="702">
        <f t="shared" si="35"/>
        <v>0</v>
      </c>
      <c r="BF74" s="695">
        <v>1</v>
      </c>
      <c r="BG74" s="731">
        <f>COUNTIFS($H$13:$H$22,1,$J$13:$J$22,"小")</f>
        <v>0</v>
      </c>
      <c r="BH74" s="731">
        <f>COUNTIFS($I$13:$I$22,1,$J$13:$J$22,"小")+COUNTIFS($I$13:$I$22,2,$J$13:$J$22,"小")</f>
        <v>0</v>
      </c>
      <c r="BI74" s="731">
        <f>COUNTIFS($H$13:$H$22,1,$J$13:$J$22,"中")</f>
        <v>0</v>
      </c>
      <c r="BJ74" s="731">
        <f>COUNTIFS($I$13:$I$22,1,$J$13:$J$22,"中")+COUNTIFS($I$13:$I$22,2,$J$13:$J$22,"中")</f>
        <v>0</v>
      </c>
      <c r="BK74" s="731">
        <f>COUNTIFS($H$13:$H$22,1,$J$13:$J$22,"引")</f>
        <v>0</v>
      </c>
      <c r="BL74" s="731">
        <f>COUNTIFS($I$13:$I$22,1,$J$13:$J$22,"引")+COUNTIFS($I$13:$I$22,2,$J$13:$J$22,"引")</f>
        <v>0</v>
      </c>
      <c r="BM74" s="731">
        <f>COUNTIFS($H$13:$H$22,1,$J$13:$J$22,"一")</f>
        <v>0</v>
      </c>
      <c r="BN74" s="731">
        <f>COUNTIFS($I$13:$I$22,1,$J$13:$J$22,"一")+COUNTIFS($I$13:$I$22,2,$J$13:$J$22,"一")</f>
        <v>0</v>
      </c>
      <c r="CC74" s="695" t="str">
        <f t="shared" si="36"/>
        <v>中泊/特・療</v>
      </c>
      <c r="CD74" s="712">
        <f t="shared" si="37"/>
        <v>0</v>
      </c>
      <c r="CE74" s="695">
        <f>IF(OR(BV23="",BV23=0),0,51)</f>
        <v>0</v>
      </c>
      <c r="CF74" s="695">
        <v>330</v>
      </c>
      <c r="CG74" s="729">
        <v>51</v>
      </c>
    </row>
    <row r="75" spans="1:106" ht="24.95" customHeight="1">
      <c r="A75" s="192">
        <v>41</v>
      </c>
      <c r="B75" s="1775"/>
      <c r="C75" s="1806"/>
      <c r="D75" s="1806"/>
      <c r="E75" s="1806"/>
      <c r="F75" s="1806"/>
      <c r="G75" s="1807"/>
      <c r="H75" s="193"/>
      <c r="I75" s="194"/>
      <c r="J75" s="195"/>
      <c r="K75" s="1744"/>
      <c r="L75" s="1745"/>
      <c r="M75" s="1746"/>
      <c r="N75" s="197">
        <v>71</v>
      </c>
      <c r="O75" s="1775"/>
      <c r="P75" s="1806"/>
      <c r="Q75" s="1806"/>
      <c r="R75" s="1806"/>
      <c r="S75" s="1806"/>
      <c r="T75" s="1807"/>
      <c r="U75" s="193"/>
      <c r="V75" s="194"/>
      <c r="W75" s="195"/>
      <c r="X75" s="1744"/>
      <c r="Y75" s="1745"/>
      <c r="Z75" s="1746"/>
      <c r="BA75" s="716">
        <v>63</v>
      </c>
      <c r="BB75" s="717">
        <f t="shared" si="33"/>
        <v>0</v>
      </c>
      <c r="BC75" s="520">
        <f t="shared" si="34"/>
        <v>0</v>
      </c>
      <c r="BD75" s="702">
        <f t="shared" si="35"/>
        <v>0</v>
      </c>
      <c r="BE75" s="702">
        <f t="shared" si="35"/>
        <v>0</v>
      </c>
      <c r="BF75" s="695">
        <v>2</v>
      </c>
      <c r="BG75" s="731">
        <f>COUNTIFS($U$13:$U$22,1,$W$13:$W$22,"小")</f>
        <v>0</v>
      </c>
      <c r="BH75" s="731">
        <f>COUNTIFS($V$13:$V$22,1,$W$13:$W$22,"小")+COUNTIFS($V$13:$V$22,2,$W$13:$W$22,"小")</f>
        <v>0</v>
      </c>
      <c r="BI75" s="731">
        <f>COUNTIFS($U$13:$U$22,1,$W$13:$W$22,"中")</f>
        <v>0</v>
      </c>
      <c r="BJ75" s="731">
        <f>COUNTIFS($V$13:$V$22,1,$W$13:$W$22,"中")+COUNTIFS($V$13:$V$22,2,$W$13:$W$22,"中")</f>
        <v>0</v>
      </c>
      <c r="BK75" s="731">
        <f>COUNTIFS($U$13:$U$22,1,$W$13:$W$22,"引")</f>
        <v>0</v>
      </c>
      <c r="BL75" s="731">
        <f>COUNTIFS($V$13:$V$22,1,$W$13:$W$22,"引")+COUNTIFS($V$13:$V$22,2,$W$13:$W$22,"引")</f>
        <v>0</v>
      </c>
      <c r="BM75" s="731">
        <f>COUNTIFS($U$13:$U$22,1,$W$13:$W$22,"一")</f>
        <v>0</v>
      </c>
      <c r="BN75" s="731">
        <f>COUNTIFS($V$13:$V$22,1,$W$13:$W$22,"一")+COUNTIFS($V$13:$V$22,2,$W$13:$W$22,"一")</f>
        <v>0</v>
      </c>
      <c r="CC75" s="695" t="str">
        <f t="shared" si="36"/>
        <v>中泊/特・精</v>
      </c>
      <c r="CD75" s="712">
        <f t="shared" si="37"/>
        <v>0</v>
      </c>
      <c r="CE75" s="695">
        <f>IF(OR(BV24="",BV24=0),0,50)</f>
        <v>0</v>
      </c>
      <c r="CF75" s="695">
        <v>330</v>
      </c>
      <c r="CG75" s="729">
        <v>50</v>
      </c>
    </row>
    <row r="76" spans="1:106" s="18" customFormat="1" ht="24.95" customHeight="1">
      <c r="A76" s="192">
        <v>42</v>
      </c>
      <c r="B76" s="1775"/>
      <c r="C76" s="1806"/>
      <c r="D76" s="1806"/>
      <c r="E76" s="1806"/>
      <c r="F76" s="1806"/>
      <c r="G76" s="1807"/>
      <c r="H76" s="193"/>
      <c r="I76" s="194"/>
      <c r="J76" s="195"/>
      <c r="K76" s="1744"/>
      <c r="L76" s="1745"/>
      <c r="M76" s="1746"/>
      <c r="N76" s="197">
        <v>72</v>
      </c>
      <c r="O76" s="1775"/>
      <c r="P76" s="1806"/>
      <c r="Q76" s="1806"/>
      <c r="R76" s="1806"/>
      <c r="S76" s="1806"/>
      <c r="T76" s="1807"/>
      <c r="U76" s="193"/>
      <c r="V76" s="194"/>
      <c r="W76" s="195"/>
      <c r="X76" s="1744"/>
      <c r="Y76" s="1745"/>
      <c r="Z76" s="1746"/>
      <c r="BA76" s="716">
        <v>64</v>
      </c>
      <c r="BB76" s="717">
        <f t="shared" si="33"/>
        <v>0</v>
      </c>
      <c r="BC76" s="520">
        <f t="shared" si="34"/>
        <v>0</v>
      </c>
      <c r="BD76" s="702">
        <f t="shared" si="35"/>
        <v>0</v>
      </c>
      <c r="BE76" s="702">
        <f t="shared" si="35"/>
        <v>0</v>
      </c>
      <c r="BF76" s="695">
        <v>3</v>
      </c>
      <c r="BG76" s="731">
        <f>COUNTIFS($H$55:$H$84,1,$J$55:$J$84,"小")</f>
        <v>0</v>
      </c>
      <c r="BH76" s="731">
        <f>COUNTIFS($I$55:$I$84,1,$J$55:$J$84,"小")+COUNTIFS($I$55:$I$84,2,$J$55:$J$84,"小")</f>
        <v>0</v>
      </c>
      <c r="BI76" s="731">
        <f>COUNTIFS($H$55:$H$84,1,$J$55:$J$84,"中")</f>
        <v>0</v>
      </c>
      <c r="BJ76" s="731">
        <f>COUNTIFS($I$55:$I$84,1,$J$55:$J$84,"中")+COUNTIFS($I$55:$I$84,2,$J$55:$J$84,"中")</f>
        <v>0</v>
      </c>
      <c r="BK76" s="731">
        <f>COUNTIFS($H$55:$H$84,1,$J$55:$J$84,"引")</f>
        <v>0</v>
      </c>
      <c r="BL76" s="731">
        <f>COUNTIFS($I$55:$I$84,1,$J$55:$J$84,"引")+COUNTIFS($I$55:$I$84,2,$J$55:$J$84,"引")</f>
        <v>0</v>
      </c>
      <c r="BM76" s="731">
        <f>COUNTIFS($H$55:$H$84,1,$J$55:$J$84,"一")</f>
        <v>0</v>
      </c>
      <c r="BN76" s="731">
        <f>COUNTIFS($I$55:$I$84,1,$J$55:$J$84,"一")+COUNTIFS($I$55:$I$84,2,$J$55:$J$84,"一")</f>
        <v>0</v>
      </c>
      <c r="BO76" s="520"/>
      <c r="BP76" s="520"/>
      <c r="BQ76" s="732"/>
      <c r="BR76" s="732"/>
      <c r="BS76" s="732"/>
      <c r="BT76" s="732"/>
      <c r="BU76" s="732"/>
      <c r="BV76" s="732"/>
      <c r="BW76" s="732"/>
      <c r="BX76" s="732"/>
      <c r="BY76" s="732"/>
      <c r="BZ76" s="732"/>
      <c r="CA76" s="732"/>
      <c r="CB76" s="732"/>
      <c r="CC76" s="695" t="str">
        <f t="shared" si="36"/>
        <v>中泊/身・療</v>
      </c>
      <c r="CD76" s="712">
        <f t="shared" si="37"/>
        <v>0</v>
      </c>
      <c r="CE76" s="695">
        <f>IF(OR(BV25="",BV25=0),0,49)</f>
        <v>0</v>
      </c>
      <c r="CF76" s="695">
        <v>330</v>
      </c>
      <c r="CG76" s="729">
        <v>49</v>
      </c>
      <c r="CH76" s="732"/>
      <c r="CI76" s="733"/>
      <c r="CJ76" s="733"/>
      <c r="CK76" s="732"/>
      <c r="CL76" s="732"/>
      <c r="CM76" s="732"/>
      <c r="CN76" s="732"/>
      <c r="CO76" s="732"/>
      <c r="CP76" s="732"/>
      <c r="CQ76" s="732"/>
      <c r="CR76" s="732"/>
      <c r="CS76" s="732"/>
      <c r="CT76" s="732"/>
      <c r="CU76" s="732"/>
      <c r="CV76" s="732"/>
      <c r="CW76" s="732"/>
      <c r="CX76" s="732"/>
      <c r="CY76" s="732"/>
      <c r="CZ76" s="732"/>
      <c r="DA76" s="732"/>
      <c r="DB76" s="732"/>
    </row>
    <row r="77" spans="1:106" s="18" customFormat="1" ht="24.95" customHeight="1">
      <c r="A77" s="192">
        <v>43</v>
      </c>
      <c r="B77" s="1775"/>
      <c r="C77" s="1806"/>
      <c r="D77" s="1806"/>
      <c r="E77" s="1806"/>
      <c r="F77" s="1806"/>
      <c r="G77" s="1807"/>
      <c r="H77" s="193"/>
      <c r="I77" s="194"/>
      <c r="J77" s="195"/>
      <c r="K77" s="1744"/>
      <c r="L77" s="1745"/>
      <c r="M77" s="1746"/>
      <c r="N77" s="197">
        <v>73</v>
      </c>
      <c r="O77" s="1775"/>
      <c r="P77" s="1806"/>
      <c r="Q77" s="1806"/>
      <c r="R77" s="1806"/>
      <c r="S77" s="1806"/>
      <c r="T77" s="1807"/>
      <c r="U77" s="193"/>
      <c r="V77" s="194"/>
      <c r="W77" s="195"/>
      <c r="X77" s="1744"/>
      <c r="Y77" s="1745"/>
      <c r="Z77" s="1746"/>
      <c r="BA77" s="716">
        <v>65</v>
      </c>
      <c r="BB77" s="717">
        <f t="shared" si="33"/>
        <v>0</v>
      </c>
      <c r="BC77" s="520">
        <f t="shared" si="34"/>
        <v>0</v>
      </c>
      <c r="BD77" s="702">
        <f t="shared" si="35"/>
        <v>0</v>
      </c>
      <c r="BE77" s="702">
        <f t="shared" si="35"/>
        <v>0</v>
      </c>
      <c r="BF77" s="695">
        <v>4</v>
      </c>
      <c r="BG77" s="731">
        <f>COUNTIFS($U$55:$U$84,1,$W$55:$W$84,"小")</f>
        <v>0</v>
      </c>
      <c r="BH77" s="731">
        <f>COUNTIFS($V$55:$V$84,1,$W$55:$W$84,"小")+COUNTIFS($V$55:$V$84,2,$W$55:$W$84,"小")</f>
        <v>0</v>
      </c>
      <c r="BI77" s="731">
        <f>COUNTIFS($U$55:$U$84,1,$W$55:$W$84,"中")</f>
        <v>0</v>
      </c>
      <c r="BJ77" s="731">
        <f>COUNTIFS($V$55:$V$84,1,$W$55:$W$84,"中")+COUNTIFS($V$55:$V$84,2,$W$55:$W$84,"中")</f>
        <v>0</v>
      </c>
      <c r="BK77" s="731">
        <f>COUNTIFS($U$55:$U$84,1,$W$55:$W$84,"引")</f>
        <v>0</v>
      </c>
      <c r="BL77" s="731">
        <f>COUNTIFS($V$55:$V$84,1,$W$55:$W$84,"引")+COUNTIFS($V$55:$V$84,2,$W$55:$W$84,"引")</f>
        <v>0</v>
      </c>
      <c r="BM77" s="731">
        <f>COUNTIFS($U$55:$U$84,1,$W$55:$W$84,"一")</f>
        <v>0</v>
      </c>
      <c r="BN77" s="731">
        <f>COUNTIFS($V$55:$V$84,1,$W$55:$W$84,"一")+COUNTIFS($V$55:$V$84,2,$W$55:$W$84,"一")</f>
        <v>0</v>
      </c>
      <c r="BO77" s="520"/>
      <c r="BP77" s="520"/>
      <c r="BQ77" s="732"/>
      <c r="BR77" s="732"/>
      <c r="BS77" s="732"/>
      <c r="BT77" s="732"/>
      <c r="BU77" s="732"/>
      <c r="BV77" s="732"/>
      <c r="BW77" s="732"/>
      <c r="BX77" s="732"/>
      <c r="BY77" s="732"/>
      <c r="BZ77" s="732"/>
      <c r="CA77" s="732"/>
      <c r="CB77" s="732"/>
      <c r="CC77" s="695" t="str">
        <f t="shared" si="36"/>
        <v>中泊/身・精</v>
      </c>
      <c r="CD77" s="712">
        <f t="shared" si="37"/>
        <v>0</v>
      </c>
      <c r="CE77" s="695">
        <f>IF(OR(BV26="",BV26=0),0,48)</f>
        <v>0</v>
      </c>
      <c r="CF77" s="695">
        <v>330</v>
      </c>
      <c r="CG77" s="729">
        <v>48</v>
      </c>
      <c r="CH77" s="732"/>
      <c r="CI77" s="733"/>
      <c r="CJ77" s="733"/>
      <c r="CK77" s="732"/>
      <c r="CL77" s="732"/>
      <c r="CM77" s="732"/>
      <c r="CN77" s="732"/>
      <c r="CO77" s="732"/>
      <c r="CP77" s="732"/>
      <c r="CQ77" s="732"/>
      <c r="CR77" s="732"/>
      <c r="CS77" s="732"/>
      <c r="CT77" s="732"/>
      <c r="CU77" s="732"/>
      <c r="CV77" s="732"/>
      <c r="CW77" s="732"/>
      <c r="CX77" s="732"/>
      <c r="CY77" s="732"/>
      <c r="CZ77" s="732"/>
      <c r="DA77" s="732"/>
      <c r="DB77" s="732"/>
    </row>
    <row r="78" spans="1:106" s="18" customFormat="1" ht="24.95" customHeight="1">
      <c r="A78" s="192">
        <v>44</v>
      </c>
      <c r="B78" s="1775"/>
      <c r="C78" s="1806"/>
      <c r="D78" s="1806"/>
      <c r="E78" s="1806"/>
      <c r="F78" s="1806"/>
      <c r="G78" s="1807"/>
      <c r="H78" s="193"/>
      <c r="I78" s="194"/>
      <c r="J78" s="195"/>
      <c r="K78" s="1744"/>
      <c r="L78" s="1745"/>
      <c r="M78" s="1746"/>
      <c r="N78" s="197">
        <v>74</v>
      </c>
      <c r="O78" s="1775"/>
      <c r="P78" s="1806"/>
      <c r="Q78" s="1806"/>
      <c r="R78" s="1806"/>
      <c r="S78" s="1806"/>
      <c r="T78" s="1807"/>
      <c r="U78" s="193"/>
      <c r="V78" s="194"/>
      <c r="W78" s="195"/>
      <c r="X78" s="1744"/>
      <c r="Y78" s="1745"/>
      <c r="Z78" s="1746"/>
      <c r="BA78" s="716">
        <v>66</v>
      </c>
      <c r="BB78" s="717">
        <f t="shared" si="33"/>
        <v>0</v>
      </c>
      <c r="BC78" s="520">
        <f t="shared" si="34"/>
        <v>0</v>
      </c>
      <c r="BD78" s="702">
        <f t="shared" si="35"/>
        <v>0</v>
      </c>
      <c r="BE78" s="702">
        <f t="shared" si="35"/>
        <v>0</v>
      </c>
      <c r="BF78" s="695">
        <v>5</v>
      </c>
      <c r="BG78" s="731">
        <f>COUNTIFS($H$98:$H$127,1,$J$98:$J$127,"小")</f>
        <v>0</v>
      </c>
      <c r="BH78" s="731">
        <f>COUNTIFS($I$98:$I$127,1,$J$98:$J$127,"小")+COUNTIFS($I$98:$I$127,2,$J$98:$J$127,"小")</f>
        <v>0</v>
      </c>
      <c r="BI78" s="731">
        <f>COUNTIFS($H$98:$H$127,1,$J$98:$J$127,"中")</f>
        <v>0</v>
      </c>
      <c r="BJ78" s="731">
        <f>COUNTIFS($I$98:$I$127,1,$J$98:$J$127,"中")+COUNTIFS($I$98:$I$127,2,$J$98:$J$127,"中")</f>
        <v>0</v>
      </c>
      <c r="BK78" s="731">
        <f>COUNTIFS($H$98:$H$127,1,$J$98:$J$127,"引")</f>
        <v>0</v>
      </c>
      <c r="BL78" s="731">
        <f>COUNTIFS($I$98:$I$127,1,$J$98:$J$127,"引")+COUNTIFS($I$98:$I$127,2,$J$98:$J$127,"引")</f>
        <v>0</v>
      </c>
      <c r="BM78" s="731">
        <f>COUNTIFS($H$98:$H$127,1,$J$98:$J$127,"一")</f>
        <v>0</v>
      </c>
      <c r="BN78" s="731">
        <f>COUNTIFS($I$98:$I$127,1,$J$98:$J$127,"一")+COUNTIFS($I$98:$I$127,2,$J$98:$J$127,"一")</f>
        <v>0</v>
      </c>
      <c r="BO78" s="520"/>
      <c r="BP78" s="520"/>
      <c r="BQ78" s="732"/>
      <c r="BR78" s="732"/>
      <c r="BS78" s="732"/>
      <c r="BT78" s="732"/>
      <c r="BU78" s="732"/>
      <c r="BV78" s="732"/>
      <c r="BW78" s="732"/>
      <c r="BX78" s="732"/>
      <c r="BY78" s="732"/>
      <c r="BZ78" s="732"/>
      <c r="CA78" s="732"/>
      <c r="CB78" s="732"/>
      <c r="CC78" s="695" t="str">
        <f t="shared" si="36"/>
        <v>中泊/療・精</v>
      </c>
      <c r="CD78" s="712">
        <f t="shared" si="37"/>
        <v>0</v>
      </c>
      <c r="CE78" s="695">
        <f>IF(OR(BV27="",BV27=0),0,47)</f>
        <v>0</v>
      </c>
      <c r="CF78" s="695">
        <v>330</v>
      </c>
      <c r="CG78" s="729">
        <v>47</v>
      </c>
      <c r="CH78" s="732"/>
      <c r="CI78" s="733"/>
      <c r="CJ78" s="733"/>
      <c r="CK78" s="732"/>
      <c r="CL78" s="732"/>
      <c r="CM78" s="732"/>
      <c r="CN78" s="732"/>
      <c r="CO78" s="732"/>
      <c r="CP78" s="732"/>
      <c r="CQ78" s="732"/>
      <c r="CR78" s="732"/>
      <c r="CS78" s="732"/>
      <c r="CT78" s="732"/>
      <c r="CU78" s="732"/>
      <c r="CV78" s="732"/>
      <c r="CW78" s="732"/>
      <c r="CX78" s="732"/>
      <c r="CY78" s="732"/>
      <c r="CZ78" s="732"/>
      <c r="DA78" s="732"/>
      <c r="DB78" s="732"/>
    </row>
    <row r="79" spans="1:106" s="18" customFormat="1" ht="24.95" customHeight="1">
      <c r="A79" s="192">
        <v>45</v>
      </c>
      <c r="B79" s="1775"/>
      <c r="C79" s="1806"/>
      <c r="D79" s="1806"/>
      <c r="E79" s="1806"/>
      <c r="F79" s="1806"/>
      <c r="G79" s="1807"/>
      <c r="H79" s="193"/>
      <c r="I79" s="194"/>
      <c r="J79" s="195"/>
      <c r="K79" s="1744"/>
      <c r="L79" s="1745"/>
      <c r="M79" s="1746"/>
      <c r="N79" s="197">
        <v>75</v>
      </c>
      <c r="O79" s="1775"/>
      <c r="P79" s="1806"/>
      <c r="Q79" s="1806"/>
      <c r="R79" s="1806"/>
      <c r="S79" s="1806"/>
      <c r="T79" s="1807"/>
      <c r="U79" s="193"/>
      <c r="V79" s="194"/>
      <c r="W79" s="195"/>
      <c r="X79" s="1744"/>
      <c r="Y79" s="1745"/>
      <c r="Z79" s="1746"/>
      <c r="BA79" s="716">
        <v>67</v>
      </c>
      <c r="BB79" s="717">
        <f t="shared" si="33"/>
        <v>0</v>
      </c>
      <c r="BC79" s="520">
        <f t="shared" si="34"/>
        <v>0</v>
      </c>
      <c r="BD79" s="702">
        <f t="shared" si="35"/>
        <v>0</v>
      </c>
      <c r="BE79" s="702">
        <f t="shared" si="35"/>
        <v>0</v>
      </c>
      <c r="BF79" s="695">
        <v>6</v>
      </c>
      <c r="BG79" s="731">
        <f>COUNTIFS($U$98:$U$127,1,$W$98:$W$127,"小")</f>
        <v>0</v>
      </c>
      <c r="BH79" s="731">
        <f>COUNTIFS($V$98:$V$127,1,$W$98:$W$127,"小")+COUNTIFS($V$98:$V$127,2,$W$98:$W$127,"小")</f>
        <v>0</v>
      </c>
      <c r="BI79" s="731">
        <f>COUNTIFS($U$98:$U$127,1,$W$98:$W$127,"中")</f>
        <v>0</v>
      </c>
      <c r="BJ79" s="731">
        <f>COUNTIFS($V$98:$V$127,1,$W$98:$W$127,"中")+COUNTIFS($V$98:$V$127,2,$W$98:$W$127,"中")</f>
        <v>0</v>
      </c>
      <c r="BK79" s="731">
        <f>COUNTIFS($U$98:$U$127,1,$W$98:$W$127,"引")</f>
        <v>0</v>
      </c>
      <c r="BL79" s="731">
        <f>COUNTIFS($V$98:$V$127,1,$W$98:$W$127,"引")+COUNTIFS($V$98:$V$127,2,$W$98:$W$127,"引")</f>
        <v>0</v>
      </c>
      <c r="BM79" s="731">
        <f>COUNTIFS($U$98:$U$127,1,$W$98:$W$127,"一")</f>
        <v>0</v>
      </c>
      <c r="BN79" s="731">
        <f>COUNTIFS($V$98:$V$127,1,$W$98:$W$127,"一")+COUNTIFS($V$98:$V$127,2,$W$98:$W$127,"一")</f>
        <v>0</v>
      </c>
      <c r="BO79" s="520"/>
      <c r="BP79" s="520"/>
      <c r="BQ79" s="732"/>
      <c r="BR79" s="732"/>
      <c r="BS79" s="732"/>
      <c r="BT79" s="732"/>
      <c r="BU79" s="732"/>
      <c r="BV79" s="732"/>
      <c r="BW79" s="732"/>
      <c r="BX79" s="732"/>
      <c r="BY79" s="732"/>
      <c r="BZ79" s="732"/>
      <c r="CA79" s="732"/>
      <c r="CB79" s="732"/>
      <c r="CC79" s="695" t="str">
        <f t="shared" si="36"/>
        <v>中泊/準・特・身</v>
      </c>
      <c r="CD79" s="712">
        <f t="shared" si="37"/>
        <v>0</v>
      </c>
      <c r="CE79" s="695">
        <f>IF(OR(BV28="",BV28=0),0,46)</f>
        <v>0</v>
      </c>
      <c r="CF79" s="695">
        <v>330</v>
      </c>
      <c r="CG79" s="729">
        <v>46</v>
      </c>
      <c r="CH79" s="732"/>
      <c r="CI79" s="733"/>
      <c r="CJ79" s="733"/>
      <c r="CK79" s="732"/>
      <c r="CL79" s="732"/>
      <c r="CM79" s="732"/>
      <c r="CN79" s="732"/>
      <c r="CO79" s="732"/>
      <c r="CP79" s="732"/>
      <c r="CQ79" s="732"/>
      <c r="CR79" s="732"/>
      <c r="CS79" s="732"/>
      <c r="CT79" s="732"/>
      <c r="CU79" s="732"/>
      <c r="CV79" s="732"/>
      <c r="CW79" s="732"/>
      <c r="CX79" s="732"/>
      <c r="CY79" s="732"/>
      <c r="CZ79" s="732"/>
      <c r="DA79" s="732"/>
      <c r="DB79" s="732"/>
    </row>
    <row r="80" spans="1:106" s="18" customFormat="1" ht="24.95" customHeight="1">
      <c r="A80" s="192">
        <v>46</v>
      </c>
      <c r="B80" s="1775"/>
      <c r="C80" s="1806"/>
      <c r="D80" s="1806"/>
      <c r="E80" s="1806"/>
      <c r="F80" s="1806"/>
      <c r="G80" s="1807"/>
      <c r="H80" s="193"/>
      <c r="I80" s="194"/>
      <c r="J80" s="195"/>
      <c r="K80" s="1744"/>
      <c r="L80" s="1745"/>
      <c r="M80" s="1746"/>
      <c r="N80" s="197">
        <v>76</v>
      </c>
      <c r="O80" s="1775"/>
      <c r="P80" s="1806"/>
      <c r="Q80" s="1806"/>
      <c r="R80" s="1806"/>
      <c r="S80" s="1806"/>
      <c r="T80" s="1807"/>
      <c r="U80" s="193"/>
      <c r="V80" s="194"/>
      <c r="W80" s="195"/>
      <c r="X80" s="1744"/>
      <c r="Y80" s="1745"/>
      <c r="Z80" s="1746"/>
      <c r="BA80" s="716">
        <v>68</v>
      </c>
      <c r="BB80" s="717">
        <f t="shared" si="33"/>
        <v>0</v>
      </c>
      <c r="BC80" s="520">
        <f t="shared" si="34"/>
        <v>0</v>
      </c>
      <c r="BD80" s="702">
        <f t="shared" si="35"/>
        <v>0</v>
      </c>
      <c r="BE80" s="702">
        <f t="shared" si="35"/>
        <v>0</v>
      </c>
      <c r="BF80" s="695">
        <v>7</v>
      </c>
      <c r="BG80" s="731">
        <f>COUNTIFS($H$141:$H$170,1,$J$141:$J$170,"小")</f>
        <v>0</v>
      </c>
      <c r="BH80" s="731">
        <f>COUNTIFS($I$141:$I$170,1,$J$141:$J$170,"小")+COUNTIFS($I$141:$I$170,2,$J$141:$J$170,"小")</f>
        <v>0</v>
      </c>
      <c r="BI80" s="731">
        <f>COUNTIFS($H$141:$H$170,1,$J$141:$J$170,"中")</f>
        <v>0</v>
      </c>
      <c r="BJ80" s="731">
        <f>COUNTIFS($I$141:$I$170,1,$J$141:$J$170,"中")+COUNTIFS($I$141:$I$170,2,$J$141:$J$170,"中")</f>
        <v>0</v>
      </c>
      <c r="BK80" s="731">
        <f>COUNTIFS($H$141:$H$170,1,$J$141:$J$170,"引")</f>
        <v>0</v>
      </c>
      <c r="BL80" s="731">
        <f>COUNTIFS($I$141:$I$170,1,$J$141:$J$170,"引")+COUNTIFS($I$141:$I$170,2,$J$141:$J$170,"引")</f>
        <v>0</v>
      </c>
      <c r="BM80" s="731">
        <f>COUNTIFS($H$141:$H$170,1,$J$141:$J$170,"一")</f>
        <v>0</v>
      </c>
      <c r="BN80" s="731">
        <f>COUNTIFS($I$141:$I$170,1,$J$141:$J$170,"一")+COUNTIFS($I$141:$I$170,2,$J$141:$J$170,"一")</f>
        <v>0</v>
      </c>
      <c r="BO80" s="520"/>
      <c r="BP80" s="520"/>
      <c r="BQ80" s="732"/>
      <c r="BR80" s="732"/>
      <c r="BS80" s="732"/>
      <c r="BT80" s="732"/>
      <c r="BU80" s="732"/>
      <c r="BV80" s="732"/>
      <c r="BW80" s="732"/>
      <c r="BX80" s="732"/>
      <c r="BY80" s="732"/>
      <c r="BZ80" s="732"/>
      <c r="CA80" s="732"/>
      <c r="CB80" s="732"/>
      <c r="CC80" s="695" t="str">
        <f t="shared" si="36"/>
        <v>中泊/準・特・療</v>
      </c>
      <c r="CD80" s="712">
        <f t="shared" si="37"/>
        <v>0</v>
      </c>
      <c r="CE80" s="695">
        <f>IF(OR(BV29="",BV29=0),0,45)</f>
        <v>0</v>
      </c>
      <c r="CF80" s="695">
        <v>330</v>
      </c>
      <c r="CG80" s="729">
        <v>45</v>
      </c>
      <c r="CH80" s="732"/>
      <c r="CI80" s="733"/>
      <c r="CJ80" s="733"/>
      <c r="CK80" s="732"/>
      <c r="CL80" s="732"/>
      <c r="CM80" s="732"/>
      <c r="CN80" s="732"/>
      <c r="CO80" s="732"/>
      <c r="CP80" s="732"/>
      <c r="CQ80" s="732"/>
      <c r="CR80" s="732"/>
      <c r="CS80" s="732"/>
      <c r="CT80" s="732"/>
      <c r="CU80" s="732"/>
      <c r="CV80" s="732"/>
      <c r="CW80" s="732"/>
      <c r="CX80" s="732"/>
      <c r="CY80" s="732"/>
      <c r="CZ80" s="732"/>
      <c r="DA80" s="732"/>
      <c r="DB80" s="732"/>
    </row>
    <row r="81" spans="1:106" s="18" customFormat="1" ht="24.95" customHeight="1">
      <c r="A81" s="192">
        <v>47</v>
      </c>
      <c r="B81" s="1775"/>
      <c r="C81" s="1806"/>
      <c r="D81" s="1806"/>
      <c r="E81" s="1806"/>
      <c r="F81" s="1806"/>
      <c r="G81" s="1807"/>
      <c r="H81" s="193"/>
      <c r="I81" s="194"/>
      <c r="J81" s="195"/>
      <c r="K81" s="1744"/>
      <c r="L81" s="1745"/>
      <c r="M81" s="1746"/>
      <c r="N81" s="197">
        <v>77</v>
      </c>
      <c r="O81" s="1824"/>
      <c r="P81" s="1806"/>
      <c r="Q81" s="1806"/>
      <c r="R81" s="1806"/>
      <c r="S81" s="1806"/>
      <c r="T81" s="1807"/>
      <c r="U81" s="193"/>
      <c r="V81" s="194"/>
      <c r="W81" s="195"/>
      <c r="X81" s="1744"/>
      <c r="Y81" s="1745"/>
      <c r="Z81" s="1746"/>
      <c r="BA81" s="716">
        <v>69</v>
      </c>
      <c r="BB81" s="717">
        <f t="shared" si="33"/>
        <v>0</v>
      </c>
      <c r="BC81" s="520">
        <f t="shared" si="34"/>
        <v>0</v>
      </c>
      <c r="BD81" s="702">
        <f t="shared" si="35"/>
        <v>0</v>
      </c>
      <c r="BE81" s="702">
        <f t="shared" si="35"/>
        <v>0</v>
      </c>
      <c r="BF81" s="695">
        <v>8</v>
      </c>
      <c r="BG81" s="731">
        <f>COUNTIFS($U$141:$U$170,1,$W$141:$W$170,"小")</f>
        <v>0</v>
      </c>
      <c r="BH81" s="731">
        <f>COUNTIFS($V$141:$V$170,1,$W$141:$W$170,"小")+COUNTIFS($V$141:$V$170,2,$W$141:$W$170,"小")</f>
        <v>0</v>
      </c>
      <c r="BI81" s="731">
        <f>COUNTIFS($U$141:$U$170,1,$W$141:$W$170,"中")</f>
        <v>0</v>
      </c>
      <c r="BJ81" s="731">
        <f>COUNTIFS($V$141:$V$170,1,$W$141:$W$170,"中")+COUNTIFS($V$141:$V$170,2,$W$141:$W$170,"中")</f>
        <v>0</v>
      </c>
      <c r="BK81" s="731">
        <f>COUNTIFS($U$141:$U$170,1,$W$141:$W$170,"引")</f>
        <v>0</v>
      </c>
      <c r="BL81" s="731">
        <f>COUNTIFS($V$141:$V$170,1,$W$141:$W$170,"引")+COUNTIFS($V$141:$V$170,2,$W$141:$W$170,"引")</f>
        <v>0</v>
      </c>
      <c r="BM81" s="731">
        <f>COUNTIFS($U$141:$U$170,1,$W$141:$W$170,"一")</f>
        <v>0</v>
      </c>
      <c r="BN81" s="731">
        <f>COUNTIFS($V$141:$V$170,1,$W$141:$W$170,"一")+COUNTIFS($V$141:$V$170,2,$W$141:$W$170,"一")</f>
        <v>0</v>
      </c>
      <c r="BO81" s="520"/>
      <c r="BP81" s="520"/>
      <c r="BQ81" s="732"/>
      <c r="BR81" s="732"/>
      <c r="BS81" s="732"/>
      <c r="BT81" s="732"/>
      <c r="BU81" s="732"/>
      <c r="BV81" s="732"/>
      <c r="BW81" s="732"/>
      <c r="BX81" s="732"/>
      <c r="BY81" s="732"/>
      <c r="BZ81" s="732"/>
      <c r="CA81" s="732"/>
      <c r="CB81" s="732"/>
      <c r="CC81" s="695" t="str">
        <f t="shared" si="36"/>
        <v>中泊/準・特・精</v>
      </c>
      <c r="CD81" s="712">
        <f t="shared" si="37"/>
        <v>0</v>
      </c>
      <c r="CE81" s="695">
        <f>IF(OR(BV30="",BV30=0),0,44)</f>
        <v>0</v>
      </c>
      <c r="CF81" s="695">
        <v>330</v>
      </c>
      <c r="CG81" s="729">
        <v>44</v>
      </c>
      <c r="CH81" s="732"/>
      <c r="CI81" s="733"/>
      <c r="CJ81" s="733"/>
      <c r="CK81" s="732"/>
      <c r="CL81" s="732"/>
      <c r="CM81" s="732"/>
      <c r="CN81" s="732"/>
      <c r="CO81" s="732"/>
      <c r="CP81" s="732"/>
      <c r="CQ81" s="732"/>
      <c r="CR81" s="732"/>
      <c r="CS81" s="732"/>
      <c r="CT81" s="732"/>
      <c r="CU81" s="732"/>
      <c r="CV81" s="732"/>
      <c r="CW81" s="732"/>
      <c r="CX81" s="732"/>
      <c r="CY81" s="732"/>
      <c r="CZ81" s="732"/>
      <c r="DA81" s="732"/>
      <c r="DB81" s="732"/>
    </row>
    <row r="82" spans="1:106" s="18" customFormat="1" ht="24.95" customHeight="1">
      <c r="A82" s="192">
        <v>48</v>
      </c>
      <c r="B82" s="1775"/>
      <c r="C82" s="1806"/>
      <c r="D82" s="1806"/>
      <c r="E82" s="1806"/>
      <c r="F82" s="1806"/>
      <c r="G82" s="1807"/>
      <c r="H82" s="193"/>
      <c r="I82" s="194"/>
      <c r="J82" s="195"/>
      <c r="K82" s="1744"/>
      <c r="L82" s="1745"/>
      <c r="M82" s="1746"/>
      <c r="N82" s="197">
        <v>78</v>
      </c>
      <c r="O82" s="1824"/>
      <c r="P82" s="1806"/>
      <c r="Q82" s="1806"/>
      <c r="R82" s="1806"/>
      <c r="S82" s="1806"/>
      <c r="T82" s="1807"/>
      <c r="U82" s="193"/>
      <c r="V82" s="194"/>
      <c r="W82" s="195"/>
      <c r="X82" s="1744"/>
      <c r="Y82" s="1745"/>
      <c r="Z82" s="1746"/>
      <c r="BA82" s="716">
        <v>70</v>
      </c>
      <c r="BB82" s="717">
        <f t="shared" si="33"/>
        <v>0</v>
      </c>
      <c r="BC82" s="520">
        <f t="shared" si="34"/>
        <v>0</v>
      </c>
      <c r="BD82" s="702">
        <f t="shared" si="35"/>
        <v>0</v>
      </c>
      <c r="BE82" s="702">
        <f t="shared" si="35"/>
        <v>0</v>
      </c>
      <c r="BF82" s="695">
        <v>9</v>
      </c>
      <c r="BG82" s="520">
        <f>COUNTIFS($H$184:$H$213,1,$J$184:$J$213,"小")</f>
        <v>0</v>
      </c>
      <c r="BH82" s="731">
        <f>COUNTIFS($I$184:$I$213,1,$J$184:$J$213,"小")+COUNTIFS($I$184:$I$213,2,$J$184:$J$213,"小")</f>
        <v>0</v>
      </c>
      <c r="BI82" s="520">
        <f>COUNTIFS($H$184:$H$213,1,$J$184:$J$213,"中")</f>
        <v>0</v>
      </c>
      <c r="BJ82" s="731">
        <f>COUNTIFS($I$184:$I$213,1,$J$184:$J$213,"中")+COUNTIFS($I$184:$I$213,2,$J$184:$J$213,"中")</f>
        <v>0</v>
      </c>
      <c r="BK82" s="520">
        <f>COUNTIFS($H$184:$H$213,1,$J$184:$J$213,"引")</f>
        <v>0</v>
      </c>
      <c r="BL82" s="731">
        <f>COUNTIFS($I$184:$I$213,1,$J$184:$J$213,"引")+COUNTIFS($I$184:$I$213,2,$J$184:$J$213,"引")</f>
        <v>0</v>
      </c>
      <c r="BM82" s="520">
        <f>COUNTIFS($H$184:$H$213,1,$J$184:$J$213,"一")</f>
        <v>0</v>
      </c>
      <c r="BN82" s="731">
        <f>COUNTIFS($I$184:$I$213,1,$J$184:$J$213,"一")+COUNTIFS($I$184:$I$213,2,$J$184:$J$213,"一")</f>
        <v>0</v>
      </c>
      <c r="BO82" s="520"/>
      <c r="BP82" s="520"/>
      <c r="BQ82" s="732"/>
      <c r="BR82" s="732"/>
      <c r="BS82" s="732"/>
      <c r="BT82" s="732"/>
      <c r="BU82" s="732"/>
      <c r="BV82" s="732"/>
      <c r="BW82" s="732"/>
      <c r="BX82" s="732"/>
      <c r="BY82" s="732"/>
      <c r="BZ82" s="732"/>
      <c r="CA82" s="732"/>
      <c r="CB82" s="732"/>
      <c r="CC82" s="695" t="str">
        <f t="shared" si="36"/>
        <v>中泊/準・身・療</v>
      </c>
      <c r="CD82" s="712">
        <f t="shared" si="37"/>
        <v>0</v>
      </c>
      <c r="CE82" s="695">
        <f>IF(OR(BV31="",BV31=0),0,43)</f>
        <v>0</v>
      </c>
      <c r="CF82" s="695">
        <v>330</v>
      </c>
      <c r="CG82" s="729">
        <v>43</v>
      </c>
      <c r="CH82" s="732"/>
      <c r="CI82" s="733"/>
      <c r="CJ82" s="733"/>
      <c r="CK82" s="732"/>
      <c r="CL82" s="732"/>
      <c r="CM82" s="732"/>
      <c r="CN82" s="732"/>
      <c r="CO82" s="732"/>
      <c r="CP82" s="732"/>
      <c r="CQ82" s="732"/>
      <c r="CR82" s="732"/>
      <c r="CS82" s="732"/>
      <c r="CT82" s="732"/>
      <c r="CU82" s="732"/>
      <c r="CV82" s="732"/>
      <c r="CW82" s="732"/>
      <c r="CX82" s="732"/>
      <c r="CY82" s="732"/>
      <c r="CZ82" s="732"/>
      <c r="DA82" s="732"/>
      <c r="DB82" s="732"/>
    </row>
    <row r="83" spans="1:106" s="18" customFormat="1" ht="24.95" customHeight="1">
      <c r="A83" s="192">
        <v>49</v>
      </c>
      <c r="B83" s="1775"/>
      <c r="C83" s="1806"/>
      <c r="D83" s="1806"/>
      <c r="E83" s="1806"/>
      <c r="F83" s="1806"/>
      <c r="G83" s="1807"/>
      <c r="H83" s="193"/>
      <c r="I83" s="194"/>
      <c r="J83" s="195"/>
      <c r="K83" s="1744"/>
      <c r="L83" s="1745"/>
      <c r="M83" s="1746"/>
      <c r="N83" s="197">
        <v>79</v>
      </c>
      <c r="O83" s="1824"/>
      <c r="P83" s="1806"/>
      <c r="Q83" s="1806"/>
      <c r="R83" s="1806"/>
      <c r="S83" s="1806"/>
      <c r="T83" s="1807"/>
      <c r="U83" s="193"/>
      <c r="V83" s="194"/>
      <c r="W83" s="195"/>
      <c r="X83" s="1744"/>
      <c r="Y83" s="1745"/>
      <c r="Z83" s="1746"/>
      <c r="BA83" s="716">
        <v>71</v>
      </c>
      <c r="BB83" s="717">
        <f t="shared" si="33"/>
        <v>0</v>
      </c>
      <c r="BC83" s="520">
        <f t="shared" si="34"/>
        <v>0</v>
      </c>
      <c r="BD83" s="702">
        <f t="shared" si="35"/>
        <v>0</v>
      </c>
      <c r="BE83" s="702">
        <f t="shared" si="35"/>
        <v>0</v>
      </c>
      <c r="BF83" s="695">
        <v>10</v>
      </c>
      <c r="BG83" s="520">
        <f>COUNTIFS($U$184:$U$213,1,$W$184:$W$213,"小")</f>
        <v>0</v>
      </c>
      <c r="BH83" s="731">
        <f>COUNTIFS($V$184:$V$213,1,$W$184:$W$213,"小")+COUNTIFS($V$184:$V$213,2,$W$184:$W$213,"小")</f>
        <v>0</v>
      </c>
      <c r="BI83" s="520">
        <f>COUNTIFS($U$184:$U$213,1,$W$184:$W$213,"中")</f>
        <v>0</v>
      </c>
      <c r="BJ83" s="731">
        <f>COUNTIFS($V$184:$V$213,1,$W$184:$W$213,"中")+COUNTIFS($V$184:$V$213,2,$W$184:$W$213,"中")</f>
        <v>0</v>
      </c>
      <c r="BK83" s="520">
        <f>COUNTIFS($U$184:$U$213,1,$W$184:$W$213,"引")</f>
        <v>0</v>
      </c>
      <c r="BL83" s="731">
        <f>COUNTIFS($V$184:$V$213,1,$W$184:$W$213,"引")+COUNTIFS($V$184:$V$213,2,$W$184:$W$213,"引")</f>
        <v>0</v>
      </c>
      <c r="BM83" s="520">
        <f>COUNTIFS($U$184:$U$213,1,$W$184:$W$213,"一")</f>
        <v>0</v>
      </c>
      <c r="BN83" s="731">
        <f>COUNTIFS($V$184:$V$213,1,$W$184:$W$213,"一")+COUNTIFS($V$184:$V$213,2,$W$184:$W$213,"一")</f>
        <v>0</v>
      </c>
      <c r="BO83" s="520"/>
      <c r="BP83" s="520"/>
      <c r="BQ83" s="732"/>
      <c r="BR83" s="732"/>
      <c r="BS83" s="732"/>
      <c r="BT83" s="732"/>
      <c r="BU83" s="732"/>
      <c r="BV83" s="732"/>
      <c r="BW83" s="732"/>
      <c r="BX83" s="732"/>
      <c r="BY83" s="732"/>
      <c r="BZ83" s="732"/>
      <c r="CA83" s="732"/>
      <c r="CB83" s="732"/>
      <c r="CC83" s="695" t="str">
        <f t="shared" si="36"/>
        <v>中泊/準・身・精</v>
      </c>
      <c r="CD83" s="712">
        <f t="shared" si="37"/>
        <v>0</v>
      </c>
      <c r="CE83" s="695">
        <f>IF(OR(BV32="",BV32=0),0,42)</f>
        <v>0</v>
      </c>
      <c r="CF83" s="695">
        <v>330</v>
      </c>
      <c r="CG83" s="729">
        <v>42</v>
      </c>
      <c r="CH83" s="732"/>
      <c r="CI83" s="733"/>
      <c r="CJ83" s="733"/>
      <c r="CK83" s="732"/>
      <c r="CL83" s="732"/>
      <c r="CM83" s="732"/>
      <c r="CN83" s="732"/>
      <c r="CO83" s="732"/>
      <c r="CP83" s="732"/>
      <c r="CQ83" s="732"/>
      <c r="CR83" s="732"/>
      <c r="CS83" s="732"/>
      <c r="CT83" s="732"/>
      <c r="CU83" s="732"/>
      <c r="CV83" s="732"/>
      <c r="CW83" s="732"/>
      <c r="CX83" s="732"/>
      <c r="CY83" s="732"/>
      <c r="CZ83" s="732"/>
      <c r="DA83" s="732"/>
      <c r="DB83" s="732"/>
    </row>
    <row r="84" spans="1:106" s="18" customFormat="1" ht="24.95" customHeight="1">
      <c r="A84" s="192">
        <v>50</v>
      </c>
      <c r="B84" s="1775"/>
      <c r="C84" s="1806"/>
      <c r="D84" s="1806"/>
      <c r="E84" s="1806"/>
      <c r="F84" s="1806"/>
      <c r="G84" s="1807"/>
      <c r="H84" s="193"/>
      <c r="I84" s="194"/>
      <c r="J84" s="195"/>
      <c r="K84" s="1744"/>
      <c r="L84" s="1745"/>
      <c r="M84" s="1746"/>
      <c r="N84" s="197">
        <v>80</v>
      </c>
      <c r="O84" s="1824"/>
      <c r="P84" s="1806"/>
      <c r="Q84" s="1806"/>
      <c r="R84" s="1806"/>
      <c r="S84" s="1806"/>
      <c r="T84" s="1807"/>
      <c r="U84" s="193"/>
      <c r="V84" s="194"/>
      <c r="W84" s="195"/>
      <c r="X84" s="1744"/>
      <c r="Y84" s="1745"/>
      <c r="Z84" s="1746"/>
      <c r="BA84" s="716">
        <v>72</v>
      </c>
      <c r="BB84" s="717">
        <f t="shared" si="33"/>
        <v>0</v>
      </c>
      <c r="BC84" s="520">
        <f t="shared" si="34"/>
        <v>0</v>
      </c>
      <c r="BD84" s="702">
        <f t="shared" si="35"/>
        <v>0</v>
      </c>
      <c r="BE84" s="702">
        <f t="shared" si="35"/>
        <v>0</v>
      </c>
      <c r="BF84" s="695">
        <v>11</v>
      </c>
      <c r="BG84" s="520">
        <f>COUNTIFS($H$227:$H$256,1,$J$227:$J$256,"小")</f>
        <v>0</v>
      </c>
      <c r="BH84" s="731">
        <f>COUNTIFS($I$227:$I$256,1,$J$227:$J$256,"小")+COUNTIFS($I$227:$I$256,2,$J$227:$J$256,"小")</f>
        <v>0</v>
      </c>
      <c r="BI84" s="520">
        <f>COUNTIFS($H$227:$H$256,1,$J$227:$J$256,"中")</f>
        <v>0</v>
      </c>
      <c r="BJ84" s="731">
        <f>COUNTIFS($I$227:$I$256,1,$J$227:$J$256,"中")+COUNTIFS($I$227:$I$256,2,$J$227:$J$256,"中")</f>
        <v>0</v>
      </c>
      <c r="BK84" s="520">
        <f>COUNTIFS($H$227:$H$256,1,$J$227:$J$256,"引")</f>
        <v>0</v>
      </c>
      <c r="BL84" s="731">
        <f>COUNTIFS($I$227:$I$256,1,$J$227:$J$256,"引")+COUNTIFS($I$227:$I$256,2,$J$227:$J$256,"引")</f>
        <v>0</v>
      </c>
      <c r="BM84" s="520">
        <f>COUNTIFS($H$227:$H$256,1,$J$227:$J$256,"一")</f>
        <v>0</v>
      </c>
      <c r="BN84" s="731">
        <f>COUNTIFS($I$227:$I$256,1,$J$227:$J$256,"一")+COUNTIFS($I$227:$I$256,2,$J$227:$J$256,"一")</f>
        <v>0</v>
      </c>
      <c r="BO84" s="520"/>
      <c r="BP84" s="520"/>
      <c r="BQ84" s="732"/>
      <c r="BR84" s="732"/>
      <c r="BS84" s="732"/>
      <c r="BT84" s="732"/>
      <c r="BU84" s="732"/>
      <c r="BV84" s="732"/>
      <c r="BW84" s="732"/>
      <c r="BX84" s="732"/>
      <c r="BY84" s="732"/>
      <c r="BZ84" s="732"/>
      <c r="CA84" s="732"/>
      <c r="CB84" s="732"/>
      <c r="CC84" s="695" t="str">
        <f t="shared" si="36"/>
        <v>中泊/準・療・精</v>
      </c>
      <c r="CD84" s="712">
        <f t="shared" si="37"/>
        <v>0</v>
      </c>
      <c r="CE84" s="695">
        <f>IF(OR(BV33="",BV33=0),0,41)</f>
        <v>0</v>
      </c>
      <c r="CF84" s="695">
        <v>330</v>
      </c>
      <c r="CG84" s="729">
        <v>41</v>
      </c>
      <c r="CH84" s="732"/>
      <c r="CI84" s="733"/>
      <c r="CJ84" s="733"/>
      <c r="CK84" s="732"/>
      <c r="CL84" s="732"/>
      <c r="CM84" s="732"/>
      <c r="CN84" s="732"/>
      <c r="CO84" s="732"/>
      <c r="CP84" s="732"/>
      <c r="CQ84" s="732"/>
      <c r="CR84" s="732"/>
      <c r="CS84" s="732"/>
      <c r="CT84" s="732"/>
      <c r="CU84" s="732"/>
      <c r="CV84" s="732"/>
      <c r="CW84" s="732"/>
      <c r="CX84" s="732"/>
      <c r="CY84" s="732"/>
      <c r="CZ84" s="732"/>
      <c r="DA84" s="732"/>
      <c r="DB84" s="732"/>
    </row>
    <row r="85" spans="1:106" s="18" customFormat="1" ht="24" customHeight="1">
      <c r="A85" s="220"/>
      <c r="B85" s="215"/>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BA85" s="716">
        <v>73</v>
      </c>
      <c r="BB85" s="717">
        <f t="shared" si="33"/>
        <v>0</v>
      </c>
      <c r="BC85" s="520">
        <f t="shared" si="34"/>
        <v>0</v>
      </c>
      <c r="BD85" s="702">
        <f t="shared" si="35"/>
        <v>0</v>
      </c>
      <c r="BE85" s="702">
        <f t="shared" si="35"/>
        <v>0</v>
      </c>
      <c r="BF85" s="695">
        <v>12</v>
      </c>
      <c r="BG85" s="520">
        <f>COUNTIFS($U$227:$U$256,1,$W$227:$W$256,"小")</f>
        <v>0</v>
      </c>
      <c r="BH85" s="731">
        <f>COUNTIFS($V$227:$V$256,1,$W$227:$W$256,"小")+COUNTIFS($V$227:$V$256,2,$W$227:$W$256,"小")</f>
        <v>0</v>
      </c>
      <c r="BI85" s="520">
        <f>COUNTIFS($U$227:$U$256,1,$W$227:$W$256,"中")</f>
        <v>0</v>
      </c>
      <c r="BJ85" s="731">
        <f>COUNTIFS($V$227:$V$256,1,$W$227:$W$256,"中")+COUNTIFS($V$227:$V$256,2,$W$227:$W$256,"中")</f>
        <v>0</v>
      </c>
      <c r="BK85" s="520">
        <f>COUNTIFS($U$227:$U$256,1,$W$227:$W$256,"引")</f>
        <v>0</v>
      </c>
      <c r="BL85" s="731">
        <f>COUNTIFS($V$227:$V$256,1,$W$227:$W$256,"引")+COUNTIFS($V$227:$V$256,2,$W$227:$W$256,"引")</f>
        <v>0</v>
      </c>
      <c r="BM85" s="520">
        <f>COUNTIFS($U$227:$U$256,1,$W$227:$W$256,"一")</f>
        <v>0</v>
      </c>
      <c r="BN85" s="731">
        <f>COUNTIFS($V$227:$V$256,1,$W$227:$W$256,"一")+COUNTIFS($V$227:$V$256,2,$W$227:$W$256,"一")</f>
        <v>0</v>
      </c>
      <c r="BO85" s="520"/>
      <c r="BP85" s="520"/>
      <c r="BQ85" s="732"/>
      <c r="BR85" s="732"/>
      <c r="BS85" s="732"/>
      <c r="BT85" s="732"/>
      <c r="BU85" s="732"/>
      <c r="BV85" s="732"/>
      <c r="BW85" s="732"/>
      <c r="BX85" s="732"/>
      <c r="BY85" s="732"/>
      <c r="BZ85" s="732"/>
      <c r="CA85" s="732"/>
      <c r="CB85" s="732"/>
      <c r="CC85" s="695" t="str">
        <f t="shared" si="36"/>
        <v>中泊/特・身・療</v>
      </c>
      <c r="CD85" s="712">
        <f t="shared" si="37"/>
        <v>0</v>
      </c>
      <c r="CE85" s="695">
        <f>IF(OR(BV34="",BV34=0),0,40)</f>
        <v>0</v>
      </c>
      <c r="CF85" s="695">
        <v>330</v>
      </c>
      <c r="CG85" s="729">
        <v>40</v>
      </c>
      <c r="CH85" s="732"/>
      <c r="CI85" s="733"/>
      <c r="CJ85" s="733"/>
      <c r="CK85" s="732"/>
      <c r="CL85" s="732"/>
      <c r="CM85" s="732"/>
      <c r="CN85" s="732"/>
      <c r="CO85" s="732"/>
      <c r="CP85" s="732"/>
      <c r="CQ85" s="732"/>
      <c r="CR85" s="732"/>
      <c r="CS85" s="732"/>
      <c r="CT85" s="732"/>
      <c r="CU85" s="732"/>
      <c r="CV85" s="732"/>
      <c r="CW85" s="732"/>
      <c r="CX85" s="732"/>
      <c r="CY85" s="732"/>
      <c r="CZ85" s="732"/>
      <c r="DA85" s="732"/>
      <c r="DB85" s="732"/>
    </row>
    <row r="86" spans="1:106" s="18" customFormat="1" ht="24.95" customHeight="1">
      <c r="A86" s="1151" t="s">
        <v>315</v>
      </c>
      <c r="B86" s="1151"/>
      <c r="C86" s="1151"/>
      <c r="D86" s="1151"/>
      <c r="E86" s="1151"/>
      <c r="F86" s="1151"/>
      <c r="G86" s="1151"/>
      <c r="H86" s="1151"/>
      <c r="I86" s="1151"/>
      <c r="J86" s="1151"/>
      <c r="K86" s="1151"/>
      <c r="L86" s="1151"/>
      <c r="M86" s="1151"/>
      <c r="N86" s="1151"/>
      <c r="O86" s="1151"/>
      <c r="P86" s="1151"/>
      <c r="Q86" s="1151"/>
      <c r="R86" s="1151"/>
      <c r="S86" s="1151"/>
      <c r="T86" s="1151"/>
      <c r="U86" s="1151"/>
      <c r="V86" s="1151"/>
      <c r="W86" s="1151"/>
      <c r="X86" s="1151"/>
      <c r="Y86" s="1151"/>
      <c r="Z86" s="1151"/>
      <c r="AD86" s="422"/>
      <c r="AE86" s="59"/>
      <c r="BA86" s="716">
        <v>74</v>
      </c>
      <c r="BB86" s="717">
        <f t="shared" si="33"/>
        <v>0</v>
      </c>
      <c r="BC86" s="520">
        <f t="shared" si="34"/>
        <v>0</v>
      </c>
      <c r="BD86" s="702">
        <f t="shared" si="35"/>
        <v>0</v>
      </c>
      <c r="BE86" s="702">
        <f t="shared" si="35"/>
        <v>0</v>
      </c>
      <c r="BF86" s="695" t="s">
        <v>1703</v>
      </c>
      <c r="BG86" s="520">
        <f>SUM(BG74:BG85)</f>
        <v>0</v>
      </c>
      <c r="BH86" s="520">
        <f t="shared" ref="BH86:BN86" si="38">SUM(BH74:BH85)</f>
        <v>0</v>
      </c>
      <c r="BI86" s="520">
        <f t="shared" si="38"/>
        <v>0</v>
      </c>
      <c r="BJ86" s="520">
        <f t="shared" si="38"/>
        <v>0</v>
      </c>
      <c r="BK86" s="520">
        <f t="shared" si="38"/>
        <v>0</v>
      </c>
      <c r="BL86" s="520">
        <f t="shared" si="38"/>
        <v>0</v>
      </c>
      <c r="BM86" s="520">
        <f t="shared" si="38"/>
        <v>0</v>
      </c>
      <c r="BN86" s="520">
        <f t="shared" si="38"/>
        <v>0</v>
      </c>
      <c r="BO86" s="520"/>
      <c r="BP86" s="520"/>
      <c r="BQ86" s="732"/>
      <c r="BR86" s="732"/>
      <c r="BS86" s="732"/>
      <c r="BT86" s="732"/>
      <c r="BU86" s="732"/>
      <c r="BV86" s="732"/>
      <c r="BW86" s="732"/>
      <c r="BX86" s="732"/>
      <c r="BY86" s="732"/>
      <c r="BZ86" s="732"/>
      <c r="CA86" s="732"/>
      <c r="CB86" s="732"/>
      <c r="CC86" s="695" t="str">
        <f t="shared" si="36"/>
        <v>中泊/特・身・精</v>
      </c>
      <c r="CD86" s="712">
        <f t="shared" si="37"/>
        <v>0</v>
      </c>
      <c r="CE86" s="695">
        <f>IF(OR(BV35="",BV35=0),0,39)</f>
        <v>0</v>
      </c>
      <c r="CF86" s="695">
        <v>330</v>
      </c>
      <c r="CG86" s="729">
        <v>39</v>
      </c>
      <c r="CH86" s="732"/>
      <c r="CI86" s="733"/>
      <c r="CJ86" s="733"/>
      <c r="CK86" s="732"/>
      <c r="CL86" s="732"/>
      <c r="CM86" s="732"/>
      <c r="CN86" s="732"/>
      <c r="CO86" s="732"/>
      <c r="CP86" s="732"/>
      <c r="CQ86" s="732"/>
      <c r="CR86" s="732"/>
      <c r="CS86" s="732"/>
      <c r="CT86" s="732"/>
      <c r="CU86" s="732"/>
      <c r="CV86" s="732"/>
      <c r="CW86" s="732"/>
      <c r="CX86" s="732"/>
      <c r="CY86" s="732"/>
      <c r="CZ86" s="732"/>
      <c r="DA86" s="732"/>
      <c r="DB86" s="732"/>
    </row>
    <row r="87" spans="1:106" ht="24" thickBot="1">
      <c r="A87" s="184">
        <f>COUNTIFS(K98:K127,"a",H98:H127,"&gt;0")</f>
        <v>0</v>
      </c>
      <c r="B87" s="184">
        <f>COUNTIFS(X98:X127,"a",U98:U127,"&gt;0")</f>
        <v>0</v>
      </c>
      <c r="C87" s="184">
        <f>COUNTIFS(K98:K127,"b",H98:H127,"&gt;0")</f>
        <v>0</v>
      </c>
      <c r="D87" s="184">
        <f>COUNTIFS(X98:X127,"b",U98:U127,"&gt;0")</f>
        <v>0</v>
      </c>
      <c r="E87" s="184">
        <f>COUNTIFS(K98:K127,"c",H98:H127,"&gt;0")</f>
        <v>0</v>
      </c>
      <c r="F87" s="184">
        <f>COUNTIFS(X98:X127,"c",U98:U127,"&gt;0")</f>
        <v>0</v>
      </c>
      <c r="G87" s="184">
        <f>COUNTIFS(K98:K127,"d",H98:H127,"&gt;0")</f>
        <v>0</v>
      </c>
      <c r="H87" s="184">
        <f>COUNTIFS(X98:X127,"d",U98:U127,"&gt;0")</f>
        <v>0</v>
      </c>
      <c r="I87" s="184">
        <f>COUNTIFS(K98:K127,"e",H98:H127,"&gt;0")</f>
        <v>0</v>
      </c>
      <c r="J87" s="184">
        <f>COUNTIFS(X98:X127,"e",U98:U127,"&gt;0")</f>
        <v>0</v>
      </c>
      <c r="K87" s="184">
        <f>COUNTIFS(K98:K127,"f",H98:H127,"&gt;0")</f>
        <v>0</v>
      </c>
      <c r="L87" s="184">
        <f>COUNTIFS(X98:X127,"f",U98:U127,"&gt;0")</f>
        <v>0</v>
      </c>
      <c r="M87" s="184">
        <f>COUNTIFS(K98:K127,"g",H98:H127,"&gt;0")</f>
        <v>0</v>
      </c>
      <c r="N87" s="184">
        <f>COUNTIFS(X98:X127,"g",U98:U127,"&gt;0")</f>
        <v>0</v>
      </c>
      <c r="O87" s="184">
        <f>COUNTIFS(K98:K127,"h",H98:H127,"&gt;0")</f>
        <v>0</v>
      </c>
      <c r="P87" s="184">
        <f>COUNTIFS(X98:X127,"h",U98:U127,"&gt;0")</f>
        <v>0</v>
      </c>
      <c r="Q87" s="184">
        <f>COUNTIFS(K98:K127,"i",H98:H127,"&gt;0")</f>
        <v>0</v>
      </c>
      <c r="R87" s="184">
        <f>COUNTIFS(X98:X127,"i",U98:U127,"&gt;0")</f>
        <v>0</v>
      </c>
      <c r="S87" s="185">
        <f>SUM(A87:R87)</f>
        <v>0</v>
      </c>
      <c r="T87" s="185"/>
      <c r="U87" s="185"/>
      <c r="V87" s="185"/>
      <c r="W87" s="1797" t="s">
        <v>320</v>
      </c>
      <c r="X87" s="1797"/>
      <c r="Y87" s="1797">
        <v>3</v>
      </c>
      <c r="Z87" s="1797"/>
      <c r="AA87" s="5"/>
      <c r="AB87" s="5"/>
      <c r="AC87" s="5"/>
      <c r="AD87" s="423"/>
      <c r="AE87" s="59"/>
      <c r="AF87" s="5"/>
      <c r="AG87" s="5"/>
      <c r="AH87" s="5"/>
      <c r="AI87" s="5"/>
      <c r="AJ87" s="5"/>
      <c r="AK87" s="5"/>
      <c r="AL87" s="5"/>
      <c r="AM87" s="5"/>
      <c r="AN87" s="5"/>
      <c r="AO87" s="5"/>
      <c r="AP87" s="5"/>
      <c r="AQ87" s="5"/>
      <c r="AR87" s="5"/>
      <c r="AS87" s="5"/>
      <c r="AT87" s="5"/>
      <c r="AU87" s="5"/>
      <c r="AV87" s="5"/>
      <c r="AW87" s="5"/>
      <c r="AX87" s="5"/>
      <c r="AY87" s="5"/>
      <c r="AZ87" s="5"/>
      <c r="BA87" s="716">
        <v>75</v>
      </c>
      <c r="BB87" s="717">
        <f t="shared" si="33"/>
        <v>0</v>
      </c>
      <c r="BC87" s="520">
        <f t="shared" si="34"/>
        <v>0</v>
      </c>
      <c r="BD87" s="702">
        <f t="shared" si="35"/>
        <v>0</v>
      </c>
      <c r="BE87" s="702">
        <f t="shared" si="35"/>
        <v>0</v>
      </c>
      <c r="BF87" s="695"/>
      <c r="BJ87" s="695"/>
      <c r="BL87" s="520">
        <f t="shared" ref="BL87:BL101" si="39">I70</f>
        <v>0</v>
      </c>
      <c r="BN87" s="695"/>
      <c r="CC87" s="695" t="str">
        <f t="shared" si="36"/>
        <v>中泊/身・療・精</v>
      </c>
      <c r="CD87" s="712">
        <f t="shared" si="37"/>
        <v>0</v>
      </c>
      <c r="CE87" s="695">
        <f>IF(OR(BV36="",BV36=0),0,38)</f>
        <v>0</v>
      </c>
      <c r="CF87" s="695">
        <v>330</v>
      </c>
      <c r="CG87" s="729">
        <v>38</v>
      </c>
    </row>
    <row r="88" spans="1:106" ht="23.25">
      <c r="A88" s="184">
        <f>COUNTIFS(K98:K127,"a",I98:I127,"&gt;0")</f>
        <v>0</v>
      </c>
      <c r="B88" s="184">
        <f>COUNTIFS(X98:X127,"a",V98:V127,"&gt;0")</f>
        <v>0</v>
      </c>
      <c r="C88" s="184">
        <f>COUNTIFS(K98:K127,"b",I98:I127,"&gt;0")</f>
        <v>0</v>
      </c>
      <c r="D88" s="184">
        <f>COUNTIFS(X98:X127,"b",V98:V127,"&gt;0")</f>
        <v>0</v>
      </c>
      <c r="E88" s="184">
        <f>COUNTIFS(K98:K127,"c",I98:I127,"&gt;0")</f>
        <v>0</v>
      </c>
      <c r="F88" s="184">
        <f>COUNTIFS(X98:X127,"c",V98:V127,"&gt;0")</f>
        <v>0</v>
      </c>
      <c r="G88" s="184">
        <f>COUNTIFS(K98:K127,"d",I98:I127,"&gt;0")</f>
        <v>0</v>
      </c>
      <c r="H88" s="184">
        <f>COUNTIFS(X98:X127,"d",V98:V127,"&gt;0")</f>
        <v>0</v>
      </c>
      <c r="I88" s="184">
        <f>COUNTIFS(K98:K127,"e",I98:I127,"&gt;0")</f>
        <v>0</v>
      </c>
      <c r="J88" s="184">
        <f>COUNTIFS(X98:X127,"e",V98:V127,"&gt;0")</f>
        <v>0</v>
      </c>
      <c r="K88" s="184">
        <f>COUNTIFS(K98:K127,"f",I98:I127,"&gt;0")</f>
        <v>0</v>
      </c>
      <c r="L88" s="184">
        <f>COUNTIFS(X98:X127,"f",V98:V127,"&gt;0")</f>
        <v>0</v>
      </c>
      <c r="M88" s="184">
        <f>COUNTIFS(K98:K127,"g",I98:I127,"&gt;0")</f>
        <v>0</v>
      </c>
      <c r="N88" s="184">
        <f>COUNTIFS(X98:X127,"g",V98:V127,"&gt;0")</f>
        <v>0</v>
      </c>
      <c r="O88" s="184">
        <f>COUNTIFS(K98:K127,"h",I98:I127,"&gt;0")</f>
        <v>0</v>
      </c>
      <c r="P88" s="184">
        <f>COUNTIFS(X98:X127,"h",V98:V127,"&gt;0")</f>
        <v>0</v>
      </c>
      <c r="Q88" s="184">
        <f>COUNTIFS(K98:K127,"i",I98:I127,"&gt;0")</f>
        <v>0</v>
      </c>
      <c r="R88" s="184">
        <f>COUNTIFS(X98:X127,"i",V98:V127,"&gt;0")</f>
        <v>0</v>
      </c>
      <c r="S88" s="185">
        <f>SUM(A88:R88)</f>
        <v>0</v>
      </c>
      <c r="T88" s="185"/>
      <c r="U88" s="185"/>
      <c r="V88" s="185"/>
      <c r="W88" s="186"/>
      <c r="X88" s="186"/>
      <c r="Y88" s="186"/>
      <c r="Z88" s="186"/>
      <c r="AA88" s="5"/>
      <c r="AB88" s="5"/>
      <c r="AC88" s="5"/>
      <c r="AD88" s="423"/>
      <c r="AE88" s="59"/>
      <c r="AF88" s="5"/>
      <c r="AG88" s="5"/>
      <c r="AH88" s="5"/>
      <c r="AJ88" s="5"/>
      <c r="AK88" s="5"/>
      <c r="AL88" s="5"/>
      <c r="AM88" s="5"/>
      <c r="AN88" s="5"/>
      <c r="AO88" s="5"/>
      <c r="AP88" s="5"/>
      <c r="AQ88" s="5"/>
      <c r="AR88" s="5"/>
      <c r="AS88" s="5"/>
      <c r="AT88" s="5"/>
      <c r="AU88" s="5"/>
      <c r="AV88" s="5"/>
      <c r="AW88" s="5"/>
      <c r="AX88" s="5"/>
      <c r="AY88" s="5"/>
      <c r="AZ88" s="5"/>
      <c r="BA88" s="716">
        <v>76</v>
      </c>
      <c r="BB88" s="717">
        <f t="shared" si="33"/>
        <v>0</v>
      </c>
      <c r="BC88" s="520">
        <f t="shared" si="34"/>
        <v>0</v>
      </c>
      <c r="BD88" s="702">
        <f t="shared" si="35"/>
        <v>0</v>
      </c>
      <c r="BE88" s="702">
        <f t="shared" si="35"/>
        <v>0</v>
      </c>
      <c r="BF88" s="695"/>
      <c r="BJ88" s="695"/>
      <c r="BL88" s="520">
        <f t="shared" si="39"/>
        <v>0</v>
      </c>
      <c r="BN88" s="695"/>
      <c r="CC88" s="695" t="str">
        <f t="shared" si="36"/>
        <v>中泊/特・療・精</v>
      </c>
      <c r="CD88" s="712">
        <f t="shared" si="37"/>
        <v>0</v>
      </c>
      <c r="CE88" s="695">
        <f>IF(OR(BV37="",BV37=0),0,37)</f>
        <v>0</v>
      </c>
      <c r="CF88" s="695">
        <v>330</v>
      </c>
      <c r="CG88" s="729">
        <v>37</v>
      </c>
    </row>
    <row r="89" spans="1:106" ht="36" customHeight="1">
      <c r="A89" s="1144" t="s">
        <v>71</v>
      </c>
      <c r="B89" s="1144"/>
      <c r="C89" s="1851">
        <f>C46</f>
        <v>0</v>
      </c>
      <c r="D89" s="1851"/>
      <c r="E89" s="1851"/>
      <c r="F89" s="1851"/>
      <c r="G89" s="1851"/>
      <c r="H89" s="1851"/>
      <c r="I89" s="1851"/>
      <c r="J89" s="1851"/>
      <c r="K89" s="1851"/>
      <c r="L89" s="1851"/>
      <c r="M89" s="1851"/>
      <c r="N89" s="1851"/>
      <c r="O89" s="1851"/>
      <c r="P89" s="1851"/>
      <c r="Q89" s="1851"/>
      <c r="R89" s="1851"/>
      <c r="S89" s="1851"/>
      <c r="T89" s="1851"/>
      <c r="U89" s="178"/>
      <c r="V89" s="178"/>
      <c r="W89" s="178"/>
      <c r="X89" s="178"/>
      <c r="Y89" s="178"/>
      <c r="Z89" s="178"/>
      <c r="AA89" s="5"/>
      <c r="AB89" s="5"/>
      <c r="AC89" s="5"/>
      <c r="AD89" s="423"/>
      <c r="AE89" s="59"/>
      <c r="AF89" s="5"/>
      <c r="AG89" s="5"/>
      <c r="AH89" s="5"/>
      <c r="AI89" s="5"/>
      <c r="AJ89" s="5"/>
      <c r="AK89" s="5"/>
      <c r="AL89" s="5"/>
      <c r="AM89" s="5"/>
      <c r="AN89" s="5"/>
      <c r="AO89" s="5"/>
      <c r="AP89" s="5"/>
      <c r="AQ89" s="5"/>
      <c r="AR89" s="5"/>
      <c r="AS89" s="5"/>
      <c r="AT89" s="5"/>
      <c r="AU89" s="5"/>
      <c r="AV89" s="5"/>
      <c r="AW89" s="5"/>
      <c r="AX89" s="5"/>
      <c r="AY89" s="5"/>
      <c r="AZ89" s="5"/>
      <c r="BA89" s="716">
        <v>77</v>
      </c>
      <c r="BB89" s="717">
        <f t="shared" si="33"/>
        <v>0</v>
      </c>
      <c r="BC89" s="520">
        <f t="shared" si="34"/>
        <v>0</v>
      </c>
      <c r="BD89" s="702">
        <f t="shared" si="35"/>
        <v>0</v>
      </c>
      <c r="BE89" s="702">
        <f t="shared" si="35"/>
        <v>0</v>
      </c>
      <c r="BF89" s="695"/>
      <c r="BJ89" s="695"/>
      <c r="BL89" s="520">
        <f t="shared" si="39"/>
        <v>0</v>
      </c>
      <c r="BN89" s="695"/>
      <c r="CC89" s="695" t="str">
        <f t="shared" ref="CC89:CC114" si="40">$BW$11&amp;BF12</f>
        <v>中日帰/準</v>
      </c>
      <c r="CD89" s="712">
        <f>BW12</f>
        <v>0</v>
      </c>
      <c r="CE89" s="695">
        <f>IF(OR(BW12="",BW12=0),0,35)</f>
        <v>0</v>
      </c>
      <c r="CF89" s="695">
        <v>110</v>
      </c>
      <c r="CG89" s="710">
        <v>36</v>
      </c>
    </row>
    <row r="90" spans="1:106" ht="15.95" customHeight="1">
      <c r="A90" s="1203" t="s">
        <v>69</v>
      </c>
      <c r="B90" s="1203"/>
      <c r="C90" s="1725" t="str">
        <f>C47</f>
        <v>令和</v>
      </c>
      <c r="D90" s="1725"/>
      <c r="E90" s="1819" t="s">
        <v>14</v>
      </c>
      <c r="F90" s="1725">
        <f>F47</f>
        <v>0</v>
      </c>
      <c r="G90" s="1819" t="s">
        <v>13</v>
      </c>
      <c r="H90" s="1825">
        <f>H47</f>
        <v>0</v>
      </c>
      <c r="I90" s="1819" t="s">
        <v>12</v>
      </c>
      <c r="J90" s="1819" t="s">
        <v>290</v>
      </c>
      <c r="K90" s="1825">
        <f>K47</f>
        <v>0</v>
      </c>
      <c r="L90" s="1819" t="s">
        <v>321</v>
      </c>
      <c r="M90" s="1819" t="s">
        <v>297</v>
      </c>
      <c r="N90" s="1825">
        <f>N47</f>
        <v>0</v>
      </c>
      <c r="O90" s="1819" t="s">
        <v>13</v>
      </c>
      <c r="P90" s="1825">
        <f>P47</f>
        <v>0</v>
      </c>
      <c r="Q90" s="1819" t="s">
        <v>12</v>
      </c>
      <c r="R90" s="1819" t="s">
        <v>290</v>
      </c>
      <c r="S90" s="1825">
        <f>S47</f>
        <v>0</v>
      </c>
      <c r="T90" s="1819" t="s">
        <v>321</v>
      </c>
      <c r="U90" s="1819"/>
      <c r="V90" s="1819"/>
      <c r="W90" s="187">
        <f>W47</f>
        <v>0</v>
      </c>
      <c r="X90" s="153" t="s">
        <v>38</v>
      </c>
      <c r="Y90" s="187">
        <f>Y47</f>
        <v>0</v>
      </c>
      <c r="Z90" s="153" t="s">
        <v>12</v>
      </c>
      <c r="AA90" s="5"/>
      <c r="AB90" s="5"/>
      <c r="AC90" s="5"/>
      <c r="AD90" s="423"/>
      <c r="AE90" s="59"/>
      <c r="AF90" s="5"/>
      <c r="AG90" s="5"/>
      <c r="AH90" s="5"/>
      <c r="AI90" s="5"/>
      <c r="AJ90" s="5"/>
      <c r="AK90" s="5"/>
      <c r="AL90" s="5"/>
      <c r="AM90" s="5"/>
      <c r="AN90" s="5"/>
      <c r="AO90" s="5"/>
      <c r="AP90" s="5"/>
      <c r="AQ90" s="5"/>
      <c r="AR90" s="5"/>
      <c r="AS90" s="5"/>
      <c r="AT90" s="5"/>
      <c r="AU90" s="5"/>
      <c r="AV90" s="5"/>
      <c r="AW90" s="5"/>
      <c r="AX90" s="5"/>
      <c r="AY90" s="5"/>
      <c r="AZ90" s="5"/>
      <c r="BA90" s="716">
        <v>78</v>
      </c>
      <c r="BB90" s="717">
        <f t="shared" si="33"/>
        <v>0</v>
      </c>
      <c r="BC90" s="520">
        <f t="shared" si="34"/>
        <v>0</v>
      </c>
      <c r="BD90" s="702">
        <f t="shared" si="35"/>
        <v>0</v>
      </c>
      <c r="BE90" s="702">
        <f t="shared" si="35"/>
        <v>0</v>
      </c>
      <c r="BF90" s="695"/>
      <c r="BJ90" s="695"/>
      <c r="BL90" s="520">
        <f t="shared" si="39"/>
        <v>0</v>
      </c>
      <c r="BN90" s="695"/>
      <c r="CC90" s="695" t="str">
        <f t="shared" si="40"/>
        <v>中日帰/特</v>
      </c>
      <c r="CD90" s="712">
        <f t="shared" ref="CD90:CD114" si="41">BW13</f>
        <v>0</v>
      </c>
      <c r="CE90" s="695">
        <f>IF(OR(BW13="",BW13=0),0,34)</f>
        <v>0</v>
      </c>
      <c r="CF90" s="695">
        <v>110</v>
      </c>
      <c r="CG90" s="710">
        <v>34</v>
      </c>
    </row>
    <row r="91" spans="1:106" ht="15.95" customHeight="1">
      <c r="A91" s="1144"/>
      <c r="B91" s="1144"/>
      <c r="C91" s="1726"/>
      <c r="D91" s="1726"/>
      <c r="E91" s="1820"/>
      <c r="F91" s="1726"/>
      <c r="G91" s="1820"/>
      <c r="H91" s="1726"/>
      <c r="I91" s="1820"/>
      <c r="J91" s="1820"/>
      <c r="K91" s="1726"/>
      <c r="L91" s="1820"/>
      <c r="M91" s="1820"/>
      <c r="N91" s="1726"/>
      <c r="O91" s="1820"/>
      <c r="P91" s="1726"/>
      <c r="Q91" s="1820"/>
      <c r="R91" s="1820"/>
      <c r="S91" s="1726"/>
      <c r="T91" s="1820"/>
      <c r="U91" s="1819"/>
      <c r="V91" s="1819"/>
      <c r="W91" s="1819" t="s">
        <v>39</v>
      </c>
      <c r="X91" s="1819"/>
      <c r="Y91" s="189" t="str">
        <f>Y48</f>
        <v/>
      </c>
      <c r="Z91" s="153" t="s">
        <v>12</v>
      </c>
      <c r="AA91" s="4"/>
      <c r="AB91" s="4"/>
      <c r="AC91" s="4"/>
      <c r="AD91" s="423"/>
      <c r="AE91" s="59"/>
      <c r="AF91" s="4"/>
      <c r="AG91" s="4"/>
      <c r="AH91" s="4"/>
      <c r="AI91" s="4"/>
      <c r="AK91" s="4"/>
      <c r="AL91" s="4"/>
      <c r="AM91" s="4"/>
      <c r="AN91" s="4"/>
      <c r="AO91" s="4"/>
      <c r="AP91" s="4"/>
      <c r="AQ91" s="4"/>
      <c r="AR91" s="4"/>
      <c r="AS91" s="4"/>
      <c r="AT91" s="4"/>
      <c r="AU91" s="4"/>
      <c r="AV91" s="4"/>
      <c r="AW91" s="4"/>
      <c r="AX91" s="4"/>
      <c r="AY91" s="4"/>
      <c r="AZ91" s="4"/>
      <c r="BA91" s="716">
        <v>79</v>
      </c>
      <c r="BB91" s="717">
        <f t="shared" si="33"/>
        <v>0</v>
      </c>
      <c r="BC91" s="520">
        <f t="shared" si="34"/>
        <v>0</v>
      </c>
      <c r="BD91" s="702">
        <f t="shared" si="35"/>
        <v>0</v>
      </c>
      <c r="BE91" s="702">
        <f t="shared" si="35"/>
        <v>0</v>
      </c>
      <c r="BF91" s="695"/>
      <c r="BJ91" s="695"/>
      <c r="BL91" s="520">
        <f t="shared" si="39"/>
        <v>0</v>
      </c>
      <c r="BN91" s="695"/>
      <c r="CC91" s="695" t="str">
        <f t="shared" si="40"/>
        <v>中日帰/身</v>
      </c>
      <c r="CD91" s="712">
        <f t="shared" si="41"/>
        <v>0</v>
      </c>
      <c r="CE91" s="695">
        <f>IF(OR(BW14="",BW14=0),0,33)</f>
        <v>0</v>
      </c>
      <c r="CF91" s="695">
        <v>110</v>
      </c>
      <c r="CG91" s="710">
        <v>33</v>
      </c>
    </row>
    <row r="92" spans="1:106" ht="24.95" customHeight="1">
      <c r="A92" s="190"/>
      <c r="B92" s="190"/>
      <c r="C92" s="190"/>
      <c r="D92" s="190"/>
      <c r="E92" s="190"/>
      <c r="F92" s="190"/>
      <c r="G92" s="190"/>
      <c r="H92" s="190"/>
      <c r="I92" s="190"/>
      <c r="J92" s="190"/>
      <c r="K92" s="190"/>
      <c r="L92" s="190"/>
      <c r="M92" s="190"/>
      <c r="N92" s="190"/>
      <c r="O92" s="190"/>
      <c r="P92" s="190"/>
      <c r="Q92" s="190"/>
      <c r="R92" s="190"/>
      <c r="S92" s="190"/>
      <c r="T92" s="190"/>
      <c r="U92" s="191"/>
      <c r="V92" s="191"/>
      <c r="W92" s="191"/>
      <c r="X92" s="191"/>
      <c r="Y92" s="191"/>
      <c r="Z92" s="191"/>
      <c r="AA92" s="4"/>
      <c r="AB92" s="4"/>
      <c r="AC92" s="4"/>
      <c r="AD92" s="423"/>
      <c r="AE92" s="59"/>
      <c r="AF92" s="4"/>
      <c r="AG92" s="4"/>
      <c r="AH92" s="4"/>
      <c r="AI92" s="4"/>
      <c r="AK92" s="4"/>
      <c r="AL92" s="4"/>
      <c r="AM92" s="4"/>
      <c r="AN92" s="4"/>
      <c r="AO92" s="4"/>
      <c r="AP92" s="4"/>
      <c r="AQ92" s="4"/>
      <c r="AR92" s="4"/>
      <c r="AS92" s="4"/>
      <c r="AT92" s="4"/>
      <c r="AU92" s="4"/>
      <c r="AV92" s="4"/>
      <c r="AW92" s="4"/>
      <c r="AX92" s="4"/>
      <c r="AY92" s="4"/>
      <c r="AZ92" s="4"/>
      <c r="BA92" s="716">
        <v>80</v>
      </c>
      <c r="BB92" s="717">
        <f t="shared" si="33"/>
        <v>0</v>
      </c>
      <c r="BC92" s="520">
        <f t="shared" si="34"/>
        <v>0</v>
      </c>
      <c r="BD92" s="702">
        <f t="shared" si="35"/>
        <v>0</v>
      </c>
      <c r="BE92" s="702">
        <f t="shared" si="35"/>
        <v>0</v>
      </c>
      <c r="BJ92" s="695"/>
      <c r="BL92" s="520">
        <f t="shared" si="39"/>
        <v>0</v>
      </c>
      <c r="BN92" s="695"/>
      <c r="CC92" s="695" t="str">
        <f t="shared" si="40"/>
        <v>中日帰/療</v>
      </c>
      <c r="CD92" s="712">
        <f t="shared" si="41"/>
        <v>0</v>
      </c>
      <c r="CE92" s="695">
        <f>IF(OR(BW15="",BW15=0),0,32)</f>
        <v>0</v>
      </c>
      <c r="CF92" s="695">
        <v>110</v>
      </c>
      <c r="CG92" s="710">
        <v>32</v>
      </c>
    </row>
    <row r="93" spans="1:106" ht="12.6" customHeight="1">
      <c r="A93" s="1786" t="s">
        <v>319</v>
      </c>
      <c r="B93" s="1729" t="s">
        <v>108</v>
      </c>
      <c r="C93" s="1730"/>
      <c r="D93" s="1730"/>
      <c r="E93" s="1730"/>
      <c r="F93" s="1730"/>
      <c r="G93" s="1848"/>
      <c r="H93" s="1847" t="s">
        <v>109</v>
      </c>
      <c r="I93" s="1848"/>
      <c r="J93" s="1729" t="s">
        <v>110</v>
      </c>
      <c r="K93" s="1730"/>
      <c r="L93" s="1730"/>
      <c r="M93" s="1731"/>
      <c r="N93" s="1858" t="s">
        <v>304</v>
      </c>
      <c r="O93" s="1729" t="s">
        <v>108</v>
      </c>
      <c r="P93" s="1730"/>
      <c r="Q93" s="1730"/>
      <c r="R93" s="1730"/>
      <c r="S93" s="1730"/>
      <c r="T93" s="1848"/>
      <c r="U93" s="1847" t="s">
        <v>109</v>
      </c>
      <c r="V93" s="1848"/>
      <c r="W93" s="1729" t="s">
        <v>110</v>
      </c>
      <c r="X93" s="1730"/>
      <c r="Y93" s="1730"/>
      <c r="Z93" s="1731"/>
      <c r="AA93" s="4"/>
      <c r="AB93" s="4"/>
      <c r="AC93" s="4"/>
      <c r="AD93" s="423"/>
      <c r="AE93" s="59"/>
      <c r="AF93" s="4"/>
      <c r="AG93" s="4"/>
      <c r="AH93" s="4"/>
      <c r="AI93" s="4"/>
      <c r="AK93" s="4"/>
      <c r="AL93" s="4"/>
      <c r="AM93" s="4"/>
      <c r="AN93" s="4"/>
      <c r="AO93" s="4"/>
      <c r="AP93" s="4"/>
      <c r="AQ93" s="4"/>
      <c r="AR93" s="4"/>
      <c r="AS93" s="4"/>
      <c r="AT93" s="4"/>
      <c r="AU93" s="4"/>
      <c r="AV93" s="4"/>
      <c r="AW93" s="4"/>
      <c r="AX93" s="4"/>
      <c r="AY93" s="4"/>
      <c r="AZ93" s="4"/>
      <c r="BA93" s="716">
        <v>81</v>
      </c>
      <c r="BB93" s="717">
        <f>COUNTA(H98:I98)</f>
        <v>0</v>
      </c>
      <c r="BC93" s="520">
        <f>COUNTA(K98)</f>
        <v>0</v>
      </c>
      <c r="BD93" s="702">
        <f>BB93-COUNTA(H98)</f>
        <v>0</v>
      </c>
      <c r="BE93" s="702">
        <f>BC93-COUNTA(I98)</f>
        <v>0</v>
      </c>
      <c r="BJ93" s="695"/>
      <c r="BL93" s="520">
        <f t="shared" si="39"/>
        <v>0</v>
      </c>
      <c r="BN93" s="695"/>
      <c r="CC93" s="695" t="str">
        <f t="shared" si="40"/>
        <v>中日帰/精</v>
      </c>
      <c r="CD93" s="712">
        <f t="shared" si="41"/>
        <v>0</v>
      </c>
      <c r="CE93" s="695">
        <f>IF(OR(BW16="",BW16=0),0,31)</f>
        <v>0</v>
      </c>
      <c r="CF93" s="695">
        <v>110</v>
      </c>
      <c r="CG93" s="710">
        <v>31</v>
      </c>
    </row>
    <row r="94" spans="1:106" ht="13.5" customHeight="1">
      <c r="A94" s="1786"/>
      <c r="B94" s="1855"/>
      <c r="C94" s="1856"/>
      <c r="D94" s="1856"/>
      <c r="E94" s="1856"/>
      <c r="F94" s="1856"/>
      <c r="G94" s="1857"/>
      <c r="H94" s="1732"/>
      <c r="I94" s="1849"/>
      <c r="J94" s="1732"/>
      <c r="K94" s="1733"/>
      <c r="L94" s="1733"/>
      <c r="M94" s="1734"/>
      <c r="N94" s="1859"/>
      <c r="O94" s="1855"/>
      <c r="P94" s="1856"/>
      <c r="Q94" s="1856"/>
      <c r="R94" s="1856"/>
      <c r="S94" s="1856"/>
      <c r="T94" s="1857"/>
      <c r="U94" s="1732"/>
      <c r="V94" s="1849"/>
      <c r="W94" s="1732"/>
      <c r="X94" s="1733"/>
      <c r="Y94" s="1733"/>
      <c r="Z94" s="1734"/>
      <c r="AA94" s="4"/>
      <c r="AB94" s="4"/>
      <c r="AC94" s="4"/>
      <c r="AD94" s="423"/>
      <c r="AE94" s="59"/>
      <c r="AF94" s="4"/>
      <c r="AG94" s="4"/>
      <c r="AH94" s="4"/>
      <c r="AI94" s="4"/>
      <c r="AK94" s="4"/>
      <c r="AL94" s="4"/>
      <c r="AM94" s="4"/>
      <c r="AN94" s="4"/>
      <c r="AO94" s="4"/>
      <c r="AP94" s="4"/>
      <c r="AQ94" s="4"/>
      <c r="AR94" s="4"/>
      <c r="AS94" s="4"/>
      <c r="AT94" s="4"/>
      <c r="AU94" s="4"/>
      <c r="AV94" s="4"/>
      <c r="AW94" s="4"/>
      <c r="AX94" s="4"/>
      <c r="AY94" s="4"/>
      <c r="AZ94" s="4"/>
      <c r="BA94" s="716">
        <v>82</v>
      </c>
      <c r="BB94" s="717">
        <f t="shared" ref="BB94:BB122" si="42">COUNTA(H99:I99)</f>
        <v>0</v>
      </c>
      <c r="BC94" s="520">
        <f t="shared" ref="BC94:BC122" si="43">COUNTA(K99)</f>
        <v>0</v>
      </c>
      <c r="BD94" s="702">
        <f t="shared" ref="BD94:BE122" si="44">BB94-COUNTA(H99)</f>
        <v>0</v>
      </c>
      <c r="BE94" s="702">
        <f t="shared" si="44"/>
        <v>0</v>
      </c>
      <c r="BJ94" s="695"/>
      <c r="BL94" s="520">
        <f t="shared" si="39"/>
        <v>0</v>
      </c>
      <c r="BN94" s="695"/>
      <c r="CC94" s="695" t="str">
        <f t="shared" si="40"/>
        <v>中日帰/介添</v>
      </c>
      <c r="CD94" s="712">
        <f t="shared" si="41"/>
        <v>0</v>
      </c>
      <c r="CE94" s="695">
        <f>IF(OR(BW17="",BW17=0),0,30)</f>
        <v>0</v>
      </c>
      <c r="CF94" s="695">
        <v>110</v>
      </c>
      <c r="CG94" s="710">
        <v>30</v>
      </c>
    </row>
    <row r="95" spans="1:106" ht="26.1" customHeight="1">
      <c r="A95" s="1786"/>
      <c r="B95" s="1855"/>
      <c r="C95" s="1856"/>
      <c r="D95" s="1856"/>
      <c r="E95" s="1856"/>
      <c r="F95" s="1856"/>
      <c r="G95" s="1857"/>
      <c r="H95" s="1798" t="s">
        <v>40</v>
      </c>
      <c r="I95" s="1796" t="s">
        <v>39</v>
      </c>
      <c r="J95" s="1832" t="s">
        <v>375</v>
      </c>
      <c r="K95" s="1735" t="s">
        <v>374</v>
      </c>
      <c r="L95" s="1736"/>
      <c r="M95" s="1737"/>
      <c r="N95" s="1859"/>
      <c r="O95" s="1855"/>
      <c r="P95" s="1856"/>
      <c r="Q95" s="1856"/>
      <c r="R95" s="1856"/>
      <c r="S95" s="1856"/>
      <c r="T95" s="1857"/>
      <c r="U95" s="1798" t="s">
        <v>40</v>
      </c>
      <c r="V95" s="1796" t="s">
        <v>39</v>
      </c>
      <c r="W95" s="1832" t="s">
        <v>375</v>
      </c>
      <c r="X95" s="1735" t="s">
        <v>374</v>
      </c>
      <c r="Y95" s="1736"/>
      <c r="Z95" s="1737"/>
      <c r="AA95" s="4"/>
      <c r="AB95" s="4"/>
      <c r="AC95" s="4"/>
      <c r="AD95" s="423"/>
      <c r="AE95" s="59"/>
      <c r="AF95" s="4"/>
      <c r="AG95" s="4"/>
      <c r="AH95" s="4"/>
      <c r="AI95" s="4"/>
      <c r="AK95" s="4"/>
      <c r="AL95" s="4"/>
      <c r="AM95" s="4"/>
      <c r="AN95" s="4"/>
      <c r="AO95" s="4"/>
      <c r="AP95" s="4"/>
      <c r="AQ95" s="4"/>
      <c r="AR95" s="4"/>
      <c r="AS95" s="4"/>
      <c r="AT95" s="4"/>
      <c r="AU95" s="4"/>
      <c r="AV95" s="4"/>
      <c r="AW95" s="4"/>
      <c r="AX95" s="4"/>
      <c r="AY95" s="4"/>
      <c r="AZ95" s="4"/>
      <c r="BA95" s="716">
        <v>83</v>
      </c>
      <c r="BB95" s="717">
        <f t="shared" si="42"/>
        <v>0</v>
      </c>
      <c r="BC95" s="520">
        <f t="shared" si="43"/>
        <v>0</v>
      </c>
      <c r="BD95" s="702">
        <f t="shared" si="44"/>
        <v>0</v>
      </c>
      <c r="BE95" s="702">
        <f t="shared" si="44"/>
        <v>0</v>
      </c>
      <c r="BJ95" s="695"/>
      <c r="BL95" s="520">
        <f t="shared" si="39"/>
        <v>0</v>
      </c>
      <c r="BN95" s="695"/>
      <c r="CC95" s="695" t="str">
        <f t="shared" si="40"/>
        <v>中日帰/準・特</v>
      </c>
      <c r="CD95" s="712">
        <f t="shared" si="41"/>
        <v>0</v>
      </c>
      <c r="CE95" s="695">
        <f>IF(OR(BW18="",BW18=0),0,29)</f>
        <v>0</v>
      </c>
      <c r="CF95" s="695">
        <v>110</v>
      </c>
      <c r="CG95" s="710">
        <v>29</v>
      </c>
    </row>
    <row r="96" spans="1:106" ht="26.1" customHeight="1">
      <c r="A96" s="1786"/>
      <c r="B96" s="1855"/>
      <c r="C96" s="1856"/>
      <c r="D96" s="1856"/>
      <c r="E96" s="1856"/>
      <c r="F96" s="1856"/>
      <c r="G96" s="1857"/>
      <c r="H96" s="1798"/>
      <c r="I96" s="1796"/>
      <c r="J96" s="1833"/>
      <c r="K96" s="1735"/>
      <c r="L96" s="1736"/>
      <c r="M96" s="1737"/>
      <c r="N96" s="1859"/>
      <c r="O96" s="1855"/>
      <c r="P96" s="1856"/>
      <c r="Q96" s="1856"/>
      <c r="R96" s="1856"/>
      <c r="S96" s="1856"/>
      <c r="T96" s="1857"/>
      <c r="U96" s="1798"/>
      <c r="V96" s="1796"/>
      <c r="W96" s="1833"/>
      <c r="X96" s="1735"/>
      <c r="Y96" s="1736"/>
      <c r="Z96" s="1737"/>
      <c r="AD96" s="423"/>
      <c r="AE96" s="59"/>
      <c r="BA96" s="716">
        <v>84</v>
      </c>
      <c r="BB96" s="717">
        <f t="shared" si="42"/>
        <v>0</v>
      </c>
      <c r="BC96" s="520">
        <f t="shared" si="43"/>
        <v>0</v>
      </c>
      <c r="BD96" s="702">
        <f t="shared" si="44"/>
        <v>0</v>
      </c>
      <c r="BE96" s="702">
        <f t="shared" si="44"/>
        <v>0</v>
      </c>
      <c r="BJ96" s="695"/>
      <c r="BL96" s="520">
        <f t="shared" si="39"/>
        <v>0</v>
      </c>
      <c r="BN96" s="695"/>
      <c r="CC96" s="695" t="str">
        <f t="shared" si="40"/>
        <v>中日帰/準・身</v>
      </c>
      <c r="CD96" s="712">
        <f t="shared" si="41"/>
        <v>0</v>
      </c>
      <c r="CE96" s="695">
        <f>IF(OR(BW19="",BW19=0),0,28)</f>
        <v>0</v>
      </c>
      <c r="CF96" s="695">
        <v>110</v>
      </c>
      <c r="CG96" s="710">
        <v>28</v>
      </c>
    </row>
    <row r="97" spans="1:85" ht="26.1" customHeight="1">
      <c r="A97" s="1786"/>
      <c r="B97" s="1732"/>
      <c r="C97" s="1733"/>
      <c r="D97" s="1733"/>
      <c r="E97" s="1733"/>
      <c r="F97" s="1733"/>
      <c r="G97" s="1849"/>
      <c r="H97" s="1798"/>
      <c r="I97" s="1796"/>
      <c r="J97" s="1833"/>
      <c r="K97" s="1738"/>
      <c r="L97" s="1739"/>
      <c r="M97" s="1740"/>
      <c r="N97" s="1860"/>
      <c r="O97" s="1732"/>
      <c r="P97" s="1733"/>
      <c r="Q97" s="1733"/>
      <c r="R97" s="1733"/>
      <c r="S97" s="1733"/>
      <c r="T97" s="1849"/>
      <c r="U97" s="1798"/>
      <c r="V97" s="1796"/>
      <c r="W97" s="1833"/>
      <c r="X97" s="1738"/>
      <c r="Y97" s="1739"/>
      <c r="Z97" s="1740"/>
      <c r="AD97" s="423"/>
      <c r="AE97" s="59"/>
      <c r="BA97" s="716">
        <v>85</v>
      </c>
      <c r="BB97" s="717">
        <f t="shared" si="42"/>
        <v>0</v>
      </c>
      <c r="BC97" s="520">
        <f t="shared" si="43"/>
        <v>0</v>
      </c>
      <c r="BD97" s="702">
        <f t="shared" si="44"/>
        <v>0</v>
      </c>
      <c r="BE97" s="702">
        <f t="shared" si="44"/>
        <v>0</v>
      </c>
      <c r="BJ97" s="695"/>
      <c r="BL97" s="520">
        <f t="shared" si="39"/>
        <v>0</v>
      </c>
      <c r="BN97" s="695"/>
      <c r="CC97" s="695" t="str">
        <f t="shared" si="40"/>
        <v>中日帰/準・療</v>
      </c>
      <c r="CD97" s="712">
        <f t="shared" si="41"/>
        <v>0</v>
      </c>
      <c r="CE97" s="695">
        <f>IF(OR(BW20="",BW20=0),0,27)</f>
        <v>0</v>
      </c>
      <c r="CF97" s="695">
        <v>110</v>
      </c>
      <c r="CG97" s="710">
        <v>27</v>
      </c>
    </row>
    <row r="98" spans="1:85" ht="24.95" customHeight="1">
      <c r="A98" s="192">
        <v>81</v>
      </c>
      <c r="B98" s="1775"/>
      <c r="C98" s="1806"/>
      <c r="D98" s="1806"/>
      <c r="E98" s="1806"/>
      <c r="F98" s="1806"/>
      <c r="G98" s="1807"/>
      <c r="H98" s="193"/>
      <c r="I98" s="194"/>
      <c r="J98" s="195"/>
      <c r="K98" s="1744"/>
      <c r="L98" s="1745"/>
      <c r="M98" s="1746"/>
      <c r="N98" s="197">
        <v>111</v>
      </c>
      <c r="O98" s="1775"/>
      <c r="P98" s="1806"/>
      <c r="Q98" s="1806"/>
      <c r="R98" s="1806"/>
      <c r="S98" s="1806"/>
      <c r="T98" s="1807"/>
      <c r="U98" s="193"/>
      <c r="V98" s="194"/>
      <c r="W98" s="195"/>
      <c r="X98" s="1744"/>
      <c r="Y98" s="1745"/>
      <c r="Z98" s="1746"/>
      <c r="AD98" s="423"/>
      <c r="AE98" s="424"/>
      <c r="BA98" s="716">
        <v>86</v>
      </c>
      <c r="BB98" s="717">
        <f t="shared" si="42"/>
        <v>0</v>
      </c>
      <c r="BC98" s="520">
        <f t="shared" si="43"/>
        <v>0</v>
      </c>
      <c r="BD98" s="702">
        <f t="shared" si="44"/>
        <v>0</v>
      </c>
      <c r="BE98" s="702">
        <f t="shared" si="44"/>
        <v>0</v>
      </c>
      <c r="BJ98" s="695"/>
      <c r="BL98" s="520">
        <f t="shared" si="39"/>
        <v>0</v>
      </c>
      <c r="BN98" s="695"/>
      <c r="CC98" s="695" t="str">
        <f t="shared" si="40"/>
        <v>中日帰/準・精</v>
      </c>
      <c r="CD98" s="712">
        <f t="shared" si="41"/>
        <v>0</v>
      </c>
      <c r="CE98" s="695">
        <f>IF(OR(BW21="",BW21=0),0,26)</f>
        <v>0</v>
      </c>
      <c r="CF98" s="695">
        <v>110</v>
      </c>
      <c r="CG98" s="710">
        <v>26</v>
      </c>
    </row>
    <row r="99" spans="1:85" ht="24.95" customHeight="1">
      <c r="A99" s="192">
        <v>82</v>
      </c>
      <c r="B99" s="1775"/>
      <c r="C99" s="1806"/>
      <c r="D99" s="1806"/>
      <c r="E99" s="1806"/>
      <c r="F99" s="1806"/>
      <c r="G99" s="1807"/>
      <c r="H99" s="193"/>
      <c r="I99" s="194"/>
      <c r="J99" s="195"/>
      <c r="K99" s="1744"/>
      <c r="L99" s="1745"/>
      <c r="M99" s="1746"/>
      <c r="N99" s="197">
        <v>112</v>
      </c>
      <c r="O99" s="1775"/>
      <c r="P99" s="1806"/>
      <c r="Q99" s="1806"/>
      <c r="R99" s="1806"/>
      <c r="S99" s="1806"/>
      <c r="T99" s="1807"/>
      <c r="U99" s="193"/>
      <c r="V99" s="194"/>
      <c r="W99" s="195"/>
      <c r="X99" s="1744"/>
      <c r="Y99" s="1745"/>
      <c r="Z99" s="1746"/>
      <c r="AD99" s="423"/>
      <c r="AE99" s="424"/>
      <c r="BA99" s="716">
        <v>87</v>
      </c>
      <c r="BB99" s="717">
        <f t="shared" si="42"/>
        <v>0</v>
      </c>
      <c r="BC99" s="520">
        <f t="shared" si="43"/>
        <v>0</v>
      </c>
      <c r="BD99" s="702">
        <f t="shared" si="44"/>
        <v>0</v>
      </c>
      <c r="BE99" s="702">
        <f t="shared" si="44"/>
        <v>0</v>
      </c>
      <c r="BJ99" s="695"/>
      <c r="BL99" s="520">
        <f t="shared" si="39"/>
        <v>0</v>
      </c>
      <c r="BN99" s="695"/>
      <c r="CC99" s="695" t="str">
        <f t="shared" si="40"/>
        <v>中日帰/特・身</v>
      </c>
      <c r="CD99" s="712">
        <f t="shared" si="41"/>
        <v>0</v>
      </c>
      <c r="CE99" s="695">
        <f>IF(OR(BW22="",BW22=0),0,25)</f>
        <v>0</v>
      </c>
      <c r="CF99" s="695">
        <v>110</v>
      </c>
      <c r="CG99" s="710">
        <v>25</v>
      </c>
    </row>
    <row r="100" spans="1:85" ht="24.95" customHeight="1">
      <c r="A100" s="192">
        <v>83</v>
      </c>
      <c r="B100" s="1775"/>
      <c r="C100" s="1806"/>
      <c r="D100" s="1806"/>
      <c r="E100" s="1806"/>
      <c r="F100" s="1806"/>
      <c r="G100" s="1807"/>
      <c r="H100" s="193"/>
      <c r="I100" s="194"/>
      <c r="J100" s="195"/>
      <c r="K100" s="1744"/>
      <c r="L100" s="1745"/>
      <c r="M100" s="1746"/>
      <c r="N100" s="197">
        <v>113</v>
      </c>
      <c r="O100" s="1775"/>
      <c r="P100" s="1806"/>
      <c r="Q100" s="1806"/>
      <c r="R100" s="1806"/>
      <c r="S100" s="1806"/>
      <c r="T100" s="1807"/>
      <c r="U100" s="193"/>
      <c r="V100" s="194"/>
      <c r="W100" s="195"/>
      <c r="X100" s="1744"/>
      <c r="Y100" s="1745"/>
      <c r="Z100" s="1746"/>
      <c r="AD100" s="423"/>
      <c r="AE100" s="424"/>
      <c r="BA100" s="716">
        <v>88</v>
      </c>
      <c r="BB100" s="717">
        <f t="shared" si="42"/>
        <v>0</v>
      </c>
      <c r="BC100" s="520">
        <f t="shared" si="43"/>
        <v>0</v>
      </c>
      <c r="BD100" s="702">
        <f t="shared" si="44"/>
        <v>0</v>
      </c>
      <c r="BE100" s="702">
        <f t="shared" si="44"/>
        <v>0</v>
      </c>
      <c r="BJ100" s="695"/>
      <c r="BL100" s="520">
        <f t="shared" si="39"/>
        <v>0</v>
      </c>
      <c r="BN100" s="695"/>
      <c r="CC100" s="695" t="str">
        <f t="shared" si="40"/>
        <v>中日帰/特・療</v>
      </c>
      <c r="CD100" s="712">
        <f t="shared" si="41"/>
        <v>0</v>
      </c>
      <c r="CE100" s="695">
        <f>IF(OR(BW23="",BW23=0),0,24)</f>
        <v>0</v>
      </c>
      <c r="CF100" s="695">
        <v>110</v>
      </c>
      <c r="CG100" s="710">
        <v>24</v>
      </c>
    </row>
    <row r="101" spans="1:85" ht="24.95" customHeight="1">
      <c r="A101" s="192">
        <v>84</v>
      </c>
      <c r="B101" s="1775"/>
      <c r="C101" s="1806"/>
      <c r="D101" s="1806"/>
      <c r="E101" s="1806"/>
      <c r="F101" s="1806"/>
      <c r="G101" s="1807"/>
      <c r="H101" s="193"/>
      <c r="I101" s="194"/>
      <c r="J101" s="195"/>
      <c r="K101" s="1744"/>
      <c r="L101" s="1745"/>
      <c r="M101" s="1746"/>
      <c r="N101" s="197">
        <v>114</v>
      </c>
      <c r="O101" s="1775"/>
      <c r="P101" s="1806"/>
      <c r="Q101" s="1806"/>
      <c r="R101" s="1806"/>
      <c r="S101" s="1806"/>
      <c r="T101" s="1807"/>
      <c r="U101" s="193"/>
      <c r="V101" s="194"/>
      <c r="W101" s="195"/>
      <c r="X101" s="1744"/>
      <c r="Y101" s="1745"/>
      <c r="Z101" s="1746"/>
      <c r="AD101" s="423"/>
      <c r="AE101" s="424"/>
      <c r="BA101" s="716">
        <v>89</v>
      </c>
      <c r="BB101" s="717">
        <f t="shared" si="42"/>
        <v>0</v>
      </c>
      <c r="BC101" s="520">
        <f t="shared" si="43"/>
        <v>0</v>
      </c>
      <c r="BD101" s="702">
        <f t="shared" si="44"/>
        <v>0</v>
      </c>
      <c r="BE101" s="702">
        <f t="shared" si="44"/>
        <v>0</v>
      </c>
      <c r="BJ101" s="695"/>
      <c r="BL101" s="520">
        <f t="shared" si="39"/>
        <v>0</v>
      </c>
      <c r="BN101" s="695"/>
      <c r="CC101" s="695" t="str">
        <f t="shared" si="40"/>
        <v>中日帰/特・精</v>
      </c>
      <c r="CD101" s="712">
        <f t="shared" si="41"/>
        <v>0</v>
      </c>
      <c r="CE101" s="695">
        <f>IF(OR(BW24="",BW24=0),0,23)</f>
        <v>0</v>
      </c>
      <c r="CF101" s="695">
        <v>110</v>
      </c>
      <c r="CG101" s="710">
        <v>23</v>
      </c>
    </row>
    <row r="102" spans="1:85" ht="24.95" customHeight="1">
      <c r="A102" s="192">
        <v>85</v>
      </c>
      <c r="B102" s="1775"/>
      <c r="C102" s="1806"/>
      <c r="D102" s="1806"/>
      <c r="E102" s="1806"/>
      <c r="F102" s="1806"/>
      <c r="G102" s="1807"/>
      <c r="H102" s="193"/>
      <c r="I102" s="194"/>
      <c r="J102" s="195"/>
      <c r="K102" s="1744"/>
      <c r="L102" s="1745"/>
      <c r="M102" s="1746"/>
      <c r="N102" s="197">
        <v>115</v>
      </c>
      <c r="O102" s="1775"/>
      <c r="P102" s="1806"/>
      <c r="Q102" s="1806"/>
      <c r="R102" s="1806"/>
      <c r="S102" s="1806"/>
      <c r="T102" s="1807"/>
      <c r="U102" s="193"/>
      <c r="V102" s="194"/>
      <c r="W102" s="195"/>
      <c r="X102" s="1744"/>
      <c r="Y102" s="1745"/>
      <c r="Z102" s="1746"/>
      <c r="AD102" s="423"/>
      <c r="AE102" s="424"/>
      <c r="BA102" s="716">
        <v>90</v>
      </c>
      <c r="BB102" s="717">
        <f t="shared" si="42"/>
        <v>0</v>
      </c>
      <c r="BC102" s="520">
        <f t="shared" si="43"/>
        <v>0</v>
      </c>
      <c r="BD102" s="702">
        <f t="shared" si="44"/>
        <v>0</v>
      </c>
      <c r="BE102" s="702">
        <f t="shared" si="44"/>
        <v>0</v>
      </c>
      <c r="CC102" s="695" t="str">
        <f t="shared" si="40"/>
        <v>中日帰/身・療</v>
      </c>
      <c r="CD102" s="712">
        <f t="shared" si="41"/>
        <v>0</v>
      </c>
      <c r="CE102" s="695">
        <f>IF(OR(BW25="",BW25=0),0,22)</f>
        <v>0</v>
      </c>
      <c r="CF102" s="695">
        <v>110</v>
      </c>
      <c r="CG102" s="710">
        <v>22</v>
      </c>
    </row>
    <row r="103" spans="1:85" ht="24.95" customHeight="1">
      <c r="A103" s="192">
        <v>86</v>
      </c>
      <c r="B103" s="1775"/>
      <c r="C103" s="1806"/>
      <c r="D103" s="1806"/>
      <c r="E103" s="1806"/>
      <c r="F103" s="1806"/>
      <c r="G103" s="1807"/>
      <c r="H103" s="193"/>
      <c r="I103" s="194"/>
      <c r="J103" s="195"/>
      <c r="K103" s="1744"/>
      <c r="L103" s="1745"/>
      <c r="M103" s="1746"/>
      <c r="N103" s="197">
        <v>116</v>
      </c>
      <c r="O103" s="1775"/>
      <c r="P103" s="1806"/>
      <c r="Q103" s="1806"/>
      <c r="R103" s="1806"/>
      <c r="S103" s="1806"/>
      <c r="T103" s="1807"/>
      <c r="U103" s="193"/>
      <c r="V103" s="194"/>
      <c r="W103" s="195"/>
      <c r="X103" s="1744"/>
      <c r="Y103" s="1745"/>
      <c r="Z103" s="1746"/>
      <c r="AD103" s="423"/>
      <c r="AE103" s="424"/>
      <c r="BA103" s="716">
        <v>91</v>
      </c>
      <c r="BB103" s="717">
        <f t="shared" si="42"/>
        <v>0</v>
      </c>
      <c r="BC103" s="520">
        <f t="shared" si="43"/>
        <v>0</v>
      </c>
      <c r="BD103" s="702">
        <f t="shared" si="44"/>
        <v>0</v>
      </c>
      <c r="BE103" s="702">
        <f t="shared" si="44"/>
        <v>0</v>
      </c>
      <c r="BF103" s="695" t="s">
        <v>1207</v>
      </c>
      <c r="BG103" s="695" t="s">
        <v>1208</v>
      </c>
      <c r="BH103" s="695" t="s">
        <v>1209</v>
      </c>
      <c r="BI103" s="695" t="s">
        <v>1206</v>
      </c>
      <c r="BJ103" s="695" t="s">
        <v>1207</v>
      </c>
      <c r="BK103" s="695" t="s">
        <v>1208</v>
      </c>
      <c r="BL103" s="695" t="s">
        <v>1209</v>
      </c>
      <c r="BM103" s="695" t="s">
        <v>1206</v>
      </c>
      <c r="CC103" s="695" t="str">
        <f t="shared" si="40"/>
        <v>中日帰/身・精</v>
      </c>
      <c r="CD103" s="712">
        <f t="shared" si="41"/>
        <v>0</v>
      </c>
      <c r="CE103" s="695">
        <f>IF(OR(BW26="",BW26=0),0,21)</f>
        <v>0</v>
      </c>
      <c r="CF103" s="695">
        <v>110</v>
      </c>
      <c r="CG103" s="710">
        <v>21</v>
      </c>
    </row>
    <row r="104" spans="1:85" ht="24.95" customHeight="1">
      <c r="A104" s="192">
        <v>87</v>
      </c>
      <c r="B104" s="1775"/>
      <c r="C104" s="1806"/>
      <c r="D104" s="1806"/>
      <c r="E104" s="1806"/>
      <c r="F104" s="1806"/>
      <c r="G104" s="1807"/>
      <c r="H104" s="193"/>
      <c r="I104" s="194"/>
      <c r="J104" s="195"/>
      <c r="K104" s="1744"/>
      <c r="L104" s="1745"/>
      <c r="M104" s="1746"/>
      <c r="N104" s="197">
        <v>117</v>
      </c>
      <c r="O104" s="1775"/>
      <c r="P104" s="1806"/>
      <c r="Q104" s="1806"/>
      <c r="R104" s="1806"/>
      <c r="S104" s="1806"/>
      <c r="T104" s="1807"/>
      <c r="U104" s="193"/>
      <c r="V104" s="194"/>
      <c r="W104" s="195"/>
      <c r="X104" s="1744"/>
      <c r="Y104" s="1745"/>
      <c r="Z104" s="1746"/>
      <c r="AD104" s="423"/>
      <c r="AE104" s="424"/>
      <c r="BA104" s="716">
        <v>92</v>
      </c>
      <c r="BB104" s="717">
        <f t="shared" si="42"/>
        <v>0</v>
      </c>
      <c r="BC104" s="520">
        <f t="shared" si="43"/>
        <v>0</v>
      </c>
      <c r="BD104" s="702">
        <f t="shared" si="44"/>
        <v>0</v>
      </c>
      <c r="BE104" s="702">
        <f t="shared" si="44"/>
        <v>0</v>
      </c>
      <c r="BF104" s="695">
        <v>81</v>
      </c>
      <c r="BI104" s="520" t="b">
        <v>0</v>
      </c>
      <c r="BJ104" s="695">
        <v>111</v>
      </c>
      <c r="BM104" s="520" t="b">
        <v>0</v>
      </c>
      <c r="CC104" s="695" t="str">
        <f t="shared" si="40"/>
        <v>中日帰/療・精</v>
      </c>
      <c r="CD104" s="712">
        <f t="shared" si="41"/>
        <v>0</v>
      </c>
      <c r="CE104" s="695">
        <f>IF(OR(BW27="",BW27=0),0,20)</f>
        <v>0</v>
      </c>
      <c r="CF104" s="695">
        <v>110</v>
      </c>
      <c r="CG104" s="710">
        <v>20</v>
      </c>
    </row>
    <row r="105" spans="1:85" ht="24.95" customHeight="1">
      <c r="A105" s="192">
        <v>88</v>
      </c>
      <c r="B105" s="1775"/>
      <c r="C105" s="1806"/>
      <c r="D105" s="1806"/>
      <c r="E105" s="1806"/>
      <c r="F105" s="1806"/>
      <c r="G105" s="1807"/>
      <c r="H105" s="193"/>
      <c r="I105" s="194"/>
      <c r="J105" s="195"/>
      <c r="K105" s="1744"/>
      <c r="L105" s="1745"/>
      <c r="M105" s="1746"/>
      <c r="N105" s="197">
        <v>118</v>
      </c>
      <c r="O105" s="1775"/>
      <c r="P105" s="1806"/>
      <c r="Q105" s="1806"/>
      <c r="R105" s="1806"/>
      <c r="S105" s="1806"/>
      <c r="T105" s="1807"/>
      <c r="U105" s="193"/>
      <c r="V105" s="194"/>
      <c r="W105" s="195"/>
      <c r="X105" s="1744"/>
      <c r="Y105" s="1745"/>
      <c r="Z105" s="1746"/>
      <c r="AD105" s="423"/>
      <c r="AE105" s="424"/>
      <c r="BA105" s="716">
        <v>93</v>
      </c>
      <c r="BB105" s="717">
        <f t="shared" si="42"/>
        <v>0</v>
      </c>
      <c r="BC105" s="520">
        <f t="shared" si="43"/>
        <v>0</v>
      </c>
      <c r="BD105" s="702">
        <f t="shared" si="44"/>
        <v>0</v>
      </c>
      <c r="BE105" s="702">
        <f t="shared" si="44"/>
        <v>0</v>
      </c>
      <c r="BF105" s="695">
        <v>82</v>
      </c>
      <c r="BI105" s="520" t="b">
        <v>0</v>
      </c>
      <c r="BJ105" s="695">
        <v>112</v>
      </c>
      <c r="BM105" s="520" t="b">
        <v>0</v>
      </c>
      <c r="CC105" s="695" t="str">
        <f t="shared" si="40"/>
        <v>中日帰/準・特・身</v>
      </c>
      <c r="CD105" s="712">
        <f t="shared" si="41"/>
        <v>0</v>
      </c>
      <c r="CE105" s="695">
        <f>IF(OR(BW28="",BW28=0),0,19)</f>
        <v>0</v>
      </c>
      <c r="CF105" s="695">
        <v>110</v>
      </c>
      <c r="CG105" s="710">
        <v>19</v>
      </c>
    </row>
    <row r="106" spans="1:85" ht="24.95" customHeight="1">
      <c r="A106" s="192">
        <v>89</v>
      </c>
      <c r="B106" s="1775"/>
      <c r="C106" s="1806"/>
      <c r="D106" s="1806"/>
      <c r="E106" s="1806"/>
      <c r="F106" s="1806"/>
      <c r="G106" s="1807"/>
      <c r="H106" s="193"/>
      <c r="I106" s="194"/>
      <c r="J106" s="195"/>
      <c r="K106" s="1744"/>
      <c r="L106" s="1745"/>
      <c r="M106" s="1746"/>
      <c r="N106" s="197">
        <v>119</v>
      </c>
      <c r="O106" s="1775"/>
      <c r="P106" s="1806"/>
      <c r="Q106" s="1806"/>
      <c r="R106" s="1806"/>
      <c r="S106" s="1806"/>
      <c r="T106" s="1807"/>
      <c r="U106" s="193"/>
      <c r="V106" s="194"/>
      <c r="W106" s="195"/>
      <c r="X106" s="1744"/>
      <c r="Y106" s="1745"/>
      <c r="Z106" s="1746"/>
      <c r="AD106" s="423"/>
      <c r="AE106" s="424"/>
      <c r="BA106" s="716">
        <v>94</v>
      </c>
      <c r="BB106" s="717">
        <f t="shared" si="42"/>
        <v>0</v>
      </c>
      <c r="BC106" s="520">
        <f t="shared" si="43"/>
        <v>0</v>
      </c>
      <c r="BD106" s="702">
        <f t="shared" si="44"/>
        <v>0</v>
      </c>
      <c r="BE106" s="702">
        <f t="shared" si="44"/>
        <v>0</v>
      </c>
      <c r="BF106" s="695">
        <v>83</v>
      </c>
      <c r="BI106" s="520" t="b">
        <v>0</v>
      </c>
      <c r="BJ106" s="695">
        <v>113</v>
      </c>
      <c r="BM106" s="520" t="b">
        <v>0</v>
      </c>
      <c r="CC106" s="695" t="str">
        <f t="shared" si="40"/>
        <v>中日帰/準・特・療</v>
      </c>
      <c r="CD106" s="712">
        <f t="shared" si="41"/>
        <v>0</v>
      </c>
      <c r="CE106" s="695">
        <f>IF(OR(BW29="",BW29=0),0,18)</f>
        <v>0</v>
      </c>
      <c r="CF106" s="695">
        <v>110</v>
      </c>
      <c r="CG106" s="710">
        <v>18</v>
      </c>
    </row>
    <row r="107" spans="1:85" ht="24.95" customHeight="1">
      <c r="A107" s="192">
        <v>90</v>
      </c>
      <c r="B107" s="1775"/>
      <c r="C107" s="1806"/>
      <c r="D107" s="1806"/>
      <c r="E107" s="1806"/>
      <c r="F107" s="1806"/>
      <c r="G107" s="1807"/>
      <c r="H107" s="193"/>
      <c r="I107" s="194"/>
      <c r="J107" s="195"/>
      <c r="K107" s="1744"/>
      <c r="L107" s="1745"/>
      <c r="M107" s="1746"/>
      <c r="N107" s="197">
        <v>120</v>
      </c>
      <c r="O107" s="1775"/>
      <c r="P107" s="1806"/>
      <c r="Q107" s="1806"/>
      <c r="R107" s="1806"/>
      <c r="S107" s="1806"/>
      <c r="T107" s="1807"/>
      <c r="U107" s="193"/>
      <c r="V107" s="194"/>
      <c r="W107" s="195"/>
      <c r="X107" s="1744"/>
      <c r="Y107" s="1745"/>
      <c r="Z107" s="1746"/>
      <c r="AD107" s="423"/>
      <c r="AE107" s="424"/>
      <c r="BA107" s="716">
        <v>95</v>
      </c>
      <c r="BB107" s="717">
        <f t="shared" si="42"/>
        <v>0</v>
      </c>
      <c r="BC107" s="520">
        <f t="shared" si="43"/>
        <v>0</v>
      </c>
      <c r="BD107" s="702">
        <f t="shared" si="44"/>
        <v>0</v>
      </c>
      <c r="BE107" s="702">
        <f t="shared" si="44"/>
        <v>0</v>
      </c>
      <c r="BF107" s="695">
        <v>84</v>
      </c>
      <c r="BI107" s="520" t="b">
        <v>0</v>
      </c>
      <c r="BJ107" s="695">
        <v>114</v>
      </c>
      <c r="BM107" s="520" t="b">
        <v>0</v>
      </c>
      <c r="CC107" s="695" t="str">
        <f t="shared" si="40"/>
        <v>中日帰/準・特・精</v>
      </c>
      <c r="CD107" s="712">
        <f t="shared" si="41"/>
        <v>0</v>
      </c>
      <c r="CE107" s="695">
        <f>IF(OR(BW30="",BW30=0),0,17)</f>
        <v>0</v>
      </c>
      <c r="CF107" s="695">
        <v>110</v>
      </c>
      <c r="CG107" s="710">
        <v>17</v>
      </c>
    </row>
    <row r="108" spans="1:85" ht="24.95" customHeight="1">
      <c r="A108" s="192">
        <v>91</v>
      </c>
      <c r="B108" s="1775"/>
      <c r="C108" s="1806"/>
      <c r="D108" s="1806"/>
      <c r="E108" s="1806"/>
      <c r="F108" s="1806"/>
      <c r="G108" s="1807"/>
      <c r="H108" s="193"/>
      <c r="I108" s="194"/>
      <c r="J108" s="195"/>
      <c r="K108" s="1744"/>
      <c r="L108" s="1745"/>
      <c r="M108" s="1746"/>
      <c r="N108" s="197">
        <v>121</v>
      </c>
      <c r="O108" s="1775"/>
      <c r="P108" s="1806"/>
      <c r="Q108" s="1806"/>
      <c r="R108" s="1806"/>
      <c r="S108" s="1806"/>
      <c r="T108" s="1807"/>
      <c r="U108" s="193"/>
      <c r="V108" s="194"/>
      <c r="W108" s="195"/>
      <c r="X108" s="1744"/>
      <c r="Y108" s="1745"/>
      <c r="Z108" s="1746"/>
      <c r="AD108" s="423"/>
      <c r="AE108" s="424"/>
      <c r="BA108" s="716">
        <v>96</v>
      </c>
      <c r="BB108" s="717">
        <f t="shared" si="42"/>
        <v>0</v>
      </c>
      <c r="BC108" s="520">
        <f t="shared" si="43"/>
        <v>0</v>
      </c>
      <c r="BD108" s="702">
        <f t="shared" si="44"/>
        <v>0</v>
      </c>
      <c r="BE108" s="702">
        <f t="shared" si="44"/>
        <v>0</v>
      </c>
      <c r="BF108" s="695">
        <v>85</v>
      </c>
      <c r="BI108" s="520" t="b">
        <v>0</v>
      </c>
      <c r="BJ108" s="695">
        <v>115</v>
      </c>
      <c r="BM108" s="520" t="b">
        <v>0</v>
      </c>
      <c r="CC108" s="695" t="str">
        <f t="shared" si="40"/>
        <v>中日帰/準・身・療</v>
      </c>
      <c r="CD108" s="712">
        <f t="shared" si="41"/>
        <v>0</v>
      </c>
      <c r="CE108" s="695">
        <f>IF(OR(BW31="",BW31=0),0,16)</f>
        <v>0</v>
      </c>
      <c r="CF108" s="695">
        <v>110</v>
      </c>
      <c r="CG108" s="710">
        <v>16</v>
      </c>
    </row>
    <row r="109" spans="1:85" ht="24.95" customHeight="1">
      <c r="A109" s="192">
        <v>92</v>
      </c>
      <c r="B109" s="1775"/>
      <c r="C109" s="1806"/>
      <c r="D109" s="1806"/>
      <c r="E109" s="1806"/>
      <c r="F109" s="1806"/>
      <c r="G109" s="1807"/>
      <c r="H109" s="193"/>
      <c r="I109" s="194"/>
      <c r="J109" s="195"/>
      <c r="K109" s="1744"/>
      <c r="L109" s="1745"/>
      <c r="M109" s="1746"/>
      <c r="N109" s="197">
        <v>122</v>
      </c>
      <c r="O109" s="1775"/>
      <c r="P109" s="1806"/>
      <c r="Q109" s="1806"/>
      <c r="R109" s="1806"/>
      <c r="S109" s="1806"/>
      <c r="T109" s="1807"/>
      <c r="U109" s="193"/>
      <c r="V109" s="194"/>
      <c r="W109" s="195"/>
      <c r="X109" s="1744"/>
      <c r="Y109" s="1745"/>
      <c r="Z109" s="1746"/>
      <c r="AD109" s="423"/>
      <c r="AE109" s="424"/>
      <c r="BA109" s="716">
        <v>97</v>
      </c>
      <c r="BB109" s="717">
        <f t="shared" si="42"/>
        <v>0</v>
      </c>
      <c r="BC109" s="520">
        <f t="shared" si="43"/>
        <v>0</v>
      </c>
      <c r="BD109" s="702">
        <f t="shared" si="44"/>
        <v>0</v>
      </c>
      <c r="BE109" s="702">
        <f t="shared" si="44"/>
        <v>0</v>
      </c>
      <c r="BF109" s="695">
        <v>86</v>
      </c>
      <c r="BI109" s="520" t="b">
        <v>0</v>
      </c>
      <c r="BJ109" s="695">
        <v>116</v>
      </c>
      <c r="BM109" s="520" t="b">
        <v>0</v>
      </c>
      <c r="CC109" s="695" t="str">
        <f t="shared" si="40"/>
        <v>中日帰/準・身・精</v>
      </c>
      <c r="CD109" s="712">
        <f t="shared" si="41"/>
        <v>0</v>
      </c>
      <c r="CE109" s="695">
        <f>IF(OR(BW32="",BW32=0),0,15)</f>
        <v>0</v>
      </c>
      <c r="CF109" s="695">
        <v>110</v>
      </c>
      <c r="CG109" s="710">
        <v>15</v>
      </c>
    </row>
    <row r="110" spans="1:85" ht="24.95" customHeight="1">
      <c r="A110" s="192">
        <v>93</v>
      </c>
      <c r="B110" s="1775"/>
      <c r="C110" s="1806"/>
      <c r="D110" s="1806"/>
      <c r="E110" s="1806"/>
      <c r="F110" s="1806"/>
      <c r="G110" s="1807"/>
      <c r="H110" s="193"/>
      <c r="I110" s="194"/>
      <c r="J110" s="195"/>
      <c r="K110" s="1744"/>
      <c r="L110" s="1745"/>
      <c r="M110" s="1746"/>
      <c r="N110" s="197">
        <v>123</v>
      </c>
      <c r="O110" s="1775"/>
      <c r="P110" s="1806"/>
      <c r="Q110" s="1806"/>
      <c r="R110" s="1806"/>
      <c r="S110" s="1806"/>
      <c r="T110" s="1807"/>
      <c r="U110" s="193"/>
      <c r="V110" s="194"/>
      <c r="W110" s="195"/>
      <c r="X110" s="1744"/>
      <c r="Y110" s="1745"/>
      <c r="Z110" s="1746"/>
      <c r="AD110" s="423"/>
      <c r="AE110" s="424"/>
      <c r="BA110" s="716">
        <v>98</v>
      </c>
      <c r="BB110" s="717">
        <f t="shared" si="42"/>
        <v>0</v>
      </c>
      <c r="BC110" s="520">
        <f t="shared" si="43"/>
        <v>0</v>
      </c>
      <c r="BD110" s="702">
        <f t="shared" si="44"/>
        <v>0</v>
      </c>
      <c r="BE110" s="702">
        <f t="shared" si="44"/>
        <v>0</v>
      </c>
      <c r="BF110" s="695">
        <v>87</v>
      </c>
      <c r="BI110" s="520" t="b">
        <v>0</v>
      </c>
      <c r="BJ110" s="695">
        <v>117</v>
      </c>
      <c r="BM110" s="520" t="b">
        <v>0</v>
      </c>
      <c r="CC110" s="695" t="str">
        <f t="shared" si="40"/>
        <v>中日帰/準・療・精</v>
      </c>
      <c r="CD110" s="712">
        <f t="shared" si="41"/>
        <v>0</v>
      </c>
      <c r="CE110" s="695">
        <f>IF(OR(BW33="",BW33=0),0,14)</f>
        <v>0</v>
      </c>
      <c r="CF110" s="695">
        <v>110</v>
      </c>
      <c r="CG110" s="710">
        <v>14</v>
      </c>
    </row>
    <row r="111" spans="1:85" ht="24.95" customHeight="1">
      <c r="A111" s="192">
        <v>94</v>
      </c>
      <c r="B111" s="1775"/>
      <c r="C111" s="1806"/>
      <c r="D111" s="1806"/>
      <c r="E111" s="1806"/>
      <c r="F111" s="1806"/>
      <c r="G111" s="1807"/>
      <c r="H111" s="193"/>
      <c r="I111" s="194"/>
      <c r="J111" s="195"/>
      <c r="K111" s="1744"/>
      <c r="L111" s="1745"/>
      <c r="M111" s="1746"/>
      <c r="N111" s="197">
        <v>124</v>
      </c>
      <c r="O111" s="1775"/>
      <c r="P111" s="1806"/>
      <c r="Q111" s="1806"/>
      <c r="R111" s="1806"/>
      <c r="S111" s="1806"/>
      <c r="T111" s="1807"/>
      <c r="U111" s="193"/>
      <c r="V111" s="194"/>
      <c r="W111" s="195"/>
      <c r="X111" s="1744"/>
      <c r="Y111" s="1745"/>
      <c r="Z111" s="1746"/>
      <c r="AD111" s="423"/>
      <c r="AE111" s="424"/>
      <c r="BA111" s="716">
        <v>99</v>
      </c>
      <c r="BB111" s="717">
        <f t="shared" si="42"/>
        <v>0</v>
      </c>
      <c r="BC111" s="520">
        <f t="shared" si="43"/>
        <v>0</v>
      </c>
      <c r="BD111" s="702">
        <f t="shared" si="44"/>
        <v>0</v>
      </c>
      <c r="BE111" s="702">
        <f t="shared" si="44"/>
        <v>0</v>
      </c>
      <c r="BF111" s="695">
        <v>88</v>
      </c>
      <c r="BI111" s="520" t="b">
        <v>0</v>
      </c>
      <c r="BJ111" s="695">
        <v>118</v>
      </c>
      <c r="BM111" s="520" t="b">
        <v>0</v>
      </c>
      <c r="CC111" s="695" t="str">
        <f t="shared" si="40"/>
        <v>中日帰/特・身・療</v>
      </c>
      <c r="CD111" s="712">
        <f t="shared" si="41"/>
        <v>0</v>
      </c>
      <c r="CE111" s="695">
        <f>IF(OR(BW34="",BW34=0),0,13)</f>
        <v>0</v>
      </c>
      <c r="CF111" s="695">
        <v>110</v>
      </c>
      <c r="CG111" s="710">
        <v>13</v>
      </c>
    </row>
    <row r="112" spans="1:85" ht="24.95" customHeight="1">
      <c r="A112" s="192">
        <v>95</v>
      </c>
      <c r="B112" s="1775"/>
      <c r="C112" s="1806"/>
      <c r="D112" s="1806"/>
      <c r="E112" s="1806"/>
      <c r="F112" s="1806"/>
      <c r="G112" s="1807"/>
      <c r="H112" s="193"/>
      <c r="I112" s="194"/>
      <c r="J112" s="195"/>
      <c r="K112" s="1744"/>
      <c r="L112" s="1745"/>
      <c r="M112" s="1746"/>
      <c r="N112" s="197">
        <v>125</v>
      </c>
      <c r="O112" s="1775"/>
      <c r="P112" s="1806"/>
      <c r="Q112" s="1806"/>
      <c r="R112" s="1806"/>
      <c r="S112" s="1806"/>
      <c r="T112" s="1807"/>
      <c r="U112" s="193"/>
      <c r="V112" s="194"/>
      <c r="W112" s="195"/>
      <c r="X112" s="1744"/>
      <c r="Y112" s="1745"/>
      <c r="Z112" s="1746"/>
      <c r="AD112" s="84"/>
      <c r="AE112" s="59"/>
      <c r="BA112" s="716">
        <v>100</v>
      </c>
      <c r="BB112" s="717">
        <f t="shared" si="42"/>
        <v>0</v>
      </c>
      <c r="BC112" s="520">
        <f t="shared" si="43"/>
        <v>0</v>
      </c>
      <c r="BD112" s="702">
        <f t="shared" si="44"/>
        <v>0</v>
      </c>
      <c r="BE112" s="702">
        <f t="shared" si="44"/>
        <v>0</v>
      </c>
      <c r="BF112" s="695">
        <v>89</v>
      </c>
      <c r="BI112" s="520" t="b">
        <v>0</v>
      </c>
      <c r="BJ112" s="695">
        <v>119</v>
      </c>
      <c r="BM112" s="520" t="b">
        <v>0</v>
      </c>
      <c r="CC112" s="695" t="str">
        <f t="shared" si="40"/>
        <v>中日帰/特・身・精</v>
      </c>
      <c r="CD112" s="712">
        <f t="shared" si="41"/>
        <v>0</v>
      </c>
      <c r="CE112" s="695">
        <f>IF(OR(BW35="",BW35=0),0,12)</f>
        <v>0</v>
      </c>
      <c r="CF112" s="695">
        <v>110</v>
      </c>
      <c r="CG112" s="710">
        <v>12</v>
      </c>
    </row>
    <row r="113" spans="1:85" ht="24.95" customHeight="1">
      <c r="A113" s="192">
        <v>96</v>
      </c>
      <c r="B113" s="1775"/>
      <c r="C113" s="1806"/>
      <c r="D113" s="1806"/>
      <c r="E113" s="1806"/>
      <c r="F113" s="1806"/>
      <c r="G113" s="1807"/>
      <c r="H113" s="193"/>
      <c r="I113" s="194"/>
      <c r="J113" s="195"/>
      <c r="K113" s="1744"/>
      <c r="L113" s="1745"/>
      <c r="M113" s="1746"/>
      <c r="N113" s="197">
        <v>126</v>
      </c>
      <c r="O113" s="1775"/>
      <c r="P113" s="1806"/>
      <c r="Q113" s="1806"/>
      <c r="R113" s="1806"/>
      <c r="S113" s="1806"/>
      <c r="T113" s="1807"/>
      <c r="U113" s="193"/>
      <c r="V113" s="194"/>
      <c r="W113" s="195"/>
      <c r="X113" s="1744"/>
      <c r="Y113" s="1745"/>
      <c r="Z113" s="1746"/>
      <c r="AD113" s="84"/>
      <c r="AE113" s="59"/>
      <c r="BA113" s="716">
        <v>101</v>
      </c>
      <c r="BB113" s="717">
        <f t="shared" si="42"/>
        <v>0</v>
      </c>
      <c r="BC113" s="520">
        <f t="shared" si="43"/>
        <v>0</v>
      </c>
      <c r="BD113" s="702">
        <f t="shared" si="44"/>
        <v>0</v>
      </c>
      <c r="BE113" s="702">
        <f t="shared" si="44"/>
        <v>0</v>
      </c>
      <c r="BF113" s="695">
        <v>90</v>
      </c>
      <c r="BI113" s="520" t="b">
        <v>0</v>
      </c>
      <c r="BJ113" s="695">
        <v>120</v>
      </c>
      <c r="BM113" s="520" t="b">
        <v>0</v>
      </c>
      <c r="CC113" s="695" t="str">
        <f t="shared" si="40"/>
        <v>中日帰/身・療・精</v>
      </c>
      <c r="CD113" s="712">
        <f t="shared" si="41"/>
        <v>0</v>
      </c>
      <c r="CE113" s="695">
        <f>IF(OR(BW36="",BW36=0),0,11)</f>
        <v>0</v>
      </c>
      <c r="CF113" s="695">
        <v>110</v>
      </c>
      <c r="CG113" s="710">
        <v>11</v>
      </c>
    </row>
    <row r="114" spans="1:85" ht="24.95" customHeight="1">
      <c r="A114" s="192">
        <v>97</v>
      </c>
      <c r="B114" s="1775"/>
      <c r="C114" s="1806"/>
      <c r="D114" s="1806"/>
      <c r="E114" s="1806"/>
      <c r="F114" s="1806"/>
      <c r="G114" s="1807"/>
      <c r="H114" s="193"/>
      <c r="I114" s="194"/>
      <c r="J114" s="195"/>
      <c r="K114" s="1744"/>
      <c r="L114" s="1745"/>
      <c r="M114" s="1746"/>
      <c r="N114" s="197">
        <v>127</v>
      </c>
      <c r="O114" s="1775"/>
      <c r="P114" s="1806"/>
      <c r="Q114" s="1806"/>
      <c r="R114" s="1806"/>
      <c r="S114" s="1806"/>
      <c r="T114" s="1807"/>
      <c r="U114" s="193"/>
      <c r="V114" s="194"/>
      <c r="W114" s="195"/>
      <c r="X114" s="1744"/>
      <c r="Y114" s="1745"/>
      <c r="Z114" s="1746"/>
      <c r="AD114" s="84"/>
      <c r="AE114" s="59"/>
      <c r="BA114" s="716">
        <v>102</v>
      </c>
      <c r="BB114" s="717">
        <f t="shared" si="42"/>
        <v>0</v>
      </c>
      <c r="BC114" s="520">
        <f t="shared" si="43"/>
        <v>0</v>
      </c>
      <c r="BD114" s="702">
        <f t="shared" si="44"/>
        <v>0</v>
      </c>
      <c r="BE114" s="702">
        <f t="shared" si="44"/>
        <v>0</v>
      </c>
      <c r="BF114" s="695">
        <v>91</v>
      </c>
      <c r="BI114" s="520" t="b">
        <v>0</v>
      </c>
      <c r="BJ114" s="695">
        <v>121</v>
      </c>
      <c r="BM114" s="520" t="b">
        <v>0</v>
      </c>
      <c r="CC114" s="695" t="str">
        <f t="shared" si="40"/>
        <v>中日帰/特・療・精</v>
      </c>
      <c r="CD114" s="712">
        <f t="shared" si="41"/>
        <v>0</v>
      </c>
      <c r="CE114" s="695">
        <f>IF(OR(BW37="",BW37=0),0,10)</f>
        <v>0</v>
      </c>
      <c r="CF114" s="695">
        <v>110</v>
      </c>
      <c r="CG114" s="710">
        <v>10</v>
      </c>
    </row>
    <row r="115" spans="1:85" ht="24.95" customHeight="1">
      <c r="A115" s="192">
        <v>98</v>
      </c>
      <c r="B115" s="1775"/>
      <c r="C115" s="1806"/>
      <c r="D115" s="1806"/>
      <c r="E115" s="1806"/>
      <c r="F115" s="1806"/>
      <c r="G115" s="1807"/>
      <c r="H115" s="193"/>
      <c r="I115" s="194"/>
      <c r="J115" s="195"/>
      <c r="K115" s="1744"/>
      <c r="L115" s="1745"/>
      <c r="M115" s="1746"/>
      <c r="N115" s="197">
        <v>128</v>
      </c>
      <c r="O115" s="1775"/>
      <c r="P115" s="1806"/>
      <c r="Q115" s="1806"/>
      <c r="R115" s="1806"/>
      <c r="S115" s="1806"/>
      <c r="T115" s="1807"/>
      <c r="U115" s="193"/>
      <c r="V115" s="194"/>
      <c r="W115" s="195"/>
      <c r="X115" s="1744"/>
      <c r="Y115" s="1745"/>
      <c r="Z115" s="1746"/>
      <c r="AD115" s="84"/>
      <c r="AE115" s="59"/>
      <c r="BA115" s="716">
        <v>103</v>
      </c>
      <c r="BB115" s="717">
        <f t="shared" si="42"/>
        <v>0</v>
      </c>
      <c r="BC115" s="520">
        <f t="shared" si="43"/>
        <v>0</v>
      </c>
      <c r="BD115" s="702">
        <f t="shared" si="44"/>
        <v>0</v>
      </c>
      <c r="BE115" s="702">
        <f t="shared" si="44"/>
        <v>0</v>
      </c>
      <c r="BF115" s="695">
        <v>92</v>
      </c>
      <c r="BI115" s="520" t="b">
        <v>0</v>
      </c>
      <c r="BJ115" s="695">
        <v>122</v>
      </c>
      <c r="BM115" s="520" t="b">
        <v>0</v>
      </c>
      <c r="CC115" s="695" t="str">
        <f>BX11&amp;BF17</f>
        <v>引泊/介添</v>
      </c>
      <c r="CD115" s="712">
        <f>BX17</f>
        <v>0</v>
      </c>
      <c r="CE115" s="695">
        <f>IF(OR(BX17="",BX17=0),0,8)</f>
        <v>0</v>
      </c>
      <c r="CF115" s="695">
        <v>330</v>
      </c>
      <c r="CG115" s="520">
        <v>8</v>
      </c>
    </row>
    <row r="116" spans="1:85" ht="24.95" customHeight="1">
      <c r="A116" s="192">
        <v>99</v>
      </c>
      <c r="B116" s="1775"/>
      <c r="C116" s="1806"/>
      <c r="D116" s="1806"/>
      <c r="E116" s="1806"/>
      <c r="F116" s="1806"/>
      <c r="G116" s="1807"/>
      <c r="H116" s="193"/>
      <c r="I116" s="194"/>
      <c r="J116" s="195"/>
      <c r="K116" s="1744"/>
      <c r="L116" s="1745"/>
      <c r="M116" s="1746"/>
      <c r="N116" s="197">
        <v>129</v>
      </c>
      <c r="O116" s="1775"/>
      <c r="P116" s="1806"/>
      <c r="Q116" s="1806"/>
      <c r="R116" s="1806"/>
      <c r="S116" s="1806"/>
      <c r="T116" s="1807"/>
      <c r="U116" s="193"/>
      <c r="V116" s="194"/>
      <c r="W116" s="195"/>
      <c r="X116" s="1744"/>
      <c r="Y116" s="1745"/>
      <c r="Z116" s="1746"/>
      <c r="AD116" s="84"/>
      <c r="AE116" s="59"/>
      <c r="BA116" s="716">
        <v>104</v>
      </c>
      <c r="BB116" s="717">
        <f t="shared" si="42"/>
        <v>0</v>
      </c>
      <c r="BC116" s="520">
        <f t="shared" si="43"/>
        <v>0</v>
      </c>
      <c r="BD116" s="702">
        <f t="shared" si="44"/>
        <v>0</v>
      </c>
      <c r="BE116" s="702">
        <f t="shared" si="44"/>
        <v>0</v>
      </c>
      <c r="BF116" s="695">
        <v>93</v>
      </c>
      <c r="BI116" s="520" t="b">
        <v>0</v>
      </c>
      <c r="BJ116" s="695">
        <v>123</v>
      </c>
      <c r="BM116" s="520" t="b">
        <v>0</v>
      </c>
      <c r="CC116" s="695" t="str">
        <f>BY11&amp;BF17</f>
        <v>引日帰/介添</v>
      </c>
      <c r="CD116" s="712">
        <f>BY17</f>
        <v>0</v>
      </c>
      <c r="CE116" s="695">
        <f>IF(OR(BY17="",BY17=0),0,6)</f>
        <v>0</v>
      </c>
      <c r="CF116" s="695">
        <v>110</v>
      </c>
      <c r="CG116" s="520">
        <v>6</v>
      </c>
    </row>
    <row r="117" spans="1:85" ht="24.95" customHeight="1">
      <c r="A117" s="192">
        <v>100</v>
      </c>
      <c r="B117" s="1775"/>
      <c r="C117" s="1806"/>
      <c r="D117" s="1806"/>
      <c r="E117" s="1806"/>
      <c r="F117" s="1806"/>
      <c r="G117" s="1807"/>
      <c r="H117" s="193"/>
      <c r="I117" s="194"/>
      <c r="J117" s="195"/>
      <c r="K117" s="1744"/>
      <c r="L117" s="1745"/>
      <c r="M117" s="1746"/>
      <c r="N117" s="197">
        <v>130</v>
      </c>
      <c r="O117" s="1775"/>
      <c r="P117" s="1806"/>
      <c r="Q117" s="1806"/>
      <c r="R117" s="1806"/>
      <c r="S117" s="1806"/>
      <c r="T117" s="1807"/>
      <c r="U117" s="193"/>
      <c r="V117" s="194"/>
      <c r="W117" s="195"/>
      <c r="X117" s="1744"/>
      <c r="Y117" s="1745"/>
      <c r="Z117" s="1746"/>
      <c r="AD117" s="84"/>
      <c r="AE117" s="59"/>
      <c r="BA117" s="716">
        <v>105</v>
      </c>
      <c r="BB117" s="717">
        <f t="shared" si="42"/>
        <v>0</v>
      </c>
      <c r="BC117" s="520">
        <f t="shared" si="43"/>
        <v>0</v>
      </c>
      <c r="BD117" s="702">
        <f t="shared" si="44"/>
        <v>0</v>
      </c>
      <c r="BE117" s="702">
        <f t="shared" si="44"/>
        <v>0</v>
      </c>
      <c r="BF117" s="695">
        <v>94</v>
      </c>
      <c r="BI117" s="520" t="b">
        <v>0</v>
      </c>
      <c r="BJ117" s="695">
        <v>124</v>
      </c>
      <c r="BM117" s="520" t="b">
        <v>0</v>
      </c>
      <c r="CC117" s="695" t="str">
        <f>BZ11&amp;BF17</f>
        <v>一般泊/介添</v>
      </c>
      <c r="CD117" s="520">
        <f>BZ17</f>
        <v>0</v>
      </c>
      <c r="CE117" s="695">
        <f>IF(OR(BZ17="",BZ17=0),0,4)</f>
        <v>0</v>
      </c>
      <c r="CF117" s="695">
        <v>1100</v>
      </c>
      <c r="CG117" s="520">
        <v>4</v>
      </c>
    </row>
    <row r="118" spans="1:85" ht="24.95" customHeight="1">
      <c r="A118" s="192">
        <v>101</v>
      </c>
      <c r="B118" s="1775"/>
      <c r="C118" s="1806"/>
      <c r="D118" s="1806"/>
      <c r="E118" s="1806"/>
      <c r="F118" s="1806"/>
      <c r="G118" s="1807"/>
      <c r="H118" s="193"/>
      <c r="I118" s="194"/>
      <c r="J118" s="195"/>
      <c r="K118" s="1744"/>
      <c r="L118" s="1745"/>
      <c r="M118" s="1746"/>
      <c r="N118" s="197">
        <v>131</v>
      </c>
      <c r="O118" s="1824"/>
      <c r="P118" s="1806"/>
      <c r="Q118" s="1806"/>
      <c r="R118" s="1806"/>
      <c r="S118" s="1806"/>
      <c r="T118" s="1807"/>
      <c r="U118" s="193"/>
      <c r="V118" s="194"/>
      <c r="W118" s="195"/>
      <c r="X118" s="1744"/>
      <c r="Y118" s="1745"/>
      <c r="Z118" s="1746"/>
      <c r="AD118" s="84"/>
      <c r="AE118" s="59"/>
      <c r="BA118" s="716">
        <v>106</v>
      </c>
      <c r="BB118" s="717">
        <f t="shared" si="42"/>
        <v>0</v>
      </c>
      <c r="BC118" s="520">
        <f t="shared" si="43"/>
        <v>0</v>
      </c>
      <c r="BD118" s="702">
        <f t="shared" si="44"/>
        <v>0</v>
      </c>
      <c r="BE118" s="702">
        <f t="shared" si="44"/>
        <v>0</v>
      </c>
      <c r="BF118" s="695">
        <v>95</v>
      </c>
      <c r="BI118" s="520" t="b">
        <v>0</v>
      </c>
      <c r="BJ118" s="695">
        <v>125</v>
      </c>
      <c r="BM118" s="520" t="b">
        <v>0</v>
      </c>
      <c r="CC118" s="695" t="str">
        <f>CA11&amp;BF17</f>
        <v>一般日帰/介添</v>
      </c>
      <c r="CD118" s="712">
        <f>CA17</f>
        <v>0</v>
      </c>
      <c r="CE118" s="695">
        <f>IF(OR(CA17="",CA17=0),0,2)</f>
        <v>0</v>
      </c>
      <c r="CF118" s="695">
        <v>350</v>
      </c>
      <c r="CG118" s="520">
        <v>2</v>
      </c>
    </row>
    <row r="119" spans="1:85" ht="24.95" customHeight="1">
      <c r="A119" s="192">
        <v>102</v>
      </c>
      <c r="B119" s="1775"/>
      <c r="C119" s="1806"/>
      <c r="D119" s="1806"/>
      <c r="E119" s="1806"/>
      <c r="F119" s="1806"/>
      <c r="G119" s="1807"/>
      <c r="H119" s="193"/>
      <c r="I119" s="194"/>
      <c r="J119" s="195"/>
      <c r="K119" s="1744"/>
      <c r="L119" s="1745"/>
      <c r="M119" s="1746"/>
      <c r="N119" s="197">
        <v>132</v>
      </c>
      <c r="O119" s="1824"/>
      <c r="P119" s="1806"/>
      <c r="Q119" s="1806"/>
      <c r="R119" s="1806"/>
      <c r="S119" s="1806"/>
      <c r="T119" s="1807"/>
      <c r="U119" s="193"/>
      <c r="V119" s="194"/>
      <c r="W119" s="195"/>
      <c r="X119" s="1744"/>
      <c r="Y119" s="1745"/>
      <c r="Z119" s="1746"/>
      <c r="AD119" s="84"/>
      <c r="AE119" s="59"/>
      <c r="BA119" s="716">
        <v>107</v>
      </c>
      <c r="BB119" s="717">
        <f t="shared" si="42"/>
        <v>0</v>
      </c>
      <c r="BC119" s="520">
        <f t="shared" si="43"/>
        <v>0</v>
      </c>
      <c r="BD119" s="702">
        <f t="shared" si="44"/>
        <v>0</v>
      </c>
      <c r="BE119" s="702">
        <f t="shared" si="44"/>
        <v>0</v>
      </c>
      <c r="BF119" s="695">
        <v>96</v>
      </c>
      <c r="BI119" s="520" t="b">
        <v>0</v>
      </c>
      <c r="BJ119" s="695">
        <v>126</v>
      </c>
      <c r="BM119" s="520" t="b">
        <v>0</v>
      </c>
      <c r="CC119" s="520" t="s">
        <v>2723</v>
      </c>
      <c r="CD119" s="520">
        <f>BK70</f>
        <v>0</v>
      </c>
      <c r="CE119" s="695">
        <f>IF(OR(BK70="",BK70=0),0,1)</f>
        <v>0</v>
      </c>
      <c r="CG119" s="520">
        <v>1</v>
      </c>
    </row>
    <row r="120" spans="1:85" ht="24.95" customHeight="1">
      <c r="A120" s="192">
        <v>103</v>
      </c>
      <c r="B120" s="1775"/>
      <c r="C120" s="1806"/>
      <c r="D120" s="1806"/>
      <c r="E120" s="1806"/>
      <c r="F120" s="1806"/>
      <c r="G120" s="1807"/>
      <c r="H120" s="193"/>
      <c r="I120" s="194"/>
      <c r="J120" s="195"/>
      <c r="K120" s="1744"/>
      <c r="L120" s="1745"/>
      <c r="M120" s="1746"/>
      <c r="N120" s="197">
        <v>133</v>
      </c>
      <c r="O120" s="1824"/>
      <c r="P120" s="1806"/>
      <c r="Q120" s="1806"/>
      <c r="R120" s="1806"/>
      <c r="S120" s="1806"/>
      <c r="T120" s="1807"/>
      <c r="U120" s="193"/>
      <c r="V120" s="194"/>
      <c r="W120" s="195"/>
      <c r="X120" s="1744"/>
      <c r="Y120" s="1745"/>
      <c r="Z120" s="1746"/>
      <c r="AD120" s="84"/>
      <c r="AE120" s="59"/>
      <c r="BA120" s="716">
        <v>108</v>
      </c>
      <c r="BB120" s="717">
        <f t="shared" si="42"/>
        <v>0</v>
      </c>
      <c r="BC120" s="520">
        <f t="shared" si="43"/>
        <v>0</v>
      </c>
      <c r="BD120" s="702">
        <f t="shared" si="44"/>
        <v>0</v>
      </c>
      <c r="BE120" s="702">
        <f t="shared" si="44"/>
        <v>0</v>
      </c>
      <c r="BF120" s="695">
        <v>97</v>
      </c>
      <c r="BI120" s="520" t="b">
        <v>0</v>
      </c>
      <c r="BJ120" s="695">
        <v>127</v>
      </c>
      <c r="BM120" s="520" t="b">
        <v>0</v>
      </c>
    </row>
    <row r="121" spans="1:85" ht="24.95" customHeight="1">
      <c r="A121" s="192">
        <v>104</v>
      </c>
      <c r="B121" s="1775"/>
      <c r="C121" s="1806"/>
      <c r="D121" s="1806"/>
      <c r="E121" s="1806"/>
      <c r="F121" s="1806"/>
      <c r="G121" s="1807"/>
      <c r="H121" s="193"/>
      <c r="I121" s="194"/>
      <c r="J121" s="195"/>
      <c r="K121" s="1744"/>
      <c r="L121" s="1745"/>
      <c r="M121" s="1746"/>
      <c r="N121" s="197">
        <v>134</v>
      </c>
      <c r="O121" s="1824"/>
      <c r="P121" s="1806"/>
      <c r="Q121" s="1806"/>
      <c r="R121" s="1806"/>
      <c r="S121" s="1806"/>
      <c r="T121" s="1807"/>
      <c r="U121" s="193"/>
      <c r="V121" s="194"/>
      <c r="W121" s="195"/>
      <c r="X121" s="1744"/>
      <c r="Y121" s="1745"/>
      <c r="Z121" s="1746"/>
      <c r="AD121" s="84"/>
      <c r="AE121" s="59"/>
      <c r="BA121" s="716">
        <v>109</v>
      </c>
      <c r="BB121" s="717">
        <f t="shared" si="42"/>
        <v>0</v>
      </c>
      <c r="BC121" s="520">
        <f t="shared" si="43"/>
        <v>0</v>
      </c>
      <c r="BD121" s="702">
        <f t="shared" si="44"/>
        <v>0</v>
      </c>
      <c r="BE121" s="702">
        <f t="shared" si="44"/>
        <v>0</v>
      </c>
      <c r="BF121" s="695">
        <v>98</v>
      </c>
      <c r="BI121" s="520" t="b">
        <v>0</v>
      </c>
      <c r="BJ121" s="695">
        <v>128</v>
      </c>
      <c r="BM121" s="520" t="b">
        <v>0</v>
      </c>
    </row>
    <row r="122" spans="1:85" ht="24.95" customHeight="1">
      <c r="A122" s="192">
        <v>105</v>
      </c>
      <c r="B122" s="1775"/>
      <c r="C122" s="1806"/>
      <c r="D122" s="1806"/>
      <c r="E122" s="1806"/>
      <c r="F122" s="1806"/>
      <c r="G122" s="1807"/>
      <c r="H122" s="193"/>
      <c r="I122" s="194"/>
      <c r="J122" s="195"/>
      <c r="K122" s="1744"/>
      <c r="L122" s="1745"/>
      <c r="M122" s="1746"/>
      <c r="N122" s="197">
        <v>135</v>
      </c>
      <c r="O122" s="1824"/>
      <c r="P122" s="1806"/>
      <c r="Q122" s="1806"/>
      <c r="R122" s="1806"/>
      <c r="S122" s="1806"/>
      <c r="T122" s="1807"/>
      <c r="U122" s="193"/>
      <c r="V122" s="194"/>
      <c r="W122" s="195"/>
      <c r="X122" s="1744"/>
      <c r="Y122" s="1745"/>
      <c r="Z122" s="1746"/>
      <c r="AD122" s="84"/>
      <c r="AE122" s="59"/>
      <c r="BA122" s="716">
        <v>110</v>
      </c>
      <c r="BB122" s="717">
        <f t="shared" si="42"/>
        <v>0</v>
      </c>
      <c r="BC122" s="520">
        <f t="shared" si="43"/>
        <v>0</v>
      </c>
      <c r="BD122" s="702">
        <f t="shared" si="44"/>
        <v>0</v>
      </c>
      <c r="BE122" s="702">
        <f t="shared" si="44"/>
        <v>0</v>
      </c>
      <c r="BF122" s="695">
        <v>99</v>
      </c>
      <c r="BI122" s="520" t="b">
        <v>0</v>
      </c>
      <c r="BJ122" s="695">
        <v>129</v>
      </c>
      <c r="BM122" s="520" t="b">
        <v>0</v>
      </c>
    </row>
    <row r="123" spans="1:85" ht="24.95" customHeight="1">
      <c r="A123" s="192">
        <v>106</v>
      </c>
      <c r="B123" s="1775"/>
      <c r="C123" s="1806"/>
      <c r="D123" s="1806"/>
      <c r="E123" s="1806"/>
      <c r="F123" s="1806"/>
      <c r="G123" s="1807"/>
      <c r="H123" s="193"/>
      <c r="I123" s="194"/>
      <c r="J123" s="195"/>
      <c r="K123" s="1744"/>
      <c r="L123" s="1745"/>
      <c r="M123" s="1746"/>
      <c r="N123" s="197">
        <v>136</v>
      </c>
      <c r="O123" s="1824"/>
      <c r="P123" s="1806"/>
      <c r="Q123" s="1806"/>
      <c r="R123" s="1806"/>
      <c r="S123" s="1806"/>
      <c r="T123" s="1807"/>
      <c r="U123" s="193"/>
      <c r="V123" s="194"/>
      <c r="W123" s="195"/>
      <c r="X123" s="1744"/>
      <c r="Y123" s="1745"/>
      <c r="Z123" s="1746"/>
      <c r="AD123" s="84"/>
      <c r="AE123" s="59"/>
      <c r="BA123" s="716">
        <v>111</v>
      </c>
      <c r="BB123" s="717">
        <f t="shared" ref="BB123:BB152" si="45">COUNTA(U98:V98)</f>
        <v>0</v>
      </c>
      <c r="BC123" s="520">
        <f>COUNTA(X98)</f>
        <v>0</v>
      </c>
      <c r="BD123" s="702">
        <f t="shared" ref="BD123:BD152" si="46">BB123-COUNTA(U98)</f>
        <v>0</v>
      </c>
      <c r="BE123" s="702">
        <f t="shared" ref="BE123:BE152" si="47">BC123-COUNTA(V98)</f>
        <v>0</v>
      </c>
      <c r="BF123" s="695">
        <v>100</v>
      </c>
      <c r="BI123" s="520" t="b">
        <v>0</v>
      </c>
      <c r="BJ123" s="695">
        <v>130</v>
      </c>
      <c r="BM123" s="520" t="b">
        <v>0</v>
      </c>
    </row>
    <row r="124" spans="1:85" ht="24.95" customHeight="1">
      <c r="A124" s="192">
        <v>107</v>
      </c>
      <c r="B124" s="1775"/>
      <c r="C124" s="1806"/>
      <c r="D124" s="1806"/>
      <c r="E124" s="1806"/>
      <c r="F124" s="1806"/>
      <c r="G124" s="1807"/>
      <c r="H124" s="193"/>
      <c r="I124" s="194"/>
      <c r="J124" s="195"/>
      <c r="K124" s="1744"/>
      <c r="L124" s="1745"/>
      <c r="M124" s="1746"/>
      <c r="N124" s="197">
        <v>137</v>
      </c>
      <c r="O124" s="1824"/>
      <c r="P124" s="1806"/>
      <c r="Q124" s="1806"/>
      <c r="R124" s="1806"/>
      <c r="S124" s="1806"/>
      <c r="T124" s="1807"/>
      <c r="U124" s="193"/>
      <c r="V124" s="194"/>
      <c r="W124" s="195"/>
      <c r="X124" s="1744"/>
      <c r="Y124" s="1745"/>
      <c r="Z124" s="1746"/>
      <c r="AD124" s="84"/>
      <c r="AE124" s="424"/>
      <c r="BA124" s="716">
        <v>112</v>
      </c>
      <c r="BB124" s="717">
        <f t="shared" si="45"/>
        <v>0</v>
      </c>
      <c r="BC124" s="520">
        <f t="shared" ref="BC124:BC152" si="48">COUNTA(X99)</f>
        <v>0</v>
      </c>
      <c r="BD124" s="702">
        <f t="shared" si="46"/>
        <v>0</v>
      </c>
      <c r="BE124" s="702">
        <f t="shared" si="47"/>
        <v>0</v>
      </c>
      <c r="BF124" s="695">
        <v>101</v>
      </c>
      <c r="BI124" s="520" t="b">
        <v>0</v>
      </c>
      <c r="BJ124" s="695">
        <v>131</v>
      </c>
      <c r="BM124" s="520" t="b">
        <v>0</v>
      </c>
    </row>
    <row r="125" spans="1:85" ht="24.95" customHeight="1">
      <c r="A125" s="192">
        <v>108</v>
      </c>
      <c r="B125" s="1775"/>
      <c r="C125" s="1806"/>
      <c r="D125" s="1806"/>
      <c r="E125" s="1806"/>
      <c r="F125" s="1806"/>
      <c r="G125" s="1807"/>
      <c r="H125" s="193"/>
      <c r="I125" s="194"/>
      <c r="J125" s="195"/>
      <c r="K125" s="1744"/>
      <c r="L125" s="1745"/>
      <c r="M125" s="1746"/>
      <c r="N125" s="197">
        <v>138</v>
      </c>
      <c r="O125" s="1824"/>
      <c r="P125" s="1806"/>
      <c r="Q125" s="1806"/>
      <c r="R125" s="1806"/>
      <c r="S125" s="1806"/>
      <c r="T125" s="1807"/>
      <c r="U125" s="193"/>
      <c r="V125" s="194"/>
      <c r="W125" s="195"/>
      <c r="X125" s="1744"/>
      <c r="Y125" s="1745"/>
      <c r="Z125" s="1746"/>
      <c r="AD125" s="84"/>
      <c r="AE125" s="424"/>
      <c r="BA125" s="716">
        <v>113</v>
      </c>
      <c r="BB125" s="717">
        <f t="shared" si="45"/>
        <v>0</v>
      </c>
      <c r="BC125" s="520">
        <f t="shared" si="48"/>
        <v>0</v>
      </c>
      <c r="BD125" s="702">
        <f t="shared" si="46"/>
        <v>0</v>
      </c>
      <c r="BE125" s="702">
        <f t="shared" si="47"/>
        <v>0</v>
      </c>
      <c r="BF125" s="695">
        <v>102</v>
      </c>
      <c r="BI125" s="520" t="b">
        <v>0</v>
      </c>
      <c r="BJ125" s="695">
        <v>132</v>
      </c>
      <c r="BM125" s="520" t="b">
        <v>0</v>
      </c>
    </row>
    <row r="126" spans="1:85" ht="24.95" customHeight="1">
      <c r="A126" s="192">
        <v>109</v>
      </c>
      <c r="B126" s="1775"/>
      <c r="C126" s="1806"/>
      <c r="D126" s="1806"/>
      <c r="E126" s="1806"/>
      <c r="F126" s="1806"/>
      <c r="G126" s="1807"/>
      <c r="H126" s="193"/>
      <c r="I126" s="194"/>
      <c r="J126" s="195"/>
      <c r="K126" s="1744"/>
      <c r="L126" s="1745"/>
      <c r="M126" s="1746"/>
      <c r="N126" s="197">
        <v>139</v>
      </c>
      <c r="O126" s="1824"/>
      <c r="P126" s="1806"/>
      <c r="Q126" s="1806"/>
      <c r="R126" s="1806"/>
      <c r="S126" s="1806"/>
      <c r="T126" s="1807"/>
      <c r="U126" s="193"/>
      <c r="V126" s="194"/>
      <c r="W126" s="195"/>
      <c r="X126" s="1744"/>
      <c r="Y126" s="1745"/>
      <c r="Z126" s="1746"/>
      <c r="AD126" s="84"/>
      <c r="AE126" s="424"/>
      <c r="BA126" s="716">
        <v>114</v>
      </c>
      <c r="BB126" s="717">
        <f t="shared" si="45"/>
        <v>0</v>
      </c>
      <c r="BC126" s="520">
        <f t="shared" si="48"/>
        <v>0</v>
      </c>
      <c r="BD126" s="702">
        <f t="shared" si="46"/>
        <v>0</v>
      </c>
      <c r="BE126" s="702">
        <f t="shared" si="47"/>
        <v>0</v>
      </c>
      <c r="BF126" s="695">
        <v>103</v>
      </c>
      <c r="BI126" s="520" t="b">
        <v>0</v>
      </c>
      <c r="BJ126" s="695">
        <v>133</v>
      </c>
      <c r="BM126" s="520" t="b">
        <v>0</v>
      </c>
    </row>
    <row r="127" spans="1:85" ht="24.95" customHeight="1">
      <c r="A127" s="192">
        <v>110</v>
      </c>
      <c r="B127" s="1775"/>
      <c r="C127" s="1806"/>
      <c r="D127" s="1806"/>
      <c r="E127" s="1806"/>
      <c r="F127" s="1806"/>
      <c r="G127" s="1807"/>
      <c r="H127" s="193"/>
      <c r="I127" s="194"/>
      <c r="J127" s="195"/>
      <c r="K127" s="1744"/>
      <c r="L127" s="1745"/>
      <c r="M127" s="1746"/>
      <c r="N127" s="197">
        <v>140</v>
      </c>
      <c r="O127" s="1824"/>
      <c r="P127" s="1806"/>
      <c r="Q127" s="1806"/>
      <c r="R127" s="1806"/>
      <c r="S127" s="1806"/>
      <c r="T127" s="1807"/>
      <c r="U127" s="193"/>
      <c r="V127" s="194"/>
      <c r="W127" s="195"/>
      <c r="X127" s="1744"/>
      <c r="Y127" s="1745"/>
      <c r="Z127" s="1746"/>
      <c r="AD127" s="84"/>
      <c r="AE127" s="424"/>
      <c r="BA127" s="716">
        <v>115</v>
      </c>
      <c r="BB127" s="717">
        <f t="shared" si="45"/>
        <v>0</v>
      </c>
      <c r="BC127" s="520">
        <f t="shared" si="48"/>
        <v>0</v>
      </c>
      <c r="BD127" s="702">
        <f t="shared" si="46"/>
        <v>0</v>
      </c>
      <c r="BE127" s="702">
        <f t="shared" si="47"/>
        <v>0</v>
      </c>
      <c r="BF127" s="695">
        <v>104</v>
      </c>
      <c r="BI127" s="520" t="b">
        <v>0</v>
      </c>
      <c r="BJ127" s="695">
        <v>134</v>
      </c>
      <c r="BM127" s="520" t="b">
        <v>0</v>
      </c>
    </row>
    <row r="128" spans="1:85" ht="24.95" customHeight="1">
      <c r="A128" s="220"/>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D128" s="84"/>
      <c r="AE128" s="424"/>
      <c r="BA128" s="716">
        <v>116</v>
      </c>
      <c r="BB128" s="717">
        <f t="shared" si="45"/>
        <v>0</v>
      </c>
      <c r="BC128" s="520">
        <f t="shared" si="48"/>
        <v>0</v>
      </c>
      <c r="BD128" s="702">
        <f t="shared" si="46"/>
        <v>0</v>
      </c>
      <c r="BE128" s="702">
        <f t="shared" si="47"/>
        <v>0</v>
      </c>
      <c r="BF128" s="695">
        <v>105</v>
      </c>
      <c r="BI128" s="520" t="b">
        <v>0</v>
      </c>
      <c r="BJ128" s="695">
        <v>135</v>
      </c>
      <c r="BM128" s="520" t="b">
        <v>0</v>
      </c>
    </row>
    <row r="129" spans="1:65" ht="23.25">
      <c r="A129" s="1151" t="s">
        <v>107</v>
      </c>
      <c r="B129" s="1151"/>
      <c r="C129" s="1151"/>
      <c r="D129" s="1151"/>
      <c r="E129" s="1151"/>
      <c r="F129" s="1151"/>
      <c r="G129" s="1151"/>
      <c r="H129" s="1151"/>
      <c r="I129" s="1151"/>
      <c r="J129" s="1151"/>
      <c r="K129" s="1151"/>
      <c r="L129" s="1151"/>
      <c r="M129" s="1151"/>
      <c r="N129" s="1151"/>
      <c r="O129" s="1151"/>
      <c r="P129" s="1151"/>
      <c r="Q129" s="1151"/>
      <c r="R129" s="1151"/>
      <c r="S129" s="1151"/>
      <c r="T129" s="1151"/>
      <c r="U129" s="1151"/>
      <c r="V129" s="1151"/>
      <c r="W129" s="1151"/>
      <c r="X129" s="1151"/>
      <c r="Y129" s="1151"/>
      <c r="Z129" s="1151"/>
      <c r="AA129" s="5"/>
      <c r="AB129" s="5"/>
      <c r="AC129" s="5"/>
      <c r="AD129" s="84"/>
      <c r="AE129" s="424"/>
      <c r="AF129" s="5"/>
      <c r="AG129" s="5"/>
      <c r="AH129" s="5"/>
      <c r="AI129" s="5"/>
      <c r="AJ129" s="5"/>
      <c r="AK129" s="5"/>
      <c r="AL129" s="5"/>
      <c r="AM129" s="5"/>
      <c r="AN129" s="5"/>
      <c r="AO129" s="5"/>
      <c r="AP129" s="5"/>
      <c r="AQ129" s="5"/>
      <c r="AR129" s="5"/>
      <c r="AS129" s="5"/>
      <c r="AT129" s="5"/>
      <c r="AU129" s="5"/>
      <c r="AV129" s="5"/>
      <c r="AW129" s="5"/>
      <c r="AX129" s="5"/>
      <c r="AY129" s="5"/>
      <c r="AZ129" s="5"/>
      <c r="BA129" s="716">
        <v>117</v>
      </c>
      <c r="BB129" s="717">
        <f t="shared" si="45"/>
        <v>0</v>
      </c>
      <c r="BC129" s="520">
        <f t="shared" si="48"/>
        <v>0</v>
      </c>
      <c r="BD129" s="702">
        <f t="shared" si="46"/>
        <v>0</v>
      </c>
      <c r="BE129" s="702">
        <f t="shared" si="47"/>
        <v>0</v>
      </c>
      <c r="BF129" s="695">
        <v>106</v>
      </c>
      <c r="BI129" s="520" t="b">
        <v>0</v>
      </c>
      <c r="BJ129" s="695">
        <v>136</v>
      </c>
      <c r="BM129" s="520" t="b">
        <v>0</v>
      </c>
    </row>
    <row r="130" spans="1:65" ht="24" thickBot="1">
      <c r="A130" s="184">
        <f>COUNTIFS(K141:K170,"a",H141:H170,"&gt;0")</f>
        <v>0</v>
      </c>
      <c r="B130" s="184">
        <f>COUNTIFS(X141:X170,"a",U141:U170,"&gt;0")</f>
        <v>0</v>
      </c>
      <c r="C130" s="184">
        <f>COUNTIFS(K141:K170,"b",H141:H170,"&gt;0")</f>
        <v>0</v>
      </c>
      <c r="D130" s="184">
        <f>COUNTIFS(X141:X170,"b",U141:U170,"&gt;0")</f>
        <v>0</v>
      </c>
      <c r="E130" s="184">
        <f>COUNTIFS(K141:K170,"c",H141:H170,"&gt;0")</f>
        <v>0</v>
      </c>
      <c r="F130" s="184">
        <f>COUNTIFS(X141:X170,"c",U141:U170,"&gt;0")</f>
        <v>0</v>
      </c>
      <c r="G130" s="184">
        <f>COUNTIFS(K141:K170,"d",H141:H170,"&gt;0")</f>
        <v>0</v>
      </c>
      <c r="H130" s="184">
        <f>COUNTIFS(X141:X170,"d",U141:U170,"&gt;0")</f>
        <v>0</v>
      </c>
      <c r="I130" s="184">
        <f>COUNTIFS(K141:K170,"e",H141:H170,"&gt;0")</f>
        <v>0</v>
      </c>
      <c r="J130" s="184">
        <f>COUNTIFS(X141:X170,"e",U141:U170,"&gt;0")</f>
        <v>0</v>
      </c>
      <c r="K130" s="184">
        <f>COUNTIFS(K141:K170,"f",H141:H170,"&gt;0")</f>
        <v>0</v>
      </c>
      <c r="L130" s="184">
        <f>COUNTIFS(X141:X170,"f",U141:U170,"&gt;0")</f>
        <v>0</v>
      </c>
      <c r="M130" s="184">
        <f>COUNTIFS(K141:K170,"g",H141:H170,"&gt;0")</f>
        <v>0</v>
      </c>
      <c r="N130" s="184">
        <f>COUNTIFS(X141:X170,"g",U141:U170,"&gt;0")</f>
        <v>0</v>
      </c>
      <c r="O130" s="184">
        <f>COUNTIFS(K141:K170,"h",H141:H170,"&gt;0")</f>
        <v>0</v>
      </c>
      <c r="P130" s="184">
        <f>COUNTIFS(X141:X170,"h",U141:U170,"&gt;0")</f>
        <v>0</v>
      </c>
      <c r="Q130" s="184">
        <f>COUNTIFS(K141:K170,"i",H141:H170,"&gt;0")</f>
        <v>0</v>
      </c>
      <c r="R130" s="184">
        <f>COUNTIFS(X141:X170,"i",U141:U170,"&gt;0")</f>
        <v>0</v>
      </c>
      <c r="S130" s="185">
        <f>SUM(A130:R130)</f>
        <v>0</v>
      </c>
      <c r="T130" s="185"/>
      <c r="U130" s="185"/>
      <c r="V130" s="185"/>
      <c r="W130" s="1797" t="s">
        <v>322</v>
      </c>
      <c r="X130" s="1797"/>
      <c r="Y130" s="1797">
        <v>4</v>
      </c>
      <c r="Z130" s="1797"/>
      <c r="AA130" s="5"/>
      <c r="AB130" s="5"/>
      <c r="AC130" s="5"/>
      <c r="AD130" s="84"/>
      <c r="AE130" s="424"/>
      <c r="AF130" s="5"/>
      <c r="AG130" s="5"/>
      <c r="AH130" s="5"/>
      <c r="AI130" s="5"/>
      <c r="AJ130" s="5"/>
      <c r="AK130" s="5"/>
      <c r="AL130" s="5"/>
      <c r="AM130" s="5"/>
      <c r="AN130" s="5"/>
      <c r="AO130" s="5"/>
      <c r="AP130" s="5"/>
      <c r="AQ130" s="5"/>
      <c r="AR130" s="5"/>
      <c r="AS130" s="5"/>
      <c r="AT130" s="5"/>
      <c r="AU130" s="5"/>
      <c r="AV130" s="5"/>
      <c r="AW130" s="5"/>
      <c r="AX130" s="5"/>
      <c r="AY130" s="5"/>
      <c r="AZ130" s="5"/>
      <c r="BA130" s="716">
        <v>118</v>
      </c>
      <c r="BB130" s="717">
        <f t="shared" si="45"/>
        <v>0</v>
      </c>
      <c r="BC130" s="520">
        <f t="shared" si="48"/>
        <v>0</v>
      </c>
      <c r="BD130" s="702">
        <f t="shared" si="46"/>
        <v>0</v>
      </c>
      <c r="BE130" s="702">
        <f t="shared" si="47"/>
        <v>0</v>
      </c>
      <c r="BF130" s="695">
        <v>107</v>
      </c>
      <c r="BI130" s="520" t="b">
        <v>0</v>
      </c>
      <c r="BJ130" s="695">
        <v>137</v>
      </c>
      <c r="BM130" s="520" t="b">
        <v>0</v>
      </c>
    </row>
    <row r="131" spans="1:65" ht="23.25">
      <c r="A131" s="184">
        <f>COUNTIFS(K141:K170,"a",I141:I170,"&gt;0")</f>
        <v>0</v>
      </c>
      <c r="B131" s="184">
        <f>COUNTIFS(X141:X170,"a",V141:V170,"&gt;0")</f>
        <v>0</v>
      </c>
      <c r="C131" s="184">
        <f>COUNTIFS(K141:K170,"b",I141:I170,"&gt;0")</f>
        <v>0</v>
      </c>
      <c r="D131" s="184">
        <f>COUNTIFS(X141:X170,"b",V141:V170,"&gt;0")</f>
        <v>0</v>
      </c>
      <c r="E131" s="184">
        <f>COUNTIFS(K141:K170,"c",I141:I170,"&gt;0")</f>
        <v>0</v>
      </c>
      <c r="F131" s="184">
        <f>COUNTIFS(X141:X170,"c",V141:V170,"&gt;0")</f>
        <v>0</v>
      </c>
      <c r="G131" s="184">
        <f>COUNTIFS(K141:K170,"d",I141:I170,"&gt;0")</f>
        <v>0</v>
      </c>
      <c r="H131" s="184">
        <f>COUNTIFS(X141:X170,"d",V141:V170,"&gt;0")</f>
        <v>0</v>
      </c>
      <c r="I131" s="184">
        <f>COUNTIFS(K141:K170,"e",I141:I170,"&gt;0")</f>
        <v>0</v>
      </c>
      <c r="J131" s="184">
        <f>COUNTIFS(X141:X170,"e",V141:V170,"&gt;0")</f>
        <v>0</v>
      </c>
      <c r="K131" s="184">
        <f>COUNTIFS(K141:K170,"f",I141:I170,"&gt;0")</f>
        <v>0</v>
      </c>
      <c r="L131" s="184">
        <f>COUNTIFS(X141:X170,"f",V141:V170,"&gt;0")</f>
        <v>0</v>
      </c>
      <c r="M131" s="184">
        <f>COUNTIFS(K141:K170,"g",I141:I170,"&gt;0")</f>
        <v>0</v>
      </c>
      <c r="N131" s="184">
        <f>COUNTIFS(X141:X170,"g",V141:V170,"&gt;0")</f>
        <v>0</v>
      </c>
      <c r="O131" s="184">
        <f>COUNTIFS(K141:K170,"h",I141:I170,"&gt;0")</f>
        <v>0</v>
      </c>
      <c r="P131" s="184">
        <f>COUNTIFS(X141:X170,"h",V141:V170,"&gt;0")</f>
        <v>0</v>
      </c>
      <c r="Q131" s="184">
        <f>COUNTIFS(K141:K170,"i",I141:I170,"&gt;0")</f>
        <v>0</v>
      </c>
      <c r="R131" s="184">
        <f>COUNTIFS(X141:X170,"i",V141:V170,"&gt;0")</f>
        <v>0</v>
      </c>
      <c r="S131" s="185">
        <f>SUM(A131:R131)</f>
        <v>0</v>
      </c>
      <c r="T131" s="185"/>
      <c r="U131" s="185"/>
      <c r="V131" s="185"/>
      <c r="W131" s="186"/>
      <c r="X131" s="186"/>
      <c r="Y131" s="186"/>
      <c r="Z131" s="186"/>
      <c r="AA131" s="5"/>
      <c r="AB131" s="5"/>
      <c r="AC131" s="5"/>
      <c r="AD131" s="84"/>
      <c r="AE131" s="424"/>
      <c r="AF131" s="5"/>
      <c r="AG131" s="5"/>
      <c r="AH131" s="5"/>
      <c r="AI131" s="5"/>
      <c r="AJ131" s="5"/>
      <c r="AK131" s="5"/>
      <c r="AL131" s="5"/>
      <c r="AM131" s="5"/>
      <c r="AN131" s="5"/>
      <c r="AO131" s="5"/>
      <c r="AP131" s="5"/>
      <c r="AQ131" s="5"/>
      <c r="AR131" s="5"/>
      <c r="AS131" s="5"/>
      <c r="AT131" s="5"/>
      <c r="AU131" s="5"/>
      <c r="AV131" s="5"/>
      <c r="AW131" s="5"/>
      <c r="AX131" s="5"/>
      <c r="AY131" s="5"/>
      <c r="AZ131" s="5"/>
      <c r="BA131" s="716">
        <v>119</v>
      </c>
      <c r="BB131" s="717">
        <f t="shared" si="45"/>
        <v>0</v>
      </c>
      <c r="BC131" s="520">
        <f t="shared" si="48"/>
        <v>0</v>
      </c>
      <c r="BD131" s="702">
        <f t="shared" si="46"/>
        <v>0</v>
      </c>
      <c r="BE131" s="702">
        <f t="shared" si="47"/>
        <v>0</v>
      </c>
      <c r="BF131" s="695">
        <v>108</v>
      </c>
      <c r="BI131" s="520" t="b">
        <v>0</v>
      </c>
      <c r="BJ131" s="695">
        <v>138</v>
      </c>
      <c r="BM131" s="520" t="b">
        <v>0</v>
      </c>
    </row>
    <row r="132" spans="1:65" ht="36" customHeight="1">
      <c r="A132" s="1144" t="s">
        <v>71</v>
      </c>
      <c r="B132" s="1144"/>
      <c r="C132" s="1851">
        <f>C4</f>
        <v>0</v>
      </c>
      <c r="D132" s="1851"/>
      <c r="E132" s="1851"/>
      <c r="F132" s="1851"/>
      <c r="G132" s="1851"/>
      <c r="H132" s="1851"/>
      <c r="I132" s="1851"/>
      <c r="J132" s="1851"/>
      <c r="K132" s="1851"/>
      <c r="L132" s="1851"/>
      <c r="M132" s="1851"/>
      <c r="N132" s="1851"/>
      <c r="O132" s="1851"/>
      <c r="P132" s="1851"/>
      <c r="Q132" s="1851"/>
      <c r="R132" s="1851"/>
      <c r="S132" s="1851"/>
      <c r="T132" s="1851"/>
      <c r="U132" s="178"/>
      <c r="V132" s="178"/>
      <c r="W132" s="178"/>
      <c r="X132" s="178"/>
      <c r="Y132" s="178"/>
      <c r="Z132" s="178"/>
      <c r="AA132" s="5"/>
      <c r="AB132" s="5"/>
      <c r="AC132" s="5"/>
      <c r="AD132" s="84"/>
      <c r="AE132" s="424"/>
      <c r="AF132" s="5"/>
      <c r="AG132" s="5"/>
      <c r="AH132" s="5"/>
      <c r="AI132" s="5"/>
      <c r="AJ132" s="5"/>
      <c r="AK132" s="5"/>
      <c r="AL132" s="5"/>
      <c r="AM132" s="5"/>
      <c r="AN132" s="5"/>
      <c r="AO132" s="5"/>
      <c r="AP132" s="5"/>
      <c r="AQ132" s="5"/>
      <c r="AR132" s="5"/>
      <c r="AS132" s="5"/>
      <c r="AT132" s="5"/>
      <c r="AU132" s="5"/>
      <c r="AV132" s="5"/>
      <c r="AW132" s="5"/>
      <c r="AX132" s="5"/>
      <c r="AY132" s="5"/>
      <c r="AZ132" s="5"/>
      <c r="BA132" s="716">
        <v>120</v>
      </c>
      <c r="BB132" s="717">
        <f t="shared" si="45"/>
        <v>0</v>
      </c>
      <c r="BC132" s="520">
        <f t="shared" si="48"/>
        <v>0</v>
      </c>
      <c r="BD132" s="702">
        <f t="shared" si="46"/>
        <v>0</v>
      </c>
      <c r="BE132" s="702">
        <f t="shared" si="47"/>
        <v>0</v>
      </c>
      <c r="BF132" s="695">
        <v>109</v>
      </c>
      <c r="BI132" s="520" t="b">
        <v>0</v>
      </c>
      <c r="BJ132" s="695">
        <v>139</v>
      </c>
      <c r="BM132" s="520" t="b">
        <v>0</v>
      </c>
    </row>
    <row r="133" spans="1:65" ht="15.95" customHeight="1">
      <c r="A133" s="1203" t="s">
        <v>69</v>
      </c>
      <c r="B133" s="1203"/>
      <c r="C133" s="1725" t="str">
        <f>C5</f>
        <v>令和</v>
      </c>
      <c r="D133" s="1725"/>
      <c r="E133" s="1819" t="s">
        <v>14</v>
      </c>
      <c r="F133" s="1725">
        <f>F5</f>
        <v>0</v>
      </c>
      <c r="G133" s="1819" t="s">
        <v>13</v>
      </c>
      <c r="H133" s="1825">
        <f>H5</f>
        <v>0</v>
      </c>
      <c r="I133" s="1819" t="s">
        <v>12</v>
      </c>
      <c r="J133" s="1819" t="s">
        <v>323</v>
      </c>
      <c r="K133" s="1825">
        <f>K5</f>
        <v>0</v>
      </c>
      <c r="L133" s="1819" t="s">
        <v>324</v>
      </c>
      <c r="M133" s="1819" t="s">
        <v>297</v>
      </c>
      <c r="N133" s="1825">
        <f>N5</f>
        <v>0</v>
      </c>
      <c r="O133" s="1819" t="s">
        <v>13</v>
      </c>
      <c r="P133" s="1825">
        <f>P5</f>
        <v>0</v>
      </c>
      <c r="Q133" s="1819" t="s">
        <v>12</v>
      </c>
      <c r="R133" s="1819" t="s">
        <v>325</v>
      </c>
      <c r="S133" s="1825">
        <f>S5</f>
        <v>0</v>
      </c>
      <c r="T133" s="1819" t="s">
        <v>296</v>
      </c>
      <c r="U133" s="1819"/>
      <c r="V133" s="1819"/>
      <c r="W133" s="187">
        <f>W90</f>
        <v>0</v>
      </c>
      <c r="X133" s="153" t="s">
        <v>38</v>
      </c>
      <c r="Y133" s="187">
        <f>Y90</f>
        <v>0</v>
      </c>
      <c r="Z133" s="153" t="s">
        <v>12</v>
      </c>
      <c r="AA133" s="4"/>
      <c r="AB133" s="4"/>
      <c r="AC133" s="4"/>
      <c r="AD133" s="84"/>
      <c r="AE133" s="424"/>
      <c r="AF133" s="4"/>
      <c r="AG133" s="4"/>
      <c r="AH133" s="4"/>
      <c r="AI133" s="4"/>
      <c r="AJ133" s="4"/>
      <c r="AK133" s="4"/>
      <c r="AL133" s="4"/>
      <c r="AM133" s="4"/>
      <c r="AN133" s="4"/>
      <c r="AO133" s="4"/>
      <c r="AP133" s="4"/>
      <c r="AQ133" s="4"/>
      <c r="AR133" s="4"/>
      <c r="AS133" s="4"/>
      <c r="AT133" s="4"/>
      <c r="AU133" s="4"/>
      <c r="AV133" s="4"/>
      <c r="AW133" s="4"/>
      <c r="AX133" s="4"/>
      <c r="AY133" s="4"/>
      <c r="AZ133" s="4"/>
      <c r="BA133" s="716">
        <v>121</v>
      </c>
      <c r="BB133" s="717">
        <f t="shared" si="45"/>
        <v>0</v>
      </c>
      <c r="BC133" s="520">
        <f t="shared" si="48"/>
        <v>0</v>
      </c>
      <c r="BD133" s="702">
        <f t="shared" si="46"/>
        <v>0</v>
      </c>
      <c r="BE133" s="702">
        <f t="shared" si="47"/>
        <v>0</v>
      </c>
      <c r="BF133" s="695">
        <v>110</v>
      </c>
      <c r="BI133" s="520" t="b">
        <v>0</v>
      </c>
      <c r="BJ133" s="695">
        <v>140</v>
      </c>
      <c r="BM133" s="520" t="b">
        <v>0</v>
      </c>
    </row>
    <row r="134" spans="1:65" ht="15.95" customHeight="1">
      <c r="A134" s="1144"/>
      <c r="B134" s="1144"/>
      <c r="C134" s="1726"/>
      <c r="D134" s="1726"/>
      <c r="E134" s="1820"/>
      <c r="F134" s="1726"/>
      <c r="G134" s="1820"/>
      <c r="H134" s="1726"/>
      <c r="I134" s="1820"/>
      <c r="J134" s="1820"/>
      <c r="K134" s="1726"/>
      <c r="L134" s="1820"/>
      <c r="M134" s="1820"/>
      <c r="N134" s="1726"/>
      <c r="O134" s="1820"/>
      <c r="P134" s="1726"/>
      <c r="Q134" s="1820"/>
      <c r="R134" s="1820"/>
      <c r="S134" s="1726"/>
      <c r="T134" s="1820"/>
      <c r="U134" s="1819"/>
      <c r="V134" s="1819"/>
      <c r="W134" s="1819" t="s">
        <v>39</v>
      </c>
      <c r="X134" s="1819"/>
      <c r="Y134" s="189" t="str">
        <f>Y91</f>
        <v/>
      </c>
      <c r="Z134" s="153" t="s">
        <v>12</v>
      </c>
      <c r="AA134" s="4"/>
      <c r="AB134" s="4"/>
      <c r="AC134" s="4"/>
      <c r="AD134" s="84"/>
      <c r="AE134" s="424"/>
      <c r="AF134" s="4"/>
      <c r="AG134" s="4"/>
      <c r="AH134" s="4"/>
      <c r="AI134" s="4"/>
      <c r="AJ134" s="4"/>
      <c r="AK134" s="4"/>
      <c r="AL134" s="4"/>
      <c r="AM134" s="4"/>
      <c r="AN134" s="4"/>
      <c r="AO134" s="4"/>
      <c r="AP134" s="4"/>
      <c r="AQ134" s="4"/>
      <c r="AR134" s="4"/>
      <c r="AS134" s="4"/>
      <c r="AT134" s="4"/>
      <c r="AU134" s="4"/>
      <c r="AV134" s="4"/>
      <c r="AW134" s="4"/>
      <c r="AX134" s="4"/>
      <c r="AY134" s="4"/>
      <c r="AZ134" s="4"/>
      <c r="BA134" s="716">
        <v>122</v>
      </c>
      <c r="BB134" s="717">
        <f t="shared" si="45"/>
        <v>0</v>
      </c>
      <c r="BC134" s="520">
        <f t="shared" si="48"/>
        <v>0</v>
      </c>
      <c r="BD134" s="702">
        <f t="shared" si="46"/>
        <v>0</v>
      </c>
      <c r="BE134" s="702">
        <f t="shared" si="47"/>
        <v>0</v>
      </c>
    </row>
    <row r="135" spans="1:65" ht="24.95" customHeight="1">
      <c r="A135" s="190"/>
      <c r="B135" s="190"/>
      <c r="C135" s="190"/>
      <c r="D135" s="190"/>
      <c r="E135" s="190"/>
      <c r="F135" s="190"/>
      <c r="G135" s="190"/>
      <c r="H135" s="190"/>
      <c r="I135" s="190"/>
      <c r="J135" s="190"/>
      <c r="K135" s="190"/>
      <c r="L135" s="190"/>
      <c r="M135" s="190"/>
      <c r="N135" s="190"/>
      <c r="O135" s="190"/>
      <c r="P135" s="190"/>
      <c r="Q135" s="190"/>
      <c r="R135" s="190"/>
      <c r="S135" s="190"/>
      <c r="T135" s="190"/>
      <c r="U135" s="191"/>
      <c r="V135" s="191"/>
      <c r="W135" s="191"/>
      <c r="X135" s="191"/>
      <c r="Y135" s="191"/>
      <c r="Z135" s="191"/>
      <c r="AA135" s="4"/>
      <c r="AB135" s="4"/>
      <c r="AC135" s="4"/>
      <c r="AD135" s="84"/>
      <c r="AE135" s="424"/>
      <c r="AF135" s="4"/>
      <c r="AG135" s="4"/>
      <c r="AH135" s="4"/>
      <c r="AI135" s="4"/>
      <c r="AJ135" s="4"/>
      <c r="AK135" s="4"/>
      <c r="AL135" s="4"/>
      <c r="AM135" s="4"/>
      <c r="AN135" s="4"/>
      <c r="AO135" s="4"/>
      <c r="AP135" s="4"/>
      <c r="AQ135" s="4"/>
      <c r="AR135" s="4"/>
      <c r="AS135" s="4"/>
      <c r="AT135" s="4"/>
      <c r="AU135" s="4"/>
      <c r="AV135" s="4"/>
      <c r="AW135" s="4"/>
      <c r="AX135" s="4"/>
      <c r="AY135" s="4"/>
      <c r="AZ135" s="4"/>
      <c r="BA135" s="716">
        <v>123</v>
      </c>
      <c r="BB135" s="717">
        <f t="shared" si="45"/>
        <v>0</v>
      </c>
      <c r="BC135" s="520">
        <f t="shared" si="48"/>
        <v>0</v>
      </c>
      <c r="BD135" s="702">
        <f t="shared" si="46"/>
        <v>0</v>
      </c>
      <c r="BE135" s="702">
        <f t="shared" si="47"/>
        <v>0</v>
      </c>
    </row>
    <row r="136" spans="1:65" ht="13.5" customHeight="1">
      <c r="A136" s="1786" t="s">
        <v>319</v>
      </c>
      <c r="B136" s="1729" t="s">
        <v>108</v>
      </c>
      <c r="C136" s="1730"/>
      <c r="D136" s="1730"/>
      <c r="E136" s="1730"/>
      <c r="F136" s="1730"/>
      <c r="G136" s="1848"/>
      <c r="H136" s="1847" t="s">
        <v>109</v>
      </c>
      <c r="I136" s="1848"/>
      <c r="J136" s="1729" t="s">
        <v>110</v>
      </c>
      <c r="K136" s="1730"/>
      <c r="L136" s="1730"/>
      <c r="M136" s="1731"/>
      <c r="N136" s="1858" t="s">
        <v>319</v>
      </c>
      <c r="O136" s="1729" t="s">
        <v>108</v>
      </c>
      <c r="P136" s="1730"/>
      <c r="Q136" s="1730"/>
      <c r="R136" s="1730"/>
      <c r="S136" s="1730"/>
      <c r="T136" s="1848"/>
      <c r="U136" s="1847" t="s">
        <v>109</v>
      </c>
      <c r="V136" s="1848"/>
      <c r="W136" s="1729" t="s">
        <v>110</v>
      </c>
      <c r="X136" s="1730"/>
      <c r="Y136" s="1730"/>
      <c r="Z136" s="1731"/>
      <c r="AA136" s="4"/>
      <c r="AB136" s="4"/>
      <c r="AC136" s="4"/>
      <c r="AD136" s="84"/>
      <c r="AE136" s="424"/>
      <c r="AF136" s="4"/>
      <c r="AG136" s="4"/>
      <c r="AH136" s="4"/>
      <c r="AI136" s="4"/>
      <c r="AJ136" s="4"/>
      <c r="AK136" s="4"/>
      <c r="AL136" s="4"/>
      <c r="AM136" s="4"/>
      <c r="AN136" s="4"/>
      <c r="AO136" s="4"/>
      <c r="AP136" s="4"/>
      <c r="AQ136" s="4"/>
      <c r="AR136" s="4"/>
      <c r="AS136" s="4"/>
      <c r="AT136" s="4"/>
      <c r="AU136" s="4"/>
      <c r="AV136" s="4"/>
      <c r="AW136" s="4"/>
      <c r="AX136" s="4"/>
      <c r="AY136" s="4"/>
      <c r="AZ136" s="4"/>
      <c r="BA136" s="716">
        <v>124</v>
      </c>
      <c r="BB136" s="717">
        <f t="shared" si="45"/>
        <v>0</v>
      </c>
      <c r="BC136" s="520">
        <f t="shared" si="48"/>
        <v>0</v>
      </c>
      <c r="BD136" s="702">
        <f t="shared" si="46"/>
        <v>0</v>
      </c>
      <c r="BE136" s="702">
        <f t="shared" si="47"/>
        <v>0</v>
      </c>
    </row>
    <row r="137" spans="1:65">
      <c r="A137" s="1786"/>
      <c r="B137" s="1855"/>
      <c r="C137" s="1856"/>
      <c r="D137" s="1856"/>
      <c r="E137" s="1856"/>
      <c r="F137" s="1856"/>
      <c r="G137" s="1857"/>
      <c r="H137" s="1732"/>
      <c r="I137" s="1849"/>
      <c r="J137" s="1732"/>
      <c r="K137" s="1733"/>
      <c r="L137" s="1733"/>
      <c r="M137" s="1734"/>
      <c r="N137" s="1859"/>
      <c r="O137" s="1855"/>
      <c r="P137" s="1856"/>
      <c r="Q137" s="1856"/>
      <c r="R137" s="1856"/>
      <c r="S137" s="1856"/>
      <c r="T137" s="1857"/>
      <c r="U137" s="1732"/>
      <c r="V137" s="1849"/>
      <c r="W137" s="1732"/>
      <c r="X137" s="1733"/>
      <c r="Y137" s="1733"/>
      <c r="Z137" s="1734"/>
      <c r="AA137" s="4"/>
      <c r="AB137" s="4"/>
      <c r="AC137" s="4"/>
      <c r="AD137" s="84"/>
      <c r="AE137" s="424"/>
      <c r="AF137" s="4"/>
      <c r="AG137" s="4"/>
      <c r="AH137" s="4"/>
      <c r="AI137" s="4"/>
      <c r="AJ137" s="4"/>
      <c r="AK137" s="4"/>
      <c r="AL137" s="4"/>
      <c r="AM137" s="4"/>
      <c r="AN137" s="4"/>
      <c r="AO137" s="4"/>
      <c r="AP137" s="4"/>
      <c r="AQ137" s="4"/>
      <c r="AR137" s="4"/>
      <c r="AS137" s="4"/>
      <c r="AT137" s="4"/>
      <c r="AU137" s="4"/>
      <c r="AV137" s="4"/>
      <c r="AW137" s="4"/>
      <c r="AX137" s="4"/>
      <c r="AY137" s="4"/>
      <c r="AZ137" s="4"/>
      <c r="BA137" s="716">
        <v>125</v>
      </c>
      <c r="BB137" s="717">
        <f t="shared" si="45"/>
        <v>0</v>
      </c>
      <c r="BC137" s="520">
        <f t="shared" si="48"/>
        <v>0</v>
      </c>
      <c r="BD137" s="702">
        <f t="shared" si="46"/>
        <v>0</v>
      </c>
      <c r="BE137" s="702">
        <f t="shared" si="47"/>
        <v>0</v>
      </c>
    </row>
    <row r="138" spans="1:65" ht="26.1" customHeight="1">
      <c r="A138" s="1786"/>
      <c r="B138" s="1855"/>
      <c r="C138" s="1856"/>
      <c r="D138" s="1856"/>
      <c r="E138" s="1856"/>
      <c r="F138" s="1856"/>
      <c r="G138" s="1857"/>
      <c r="H138" s="1798" t="s">
        <v>40</v>
      </c>
      <c r="I138" s="1796" t="s">
        <v>39</v>
      </c>
      <c r="J138" s="1832" t="s">
        <v>375</v>
      </c>
      <c r="K138" s="1735" t="s">
        <v>374</v>
      </c>
      <c r="L138" s="1736"/>
      <c r="M138" s="1737"/>
      <c r="N138" s="1859"/>
      <c r="O138" s="1855"/>
      <c r="P138" s="1856"/>
      <c r="Q138" s="1856"/>
      <c r="R138" s="1856"/>
      <c r="S138" s="1856"/>
      <c r="T138" s="1857"/>
      <c r="U138" s="1798" t="s">
        <v>40</v>
      </c>
      <c r="V138" s="1796" t="s">
        <v>39</v>
      </c>
      <c r="W138" s="1832" t="s">
        <v>375</v>
      </c>
      <c r="X138" s="1735" t="s">
        <v>374</v>
      </c>
      <c r="Y138" s="1736"/>
      <c r="Z138" s="1737"/>
      <c r="AD138" s="84"/>
      <c r="AE138" s="84"/>
      <c r="BA138" s="716">
        <v>126</v>
      </c>
      <c r="BB138" s="717">
        <f t="shared" si="45"/>
        <v>0</v>
      </c>
      <c r="BC138" s="520">
        <f t="shared" si="48"/>
        <v>0</v>
      </c>
      <c r="BD138" s="702">
        <f t="shared" si="46"/>
        <v>0</v>
      </c>
      <c r="BE138" s="702">
        <f t="shared" si="47"/>
        <v>0</v>
      </c>
    </row>
    <row r="139" spans="1:65" ht="26.1" customHeight="1">
      <c r="A139" s="1786"/>
      <c r="B139" s="1855"/>
      <c r="C139" s="1856"/>
      <c r="D139" s="1856"/>
      <c r="E139" s="1856"/>
      <c r="F139" s="1856"/>
      <c r="G139" s="1857"/>
      <c r="H139" s="1798"/>
      <c r="I139" s="1796"/>
      <c r="J139" s="1833"/>
      <c r="K139" s="1735"/>
      <c r="L139" s="1736"/>
      <c r="M139" s="1737"/>
      <c r="N139" s="1859"/>
      <c r="O139" s="1855"/>
      <c r="P139" s="1856"/>
      <c r="Q139" s="1856"/>
      <c r="R139" s="1856"/>
      <c r="S139" s="1856"/>
      <c r="T139" s="1857"/>
      <c r="U139" s="1798"/>
      <c r="V139" s="1796"/>
      <c r="W139" s="1833"/>
      <c r="X139" s="1735"/>
      <c r="Y139" s="1736"/>
      <c r="Z139" s="1737"/>
      <c r="BA139" s="716">
        <v>127</v>
      </c>
      <c r="BB139" s="717">
        <f t="shared" si="45"/>
        <v>0</v>
      </c>
      <c r="BC139" s="520">
        <f t="shared" si="48"/>
        <v>0</v>
      </c>
      <c r="BD139" s="702">
        <f t="shared" si="46"/>
        <v>0</v>
      </c>
      <c r="BE139" s="702">
        <f t="shared" si="47"/>
        <v>0</v>
      </c>
    </row>
    <row r="140" spans="1:65" ht="26.1" customHeight="1">
      <c r="A140" s="1786"/>
      <c r="B140" s="1732"/>
      <c r="C140" s="1733"/>
      <c r="D140" s="1733"/>
      <c r="E140" s="1733"/>
      <c r="F140" s="1733"/>
      <c r="G140" s="1849"/>
      <c r="H140" s="1798"/>
      <c r="I140" s="1796"/>
      <c r="J140" s="1833"/>
      <c r="K140" s="1738"/>
      <c r="L140" s="1739"/>
      <c r="M140" s="1740"/>
      <c r="N140" s="1860"/>
      <c r="O140" s="1732"/>
      <c r="P140" s="1733"/>
      <c r="Q140" s="1733"/>
      <c r="R140" s="1733"/>
      <c r="S140" s="1733"/>
      <c r="T140" s="1849"/>
      <c r="U140" s="1798"/>
      <c r="V140" s="1796"/>
      <c r="W140" s="1833"/>
      <c r="X140" s="1738"/>
      <c r="Y140" s="1739"/>
      <c r="Z140" s="1740"/>
      <c r="BA140" s="716">
        <v>128</v>
      </c>
      <c r="BB140" s="717">
        <f t="shared" si="45"/>
        <v>0</v>
      </c>
      <c r="BC140" s="520">
        <f t="shared" si="48"/>
        <v>0</v>
      </c>
      <c r="BD140" s="702">
        <f t="shared" si="46"/>
        <v>0</v>
      </c>
      <c r="BE140" s="702">
        <f t="shared" si="47"/>
        <v>0</v>
      </c>
      <c r="BF140" s="695" t="s">
        <v>1207</v>
      </c>
      <c r="BG140" s="695" t="s">
        <v>1208</v>
      </c>
      <c r="BH140" s="695" t="s">
        <v>1209</v>
      </c>
      <c r="BI140" s="695" t="s">
        <v>1206</v>
      </c>
      <c r="BJ140" s="695" t="s">
        <v>1207</v>
      </c>
      <c r="BK140" s="695" t="s">
        <v>1208</v>
      </c>
      <c r="BL140" s="695" t="s">
        <v>1209</v>
      </c>
      <c r="BM140" s="695" t="s">
        <v>1206</v>
      </c>
    </row>
    <row r="141" spans="1:65" ht="24.95" customHeight="1">
      <c r="A141" s="192">
        <v>141</v>
      </c>
      <c r="B141" s="1824"/>
      <c r="C141" s="1806"/>
      <c r="D141" s="1806"/>
      <c r="E141" s="1806"/>
      <c r="F141" s="1806"/>
      <c r="G141" s="1807"/>
      <c r="H141" s="193"/>
      <c r="I141" s="194"/>
      <c r="J141" s="195"/>
      <c r="K141" s="1744"/>
      <c r="L141" s="1745"/>
      <c r="M141" s="1746"/>
      <c r="N141" s="197">
        <v>171</v>
      </c>
      <c r="O141" s="1824"/>
      <c r="P141" s="1806"/>
      <c r="Q141" s="1806"/>
      <c r="R141" s="1806"/>
      <c r="S141" s="1806"/>
      <c r="T141" s="1807"/>
      <c r="U141" s="193"/>
      <c r="V141" s="194"/>
      <c r="W141" s="195"/>
      <c r="X141" s="1744"/>
      <c r="Y141" s="1745"/>
      <c r="Z141" s="1746"/>
      <c r="BA141" s="716">
        <v>129</v>
      </c>
      <c r="BB141" s="717">
        <f t="shared" si="45"/>
        <v>0</v>
      </c>
      <c r="BC141" s="520">
        <f t="shared" si="48"/>
        <v>0</v>
      </c>
      <c r="BD141" s="702">
        <f t="shared" si="46"/>
        <v>0</v>
      </c>
      <c r="BE141" s="702">
        <f t="shared" si="47"/>
        <v>0</v>
      </c>
      <c r="BF141" s="695">
        <v>141</v>
      </c>
      <c r="BG141" s="520">
        <f>H141</f>
        <v>0</v>
      </c>
      <c r="BH141" s="520">
        <f>I141</f>
        <v>0</v>
      </c>
      <c r="BI141" s="520" t="b">
        <v>0</v>
      </c>
      <c r="BJ141" s="695">
        <v>171</v>
      </c>
      <c r="BM141" s="520" t="b">
        <v>0</v>
      </c>
    </row>
    <row r="142" spans="1:65" ht="24.95" customHeight="1">
      <c r="A142" s="192">
        <v>142</v>
      </c>
      <c r="B142" s="1824"/>
      <c r="C142" s="1806"/>
      <c r="D142" s="1806"/>
      <c r="E142" s="1806"/>
      <c r="F142" s="1806"/>
      <c r="G142" s="1807"/>
      <c r="H142" s="193"/>
      <c r="I142" s="194"/>
      <c r="J142" s="195"/>
      <c r="K142" s="1744"/>
      <c r="L142" s="1745"/>
      <c r="M142" s="1746"/>
      <c r="N142" s="197">
        <v>172</v>
      </c>
      <c r="O142" s="1824"/>
      <c r="P142" s="1806"/>
      <c r="Q142" s="1806"/>
      <c r="R142" s="1806"/>
      <c r="S142" s="1806"/>
      <c r="T142" s="1807"/>
      <c r="U142" s="193"/>
      <c r="V142" s="194"/>
      <c r="W142" s="195"/>
      <c r="X142" s="1744"/>
      <c r="Y142" s="1745"/>
      <c r="Z142" s="1746"/>
      <c r="BA142" s="716">
        <v>130</v>
      </c>
      <c r="BB142" s="717">
        <f t="shared" si="45"/>
        <v>0</v>
      </c>
      <c r="BC142" s="520">
        <f t="shared" si="48"/>
        <v>0</v>
      </c>
      <c r="BD142" s="702">
        <f t="shared" si="46"/>
        <v>0</v>
      </c>
      <c r="BE142" s="702">
        <f t="shared" si="47"/>
        <v>0</v>
      </c>
      <c r="BF142" s="695">
        <v>142</v>
      </c>
      <c r="BG142" s="520">
        <f t="shared" ref="BG142:BG170" si="49">H142</f>
        <v>0</v>
      </c>
      <c r="BH142" s="520">
        <f t="shared" ref="BH142:BH170" si="50">I142</f>
        <v>0</v>
      </c>
      <c r="BI142" s="520" t="b">
        <v>0</v>
      </c>
      <c r="BJ142" s="695">
        <v>172</v>
      </c>
      <c r="BM142" s="520" t="b">
        <v>0</v>
      </c>
    </row>
    <row r="143" spans="1:65" ht="24.95" customHeight="1">
      <c r="A143" s="192">
        <v>143</v>
      </c>
      <c r="B143" s="1824"/>
      <c r="C143" s="1806"/>
      <c r="D143" s="1806"/>
      <c r="E143" s="1806"/>
      <c r="F143" s="1806"/>
      <c r="G143" s="1807"/>
      <c r="H143" s="193"/>
      <c r="I143" s="194"/>
      <c r="J143" s="195"/>
      <c r="K143" s="1744"/>
      <c r="L143" s="1745"/>
      <c r="M143" s="1746"/>
      <c r="N143" s="197">
        <v>173</v>
      </c>
      <c r="O143" s="1824"/>
      <c r="P143" s="1806"/>
      <c r="Q143" s="1806"/>
      <c r="R143" s="1806"/>
      <c r="S143" s="1806"/>
      <c r="T143" s="1807"/>
      <c r="U143" s="193"/>
      <c r="V143" s="194"/>
      <c r="W143" s="195"/>
      <c r="X143" s="1744"/>
      <c r="Y143" s="1745"/>
      <c r="Z143" s="1746"/>
      <c r="BA143" s="716">
        <v>131</v>
      </c>
      <c r="BB143" s="717">
        <f t="shared" si="45"/>
        <v>0</v>
      </c>
      <c r="BC143" s="520">
        <f t="shared" si="48"/>
        <v>0</v>
      </c>
      <c r="BD143" s="702">
        <f t="shared" si="46"/>
        <v>0</v>
      </c>
      <c r="BE143" s="702">
        <f t="shared" si="47"/>
        <v>0</v>
      </c>
      <c r="BF143" s="695">
        <v>143</v>
      </c>
      <c r="BG143" s="520">
        <f t="shared" si="49"/>
        <v>0</v>
      </c>
      <c r="BH143" s="520">
        <f t="shared" si="50"/>
        <v>0</v>
      </c>
      <c r="BI143" s="520" t="b">
        <v>0</v>
      </c>
      <c r="BJ143" s="695">
        <v>173</v>
      </c>
      <c r="BM143" s="520" t="b">
        <v>0</v>
      </c>
    </row>
    <row r="144" spans="1:65" ht="24.95" customHeight="1">
      <c r="A144" s="192">
        <v>144</v>
      </c>
      <c r="B144" s="1824"/>
      <c r="C144" s="1806"/>
      <c r="D144" s="1806"/>
      <c r="E144" s="1806"/>
      <c r="F144" s="1806"/>
      <c r="G144" s="1807"/>
      <c r="H144" s="193"/>
      <c r="I144" s="194"/>
      <c r="J144" s="195"/>
      <c r="K144" s="1744"/>
      <c r="L144" s="1745"/>
      <c r="M144" s="1746"/>
      <c r="N144" s="197">
        <v>174</v>
      </c>
      <c r="O144" s="1824"/>
      <c r="P144" s="1806"/>
      <c r="Q144" s="1806"/>
      <c r="R144" s="1806"/>
      <c r="S144" s="1806"/>
      <c r="T144" s="1807"/>
      <c r="U144" s="193"/>
      <c r="V144" s="194"/>
      <c r="W144" s="195"/>
      <c r="X144" s="1744"/>
      <c r="Y144" s="1745"/>
      <c r="Z144" s="1746"/>
      <c r="BA144" s="716">
        <v>132</v>
      </c>
      <c r="BB144" s="717">
        <f t="shared" si="45"/>
        <v>0</v>
      </c>
      <c r="BC144" s="520">
        <f t="shared" si="48"/>
        <v>0</v>
      </c>
      <c r="BD144" s="702">
        <f t="shared" si="46"/>
        <v>0</v>
      </c>
      <c r="BE144" s="702">
        <f t="shared" si="47"/>
        <v>0</v>
      </c>
      <c r="BF144" s="695">
        <v>144</v>
      </c>
      <c r="BG144" s="520">
        <f t="shared" si="49"/>
        <v>0</v>
      </c>
      <c r="BH144" s="520">
        <f t="shared" si="50"/>
        <v>0</v>
      </c>
      <c r="BI144" s="520" t="b">
        <v>0</v>
      </c>
      <c r="BJ144" s="695">
        <v>174</v>
      </c>
      <c r="BM144" s="520" t="b">
        <v>0</v>
      </c>
    </row>
    <row r="145" spans="1:65" ht="24.95" customHeight="1">
      <c r="A145" s="192">
        <v>145</v>
      </c>
      <c r="B145" s="1824"/>
      <c r="C145" s="1806"/>
      <c r="D145" s="1806"/>
      <c r="E145" s="1806"/>
      <c r="F145" s="1806"/>
      <c r="G145" s="1807"/>
      <c r="H145" s="193"/>
      <c r="I145" s="194"/>
      <c r="J145" s="195"/>
      <c r="K145" s="1744"/>
      <c r="L145" s="1745"/>
      <c r="M145" s="1746"/>
      <c r="N145" s="197">
        <v>175</v>
      </c>
      <c r="O145" s="1824"/>
      <c r="P145" s="1806"/>
      <c r="Q145" s="1806"/>
      <c r="R145" s="1806"/>
      <c r="S145" s="1806"/>
      <c r="T145" s="1807"/>
      <c r="U145" s="193"/>
      <c r="V145" s="194"/>
      <c r="W145" s="195"/>
      <c r="X145" s="1744"/>
      <c r="Y145" s="1745"/>
      <c r="Z145" s="1746"/>
      <c r="BA145" s="716">
        <v>133</v>
      </c>
      <c r="BB145" s="717">
        <f t="shared" si="45"/>
        <v>0</v>
      </c>
      <c r="BC145" s="520">
        <f t="shared" si="48"/>
        <v>0</v>
      </c>
      <c r="BD145" s="702">
        <f t="shared" si="46"/>
        <v>0</v>
      </c>
      <c r="BE145" s="702">
        <f t="shared" si="47"/>
        <v>0</v>
      </c>
      <c r="BF145" s="695">
        <v>145</v>
      </c>
      <c r="BG145" s="520">
        <f t="shared" si="49"/>
        <v>0</v>
      </c>
      <c r="BH145" s="520">
        <f t="shared" si="50"/>
        <v>0</v>
      </c>
      <c r="BI145" s="520" t="b">
        <v>0</v>
      </c>
      <c r="BJ145" s="695">
        <v>175</v>
      </c>
      <c r="BM145" s="520" t="b">
        <v>0</v>
      </c>
    </row>
    <row r="146" spans="1:65" ht="24.95" customHeight="1">
      <c r="A146" s="192">
        <v>146</v>
      </c>
      <c r="B146" s="1824"/>
      <c r="C146" s="1806"/>
      <c r="D146" s="1806"/>
      <c r="E146" s="1806"/>
      <c r="F146" s="1806"/>
      <c r="G146" s="1807"/>
      <c r="H146" s="193"/>
      <c r="I146" s="194"/>
      <c r="J146" s="195"/>
      <c r="K146" s="1744"/>
      <c r="L146" s="1745"/>
      <c r="M146" s="1746"/>
      <c r="N146" s="197">
        <v>176</v>
      </c>
      <c r="O146" s="1824"/>
      <c r="P146" s="1806"/>
      <c r="Q146" s="1806"/>
      <c r="R146" s="1806"/>
      <c r="S146" s="1806"/>
      <c r="T146" s="1807"/>
      <c r="U146" s="193"/>
      <c r="V146" s="194"/>
      <c r="W146" s="195"/>
      <c r="X146" s="1744"/>
      <c r="Y146" s="1745"/>
      <c r="Z146" s="1746"/>
      <c r="BA146" s="716">
        <v>134</v>
      </c>
      <c r="BB146" s="717">
        <f t="shared" si="45"/>
        <v>0</v>
      </c>
      <c r="BC146" s="520">
        <f t="shared" si="48"/>
        <v>0</v>
      </c>
      <c r="BD146" s="702">
        <f t="shared" si="46"/>
        <v>0</v>
      </c>
      <c r="BE146" s="702">
        <f t="shared" si="47"/>
        <v>0</v>
      </c>
      <c r="BF146" s="695">
        <v>146</v>
      </c>
      <c r="BG146" s="520">
        <f t="shared" si="49"/>
        <v>0</v>
      </c>
      <c r="BH146" s="520">
        <f t="shared" si="50"/>
        <v>0</v>
      </c>
      <c r="BI146" s="520" t="b">
        <v>0</v>
      </c>
      <c r="BJ146" s="695">
        <v>176</v>
      </c>
      <c r="BM146" s="520" t="b">
        <v>0</v>
      </c>
    </row>
    <row r="147" spans="1:65" ht="24.95" customHeight="1">
      <c r="A147" s="192">
        <v>147</v>
      </c>
      <c r="B147" s="1824"/>
      <c r="C147" s="1806"/>
      <c r="D147" s="1806"/>
      <c r="E147" s="1806"/>
      <c r="F147" s="1806"/>
      <c r="G147" s="1807"/>
      <c r="H147" s="193"/>
      <c r="I147" s="194"/>
      <c r="J147" s="195"/>
      <c r="K147" s="1744"/>
      <c r="L147" s="1745"/>
      <c r="M147" s="1746"/>
      <c r="N147" s="197">
        <v>177</v>
      </c>
      <c r="O147" s="1824"/>
      <c r="P147" s="1806"/>
      <c r="Q147" s="1806"/>
      <c r="R147" s="1806"/>
      <c r="S147" s="1806"/>
      <c r="T147" s="1807"/>
      <c r="U147" s="193"/>
      <c r="V147" s="194"/>
      <c r="W147" s="195"/>
      <c r="X147" s="1744"/>
      <c r="Y147" s="1745"/>
      <c r="Z147" s="1746"/>
      <c r="BA147" s="716">
        <v>135</v>
      </c>
      <c r="BB147" s="717">
        <f t="shared" si="45"/>
        <v>0</v>
      </c>
      <c r="BC147" s="520">
        <f t="shared" si="48"/>
        <v>0</v>
      </c>
      <c r="BD147" s="702">
        <f t="shared" si="46"/>
        <v>0</v>
      </c>
      <c r="BE147" s="702">
        <f t="shared" si="47"/>
        <v>0</v>
      </c>
      <c r="BF147" s="695">
        <v>147</v>
      </c>
      <c r="BG147" s="520">
        <f t="shared" si="49"/>
        <v>0</v>
      </c>
      <c r="BH147" s="520">
        <f t="shared" si="50"/>
        <v>0</v>
      </c>
      <c r="BI147" s="520" t="b">
        <v>0</v>
      </c>
      <c r="BJ147" s="695">
        <v>177</v>
      </c>
      <c r="BM147" s="520" t="b">
        <v>0</v>
      </c>
    </row>
    <row r="148" spans="1:65" ht="24.95" customHeight="1">
      <c r="A148" s="192">
        <v>148</v>
      </c>
      <c r="B148" s="1824"/>
      <c r="C148" s="1806"/>
      <c r="D148" s="1806"/>
      <c r="E148" s="1806"/>
      <c r="F148" s="1806"/>
      <c r="G148" s="1807"/>
      <c r="H148" s="193"/>
      <c r="I148" s="194"/>
      <c r="J148" s="195"/>
      <c r="K148" s="1744"/>
      <c r="L148" s="1745"/>
      <c r="M148" s="1746"/>
      <c r="N148" s="197">
        <v>178</v>
      </c>
      <c r="O148" s="1824"/>
      <c r="P148" s="1806"/>
      <c r="Q148" s="1806"/>
      <c r="R148" s="1806"/>
      <c r="S148" s="1806"/>
      <c r="T148" s="1807"/>
      <c r="U148" s="193"/>
      <c r="V148" s="194"/>
      <c r="W148" s="195"/>
      <c r="X148" s="1744"/>
      <c r="Y148" s="1745"/>
      <c r="Z148" s="1746"/>
      <c r="BA148" s="716">
        <v>136</v>
      </c>
      <c r="BB148" s="717">
        <f t="shared" si="45"/>
        <v>0</v>
      </c>
      <c r="BC148" s="520">
        <f t="shared" si="48"/>
        <v>0</v>
      </c>
      <c r="BD148" s="702">
        <f t="shared" si="46"/>
        <v>0</v>
      </c>
      <c r="BE148" s="702">
        <f t="shared" si="47"/>
        <v>0</v>
      </c>
      <c r="BF148" s="695">
        <v>148</v>
      </c>
      <c r="BG148" s="520">
        <f t="shared" si="49"/>
        <v>0</v>
      </c>
      <c r="BH148" s="520">
        <f t="shared" si="50"/>
        <v>0</v>
      </c>
      <c r="BI148" s="520" t="b">
        <v>0</v>
      </c>
      <c r="BJ148" s="695">
        <v>178</v>
      </c>
      <c r="BM148" s="520" t="b">
        <v>0</v>
      </c>
    </row>
    <row r="149" spans="1:65" ht="24.95" customHeight="1">
      <c r="A149" s="192">
        <v>149</v>
      </c>
      <c r="B149" s="1824"/>
      <c r="C149" s="1806"/>
      <c r="D149" s="1806"/>
      <c r="E149" s="1806"/>
      <c r="F149" s="1806"/>
      <c r="G149" s="1807"/>
      <c r="H149" s="193"/>
      <c r="I149" s="194"/>
      <c r="J149" s="195"/>
      <c r="K149" s="1744"/>
      <c r="L149" s="1745"/>
      <c r="M149" s="1746"/>
      <c r="N149" s="197">
        <v>179</v>
      </c>
      <c r="O149" s="1824"/>
      <c r="P149" s="1806"/>
      <c r="Q149" s="1806"/>
      <c r="R149" s="1806"/>
      <c r="S149" s="1806"/>
      <c r="T149" s="1807"/>
      <c r="U149" s="193"/>
      <c r="V149" s="194"/>
      <c r="W149" s="195"/>
      <c r="X149" s="1744"/>
      <c r="Y149" s="1745"/>
      <c r="Z149" s="1746"/>
      <c r="BA149" s="716">
        <v>137</v>
      </c>
      <c r="BB149" s="717">
        <f t="shared" si="45"/>
        <v>0</v>
      </c>
      <c r="BC149" s="520">
        <f t="shared" si="48"/>
        <v>0</v>
      </c>
      <c r="BD149" s="702">
        <f t="shared" si="46"/>
        <v>0</v>
      </c>
      <c r="BE149" s="702">
        <f t="shared" si="47"/>
        <v>0</v>
      </c>
      <c r="BF149" s="695">
        <v>149</v>
      </c>
      <c r="BG149" s="520">
        <f t="shared" si="49"/>
        <v>0</v>
      </c>
      <c r="BH149" s="520">
        <f t="shared" si="50"/>
        <v>0</v>
      </c>
      <c r="BI149" s="520" t="b">
        <v>0</v>
      </c>
      <c r="BJ149" s="695">
        <v>179</v>
      </c>
      <c r="BM149" s="520" t="b">
        <v>0</v>
      </c>
    </row>
    <row r="150" spans="1:65" ht="24.95" customHeight="1">
      <c r="A150" s="192">
        <v>150</v>
      </c>
      <c r="B150" s="1824"/>
      <c r="C150" s="1806"/>
      <c r="D150" s="1806"/>
      <c r="E150" s="1806"/>
      <c r="F150" s="1806"/>
      <c r="G150" s="1807"/>
      <c r="H150" s="193"/>
      <c r="I150" s="194"/>
      <c r="J150" s="195"/>
      <c r="K150" s="1744"/>
      <c r="L150" s="1745"/>
      <c r="M150" s="1746"/>
      <c r="N150" s="197">
        <v>180</v>
      </c>
      <c r="O150" s="1824"/>
      <c r="P150" s="1806"/>
      <c r="Q150" s="1806"/>
      <c r="R150" s="1806"/>
      <c r="S150" s="1806"/>
      <c r="T150" s="1807"/>
      <c r="U150" s="193"/>
      <c r="V150" s="194"/>
      <c r="W150" s="195"/>
      <c r="X150" s="1744"/>
      <c r="Y150" s="1745"/>
      <c r="Z150" s="1746"/>
      <c r="BA150" s="716">
        <v>138</v>
      </c>
      <c r="BB150" s="717">
        <f t="shared" si="45"/>
        <v>0</v>
      </c>
      <c r="BC150" s="520">
        <f t="shared" si="48"/>
        <v>0</v>
      </c>
      <c r="BD150" s="702">
        <f t="shared" si="46"/>
        <v>0</v>
      </c>
      <c r="BE150" s="702">
        <f t="shared" si="47"/>
        <v>0</v>
      </c>
      <c r="BF150" s="695">
        <v>150</v>
      </c>
      <c r="BG150" s="520">
        <f t="shared" si="49"/>
        <v>0</v>
      </c>
      <c r="BH150" s="520">
        <f t="shared" si="50"/>
        <v>0</v>
      </c>
      <c r="BI150" s="520" t="b">
        <v>0</v>
      </c>
      <c r="BJ150" s="695">
        <v>180</v>
      </c>
      <c r="BM150" s="520" t="b">
        <v>0</v>
      </c>
    </row>
    <row r="151" spans="1:65" ht="24.95" customHeight="1">
      <c r="A151" s="192">
        <v>151</v>
      </c>
      <c r="B151" s="1824"/>
      <c r="C151" s="1806"/>
      <c r="D151" s="1806"/>
      <c r="E151" s="1806"/>
      <c r="F151" s="1806"/>
      <c r="G151" s="1807"/>
      <c r="H151" s="193"/>
      <c r="I151" s="194"/>
      <c r="J151" s="195"/>
      <c r="K151" s="1744"/>
      <c r="L151" s="1745"/>
      <c r="M151" s="1746"/>
      <c r="N151" s="197">
        <v>181</v>
      </c>
      <c r="O151" s="1824"/>
      <c r="P151" s="1806"/>
      <c r="Q151" s="1806"/>
      <c r="R151" s="1806"/>
      <c r="S151" s="1806"/>
      <c r="T151" s="1807"/>
      <c r="U151" s="193"/>
      <c r="V151" s="194"/>
      <c r="W151" s="195"/>
      <c r="X151" s="1744"/>
      <c r="Y151" s="1745"/>
      <c r="Z151" s="1746"/>
      <c r="BA151" s="716">
        <v>139</v>
      </c>
      <c r="BB151" s="717">
        <f t="shared" si="45"/>
        <v>0</v>
      </c>
      <c r="BC151" s="520">
        <f t="shared" si="48"/>
        <v>0</v>
      </c>
      <c r="BD151" s="702">
        <f t="shared" si="46"/>
        <v>0</v>
      </c>
      <c r="BE151" s="702">
        <f t="shared" si="47"/>
        <v>0</v>
      </c>
      <c r="BF151" s="695">
        <v>151</v>
      </c>
      <c r="BG151" s="520">
        <f t="shared" si="49"/>
        <v>0</v>
      </c>
      <c r="BH151" s="520">
        <f t="shared" si="50"/>
        <v>0</v>
      </c>
      <c r="BI151" s="520" t="b">
        <v>0</v>
      </c>
      <c r="BJ151" s="695">
        <v>181</v>
      </c>
      <c r="BM151" s="520" t="b">
        <v>0</v>
      </c>
    </row>
    <row r="152" spans="1:65" ht="24.95" customHeight="1">
      <c r="A152" s="192">
        <v>152</v>
      </c>
      <c r="B152" s="1824"/>
      <c r="C152" s="1806"/>
      <c r="D152" s="1806"/>
      <c r="E152" s="1806"/>
      <c r="F152" s="1806"/>
      <c r="G152" s="1807"/>
      <c r="H152" s="193"/>
      <c r="I152" s="194"/>
      <c r="J152" s="195"/>
      <c r="K152" s="1744"/>
      <c r="L152" s="1745"/>
      <c r="M152" s="1746"/>
      <c r="N152" s="197">
        <v>182</v>
      </c>
      <c r="O152" s="1824"/>
      <c r="P152" s="1806"/>
      <c r="Q152" s="1806"/>
      <c r="R152" s="1806"/>
      <c r="S152" s="1806"/>
      <c r="T152" s="1807"/>
      <c r="U152" s="193"/>
      <c r="V152" s="194"/>
      <c r="W152" s="195"/>
      <c r="X152" s="1744"/>
      <c r="Y152" s="1745"/>
      <c r="Z152" s="1746"/>
      <c r="BA152" s="716">
        <v>140</v>
      </c>
      <c r="BB152" s="717">
        <f t="shared" si="45"/>
        <v>0</v>
      </c>
      <c r="BC152" s="520">
        <f t="shared" si="48"/>
        <v>0</v>
      </c>
      <c r="BD152" s="702">
        <f t="shared" si="46"/>
        <v>0</v>
      </c>
      <c r="BE152" s="702">
        <f t="shared" si="47"/>
        <v>0</v>
      </c>
      <c r="BF152" s="695">
        <v>152</v>
      </c>
      <c r="BG152" s="520">
        <f t="shared" si="49"/>
        <v>0</v>
      </c>
      <c r="BH152" s="520">
        <f t="shared" si="50"/>
        <v>0</v>
      </c>
      <c r="BI152" s="520" t="b">
        <v>0</v>
      </c>
      <c r="BJ152" s="695">
        <v>182</v>
      </c>
      <c r="BM152" s="520" t="b">
        <v>0</v>
      </c>
    </row>
    <row r="153" spans="1:65" ht="24.95" customHeight="1">
      <c r="A153" s="192">
        <v>153</v>
      </c>
      <c r="B153" s="1824"/>
      <c r="C153" s="1806"/>
      <c r="D153" s="1806"/>
      <c r="E153" s="1806"/>
      <c r="F153" s="1806"/>
      <c r="G153" s="1807"/>
      <c r="H153" s="193"/>
      <c r="I153" s="194"/>
      <c r="J153" s="195"/>
      <c r="K153" s="1744"/>
      <c r="L153" s="1745"/>
      <c r="M153" s="1746"/>
      <c r="N153" s="197">
        <v>183</v>
      </c>
      <c r="O153" s="1824"/>
      <c r="P153" s="1806"/>
      <c r="Q153" s="1806"/>
      <c r="R153" s="1806"/>
      <c r="S153" s="1806"/>
      <c r="T153" s="1807"/>
      <c r="U153" s="193"/>
      <c r="V153" s="194"/>
      <c r="W153" s="195"/>
      <c r="X153" s="1744"/>
      <c r="Y153" s="1745"/>
      <c r="Z153" s="1746"/>
      <c r="BA153" s="716">
        <v>141</v>
      </c>
      <c r="BB153" s="717">
        <f>COUNTA(H141:I141)</f>
        <v>0</v>
      </c>
      <c r="BC153" s="520">
        <f>COUNTA(K141)</f>
        <v>0</v>
      </c>
      <c r="BD153" s="702">
        <f t="shared" ref="BD153:BE182" si="51">BB153-COUNTA(H141)</f>
        <v>0</v>
      </c>
      <c r="BE153" s="702">
        <f t="shared" si="51"/>
        <v>0</v>
      </c>
      <c r="BF153" s="695">
        <v>153</v>
      </c>
      <c r="BG153" s="520">
        <f t="shared" si="49"/>
        <v>0</v>
      </c>
      <c r="BH153" s="520">
        <f t="shared" si="50"/>
        <v>0</v>
      </c>
      <c r="BI153" s="520" t="b">
        <v>0</v>
      </c>
      <c r="BJ153" s="695">
        <v>183</v>
      </c>
      <c r="BM153" s="520" t="b">
        <v>0</v>
      </c>
    </row>
    <row r="154" spans="1:65" ht="24.95" customHeight="1">
      <c r="A154" s="192">
        <v>154</v>
      </c>
      <c r="B154" s="1824"/>
      <c r="C154" s="1806"/>
      <c r="D154" s="1806"/>
      <c r="E154" s="1806"/>
      <c r="F154" s="1806"/>
      <c r="G154" s="1807"/>
      <c r="H154" s="193"/>
      <c r="I154" s="194"/>
      <c r="J154" s="195"/>
      <c r="K154" s="1744"/>
      <c r="L154" s="1745"/>
      <c r="M154" s="1746"/>
      <c r="N154" s="197">
        <v>184</v>
      </c>
      <c r="O154" s="1824"/>
      <c r="P154" s="1806"/>
      <c r="Q154" s="1806"/>
      <c r="R154" s="1806"/>
      <c r="S154" s="1806"/>
      <c r="T154" s="1807"/>
      <c r="U154" s="193"/>
      <c r="V154" s="194"/>
      <c r="W154" s="195"/>
      <c r="X154" s="1744"/>
      <c r="Y154" s="1745"/>
      <c r="Z154" s="1746"/>
      <c r="BA154" s="716">
        <v>142</v>
      </c>
      <c r="BB154" s="717">
        <f t="shared" ref="BB154:BB182" si="52">COUNTA(H142:I142)</f>
        <v>0</v>
      </c>
      <c r="BC154" s="520">
        <f t="shared" ref="BC154:BC182" si="53">COUNTA(K142)</f>
        <v>0</v>
      </c>
      <c r="BD154" s="702">
        <f t="shared" si="51"/>
        <v>0</v>
      </c>
      <c r="BE154" s="702">
        <f t="shared" si="51"/>
        <v>0</v>
      </c>
      <c r="BF154" s="695">
        <v>154</v>
      </c>
      <c r="BG154" s="520">
        <f t="shared" si="49"/>
        <v>0</v>
      </c>
      <c r="BH154" s="520">
        <f t="shared" si="50"/>
        <v>0</v>
      </c>
      <c r="BI154" s="520" t="b">
        <v>0</v>
      </c>
      <c r="BJ154" s="695">
        <v>184</v>
      </c>
      <c r="BM154" s="520" t="b">
        <v>0</v>
      </c>
    </row>
    <row r="155" spans="1:65" ht="24.95" customHeight="1">
      <c r="A155" s="192">
        <v>155</v>
      </c>
      <c r="B155" s="1824"/>
      <c r="C155" s="1806"/>
      <c r="D155" s="1806"/>
      <c r="E155" s="1806"/>
      <c r="F155" s="1806"/>
      <c r="G155" s="1807"/>
      <c r="H155" s="193"/>
      <c r="I155" s="194"/>
      <c r="J155" s="195"/>
      <c r="K155" s="1744"/>
      <c r="L155" s="1745"/>
      <c r="M155" s="1746"/>
      <c r="N155" s="197">
        <v>185</v>
      </c>
      <c r="O155" s="1824"/>
      <c r="P155" s="1806"/>
      <c r="Q155" s="1806"/>
      <c r="R155" s="1806"/>
      <c r="S155" s="1806"/>
      <c r="T155" s="1807"/>
      <c r="U155" s="193"/>
      <c r="V155" s="194"/>
      <c r="W155" s="195"/>
      <c r="X155" s="1744"/>
      <c r="Y155" s="1745"/>
      <c r="Z155" s="1746"/>
      <c r="BA155" s="716">
        <v>143</v>
      </c>
      <c r="BB155" s="717">
        <f t="shared" si="52"/>
        <v>0</v>
      </c>
      <c r="BC155" s="520">
        <f t="shared" si="53"/>
        <v>0</v>
      </c>
      <c r="BD155" s="702">
        <f t="shared" si="51"/>
        <v>0</v>
      </c>
      <c r="BE155" s="702">
        <f t="shared" si="51"/>
        <v>0</v>
      </c>
      <c r="BF155" s="695">
        <v>155</v>
      </c>
      <c r="BG155" s="520">
        <f t="shared" si="49"/>
        <v>0</v>
      </c>
      <c r="BH155" s="520">
        <f t="shared" si="50"/>
        <v>0</v>
      </c>
      <c r="BI155" s="520" t="b">
        <v>0</v>
      </c>
      <c r="BJ155" s="695">
        <v>185</v>
      </c>
      <c r="BM155" s="520" t="b">
        <v>0</v>
      </c>
    </row>
    <row r="156" spans="1:65" ht="24.95" customHeight="1">
      <c r="A156" s="192">
        <v>156</v>
      </c>
      <c r="B156" s="1824"/>
      <c r="C156" s="1806"/>
      <c r="D156" s="1806"/>
      <c r="E156" s="1806"/>
      <c r="F156" s="1806"/>
      <c r="G156" s="1807"/>
      <c r="H156" s="193"/>
      <c r="I156" s="194"/>
      <c r="J156" s="195"/>
      <c r="K156" s="1744"/>
      <c r="L156" s="1745"/>
      <c r="M156" s="1746"/>
      <c r="N156" s="197">
        <v>186</v>
      </c>
      <c r="O156" s="1824"/>
      <c r="P156" s="1806"/>
      <c r="Q156" s="1806"/>
      <c r="R156" s="1806"/>
      <c r="S156" s="1806"/>
      <c r="T156" s="1807"/>
      <c r="U156" s="193"/>
      <c r="V156" s="194"/>
      <c r="W156" s="195"/>
      <c r="X156" s="1744"/>
      <c r="Y156" s="1745"/>
      <c r="Z156" s="1746"/>
      <c r="BA156" s="716">
        <v>144</v>
      </c>
      <c r="BB156" s="717">
        <f t="shared" si="52"/>
        <v>0</v>
      </c>
      <c r="BC156" s="520">
        <f t="shared" si="53"/>
        <v>0</v>
      </c>
      <c r="BD156" s="702">
        <f t="shared" si="51"/>
        <v>0</v>
      </c>
      <c r="BE156" s="702">
        <f t="shared" si="51"/>
        <v>0</v>
      </c>
      <c r="BF156" s="695">
        <v>156</v>
      </c>
      <c r="BG156" s="520">
        <f t="shared" si="49"/>
        <v>0</v>
      </c>
      <c r="BH156" s="520">
        <f t="shared" si="50"/>
        <v>0</v>
      </c>
      <c r="BI156" s="520" t="b">
        <v>0</v>
      </c>
      <c r="BJ156" s="695">
        <v>186</v>
      </c>
      <c r="BM156" s="520" t="b">
        <v>0</v>
      </c>
    </row>
    <row r="157" spans="1:65" ht="24.95" customHeight="1">
      <c r="A157" s="192">
        <v>157</v>
      </c>
      <c r="B157" s="1824"/>
      <c r="C157" s="1806"/>
      <c r="D157" s="1806"/>
      <c r="E157" s="1806"/>
      <c r="F157" s="1806"/>
      <c r="G157" s="1807"/>
      <c r="H157" s="193"/>
      <c r="I157" s="194"/>
      <c r="J157" s="195"/>
      <c r="K157" s="1744"/>
      <c r="L157" s="1745"/>
      <c r="M157" s="1746"/>
      <c r="N157" s="197">
        <v>187</v>
      </c>
      <c r="O157" s="1824"/>
      <c r="P157" s="1806"/>
      <c r="Q157" s="1806"/>
      <c r="R157" s="1806"/>
      <c r="S157" s="1806"/>
      <c r="T157" s="1807"/>
      <c r="U157" s="193"/>
      <c r="V157" s="194"/>
      <c r="W157" s="195"/>
      <c r="X157" s="1744"/>
      <c r="Y157" s="1745"/>
      <c r="Z157" s="1746"/>
      <c r="BA157" s="716">
        <v>145</v>
      </c>
      <c r="BB157" s="717">
        <f t="shared" si="52"/>
        <v>0</v>
      </c>
      <c r="BC157" s="520">
        <f t="shared" si="53"/>
        <v>0</v>
      </c>
      <c r="BD157" s="702">
        <f t="shared" si="51"/>
        <v>0</v>
      </c>
      <c r="BE157" s="702">
        <f t="shared" si="51"/>
        <v>0</v>
      </c>
      <c r="BF157" s="695">
        <v>157</v>
      </c>
      <c r="BG157" s="520">
        <f t="shared" si="49"/>
        <v>0</v>
      </c>
      <c r="BH157" s="520">
        <f t="shared" si="50"/>
        <v>0</v>
      </c>
      <c r="BI157" s="520" t="b">
        <v>0</v>
      </c>
      <c r="BJ157" s="695">
        <v>187</v>
      </c>
      <c r="BM157" s="520" t="b">
        <v>0</v>
      </c>
    </row>
    <row r="158" spans="1:65" ht="24.95" customHeight="1">
      <c r="A158" s="192">
        <v>158</v>
      </c>
      <c r="B158" s="1824"/>
      <c r="C158" s="1806"/>
      <c r="D158" s="1806"/>
      <c r="E158" s="1806"/>
      <c r="F158" s="1806"/>
      <c r="G158" s="1807"/>
      <c r="H158" s="193"/>
      <c r="I158" s="194"/>
      <c r="J158" s="195"/>
      <c r="K158" s="1744"/>
      <c r="L158" s="1745"/>
      <c r="M158" s="1746"/>
      <c r="N158" s="197">
        <v>188</v>
      </c>
      <c r="O158" s="1824"/>
      <c r="P158" s="1806"/>
      <c r="Q158" s="1806"/>
      <c r="R158" s="1806"/>
      <c r="S158" s="1806"/>
      <c r="T158" s="1807"/>
      <c r="U158" s="193"/>
      <c r="V158" s="194"/>
      <c r="W158" s="195"/>
      <c r="X158" s="1744"/>
      <c r="Y158" s="1745"/>
      <c r="Z158" s="1746"/>
      <c r="BA158" s="716">
        <v>146</v>
      </c>
      <c r="BB158" s="717">
        <f t="shared" si="52"/>
        <v>0</v>
      </c>
      <c r="BC158" s="520">
        <f t="shared" si="53"/>
        <v>0</v>
      </c>
      <c r="BD158" s="702">
        <f t="shared" si="51"/>
        <v>0</v>
      </c>
      <c r="BE158" s="702">
        <f t="shared" si="51"/>
        <v>0</v>
      </c>
      <c r="BF158" s="695">
        <v>158</v>
      </c>
      <c r="BG158" s="520">
        <f t="shared" si="49"/>
        <v>0</v>
      </c>
      <c r="BH158" s="520">
        <f t="shared" si="50"/>
        <v>0</v>
      </c>
      <c r="BI158" s="520" t="b">
        <v>0</v>
      </c>
      <c r="BJ158" s="695">
        <v>188</v>
      </c>
      <c r="BM158" s="520" t="b">
        <v>0</v>
      </c>
    </row>
    <row r="159" spans="1:65" ht="24.95" customHeight="1">
      <c r="A159" s="192">
        <v>159</v>
      </c>
      <c r="B159" s="1824"/>
      <c r="C159" s="1806"/>
      <c r="D159" s="1806"/>
      <c r="E159" s="1806"/>
      <c r="F159" s="1806"/>
      <c r="G159" s="1807"/>
      <c r="H159" s="193"/>
      <c r="I159" s="194"/>
      <c r="J159" s="195"/>
      <c r="K159" s="1744"/>
      <c r="L159" s="1745"/>
      <c r="M159" s="1746"/>
      <c r="N159" s="197">
        <v>189</v>
      </c>
      <c r="O159" s="1824"/>
      <c r="P159" s="1806"/>
      <c r="Q159" s="1806"/>
      <c r="R159" s="1806"/>
      <c r="S159" s="1806"/>
      <c r="T159" s="1807"/>
      <c r="U159" s="193"/>
      <c r="V159" s="194"/>
      <c r="W159" s="195"/>
      <c r="X159" s="1744"/>
      <c r="Y159" s="1745"/>
      <c r="Z159" s="1746"/>
      <c r="BA159" s="716">
        <v>147</v>
      </c>
      <c r="BB159" s="717">
        <f t="shared" si="52"/>
        <v>0</v>
      </c>
      <c r="BC159" s="520">
        <f t="shared" si="53"/>
        <v>0</v>
      </c>
      <c r="BD159" s="702">
        <f t="shared" si="51"/>
        <v>0</v>
      </c>
      <c r="BE159" s="702">
        <f t="shared" si="51"/>
        <v>0</v>
      </c>
      <c r="BF159" s="695">
        <v>159</v>
      </c>
      <c r="BG159" s="520">
        <f t="shared" si="49"/>
        <v>0</v>
      </c>
      <c r="BH159" s="520">
        <f t="shared" si="50"/>
        <v>0</v>
      </c>
      <c r="BI159" s="520" t="b">
        <v>0</v>
      </c>
      <c r="BJ159" s="695">
        <v>189</v>
      </c>
      <c r="BM159" s="520" t="b">
        <v>0</v>
      </c>
    </row>
    <row r="160" spans="1:65" ht="24.95" customHeight="1">
      <c r="A160" s="192">
        <v>160</v>
      </c>
      <c r="B160" s="1864"/>
      <c r="C160" s="1864"/>
      <c r="D160" s="1864"/>
      <c r="E160" s="1864"/>
      <c r="F160" s="1864"/>
      <c r="G160" s="1864"/>
      <c r="H160" s="193"/>
      <c r="I160" s="194"/>
      <c r="J160" s="195"/>
      <c r="K160" s="1744"/>
      <c r="L160" s="1745"/>
      <c r="M160" s="1746"/>
      <c r="N160" s="197">
        <v>190</v>
      </c>
      <c r="O160" s="1854"/>
      <c r="P160" s="1822"/>
      <c r="Q160" s="1822"/>
      <c r="R160" s="1822"/>
      <c r="S160" s="1822"/>
      <c r="T160" s="1823"/>
      <c r="U160" s="193"/>
      <c r="V160" s="194"/>
      <c r="W160" s="195"/>
      <c r="X160" s="1744"/>
      <c r="Y160" s="1745"/>
      <c r="Z160" s="1746"/>
      <c r="BA160" s="716">
        <v>148</v>
      </c>
      <c r="BB160" s="717">
        <f t="shared" si="52"/>
        <v>0</v>
      </c>
      <c r="BC160" s="520">
        <f t="shared" si="53"/>
        <v>0</v>
      </c>
      <c r="BD160" s="702">
        <f t="shared" si="51"/>
        <v>0</v>
      </c>
      <c r="BE160" s="702">
        <f t="shared" si="51"/>
        <v>0</v>
      </c>
      <c r="BF160" s="695">
        <v>160</v>
      </c>
      <c r="BG160" s="520">
        <f t="shared" si="49"/>
        <v>0</v>
      </c>
      <c r="BH160" s="520">
        <f t="shared" si="50"/>
        <v>0</v>
      </c>
      <c r="BI160" s="520" t="b">
        <v>0</v>
      </c>
      <c r="BJ160" s="695">
        <v>190</v>
      </c>
      <c r="BM160" s="520" t="b">
        <v>0</v>
      </c>
    </row>
    <row r="161" spans="1:65" ht="24.95" customHeight="1">
      <c r="A161" s="192">
        <v>161</v>
      </c>
      <c r="B161" s="1864"/>
      <c r="C161" s="1864"/>
      <c r="D161" s="1864"/>
      <c r="E161" s="1864"/>
      <c r="F161" s="1864"/>
      <c r="G161" s="1864"/>
      <c r="H161" s="193"/>
      <c r="I161" s="194"/>
      <c r="J161" s="195"/>
      <c r="K161" s="1744"/>
      <c r="L161" s="1745"/>
      <c r="M161" s="1746"/>
      <c r="N161" s="197">
        <v>191</v>
      </c>
      <c r="O161" s="1824"/>
      <c r="P161" s="1806"/>
      <c r="Q161" s="1806"/>
      <c r="R161" s="1806"/>
      <c r="S161" s="1806"/>
      <c r="T161" s="1807"/>
      <c r="U161" s="193"/>
      <c r="V161" s="194"/>
      <c r="W161" s="195"/>
      <c r="X161" s="1744"/>
      <c r="Y161" s="1745"/>
      <c r="Z161" s="1746"/>
      <c r="BA161" s="716">
        <v>149</v>
      </c>
      <c r="BB161" s="717">
        <f t="shared" si="52"/>
        <v>0</v>
      </c>
      <c r="BC161" s="520">
        <f t="shared" si="53"/>
        <v>0</v>
      </c>
      <c r="BD161" s="702">
        <f t="shared" si="51"/>
        <v>0</v>
      </c>
      <c r="BE161" s="702">
        <f t="shared" si="51"/>
        <v>0</v>
      </c>
      <c r="BF161" s="695">
        <v>161</v>
      </c>
      <c r="BG161" s="520">
        <f t="shared" si="49"/>
        <v>0</v>
      </c>
      <c r="BH161" s="520">
        <f t="shared" si="50"/>
        <v>0</v>
      </c>
      <c r="BI161" s="520" t="b">
        <v>0</v>
      </c>
      <c r="BJ161" s="695">
        <v>191</v>
      </c>
      <c r="BM161" s="520" t="b">
        <v>0</v>
      </c>
    </row>
    <row r="162" spans="1:65" ht="24.95" customHeight="1">
      <c r="A162" s="192">
        <v>162</v>
      </c>
      <c r="B162" s="1864"/>
      <c r="C162" s="1864"/>
      <c r="D162" s="1864"/>
      <c r="E162" s="1864"/>
      <c r="F162" s="1864"/>
      <c r="G162" s="1864"/>
      <c r="H162" s="193"/>
      <c r="I162" s="194"/>
      <c r="J162" s="195"/>
      <c r="K162" s="1744"/>
      <c r="L162" s="1745"/>
      <c r="M162" s="1746"/>
      <c r="N162" s="197">
        <v>192</v>
      </c>
      <c r="O162" s="1824"/>
      <c r="P162" s="1806"/>
      <c r="Q162" s="1806"/>
      <c r="R162" s="1806"/>
      <c r="S162" s="1806"/>
      <c r="T162" s="1807"/>
      <c r="U162" s="193"/>
      <c r="V162" s="194"/>
      <c r="W162" s="195"/>
      <c r="X162" s="1744"/>
      <c r="Y162" s="1745"/>
      <c r="Z162" s="1746"/>
      <c r="BA162" s="716">
        <v>150</v>
      </c>
      <c r="BB162" s="717">
        <f t="shared" si="52"/>
        <v>0</v>
      </c>
      <c r="BC162" s="520">
        <f t="shared" si="53"/>
        <v>0</v>
      </c>
      <c r="BD162" s="702">
        <f t="shared" si="51"/>
        <v>0</v>
      </c>
      <c r="BE162" s="702">
        <f t="shared" si="51"/>
        <v>0</v>
      </c>
      <c r="BF162" s="695">
        <v>162</v>
      </c>
      <c r="BG162" s="520">
        <f t="shared" si="49"/>
        <v>0</v>
      </c>
      <c r="BH162" s="520">
        <f t="shared" si="50"/>
        <v>0</v>
      </c>
      <c r="BI162" s="520" t="b">
        <v>0</v>
      </c>
      <c r="BJ162" s="695">
        <v>192</v>
      </c>
      <c r="BM162" s="520" t="b">
        <v>0</v>
      </c>
    </row>
    <row r="163" spans="1:65" ht="24.95" customHeight="1">
      <c r="A163" s="192">
        <v>163</v>
      </c>
      <c r="B163" s="1864"/>
      <c r="C163" s="1864"/>
      <c r="D163" s="1864"/>
      <c r="E163" s="1864"/>
      <c r="F163" s="1864"/>
      <c r="G163" s="1864"/>
      <c r="H163" s="193"/>
      <c r="I163" s="194"/>
      <c r="J163" s="195"/>
      <c r="K163" s="1744"/>
      <c r="L163" s="1745"/>
      <c r="M163" s="1746"/>
      <c r="N163" s="197">
        <v>193</v>
      </c>
      <c r="O163" s="1824"/>
      <c r="P163" s="1806"/>
      <c r="Q163" s="1806"/>
      <c r="R163" s="1806"/>
      <c r="S163" s="1806"/>
      <c r="T163" s="1807"/>
      <c r="U163" s="193"/>
      <c r="V163" s="194"/>
      <c r="W163" s="195"/>
      <c r="X163" s="1744"/>
      <c r="Y163" s="1745"/>
      <c r="Z163" s="1746"/>
      <c r="BA163" s="716">
        <v>151</v>
      </c>
      <c r="BB163" s="717">
        <f t="shared" si="52"/>
        <v>0</v>
      </c>
      <c r="BC163" s="520">
        <f t="shared" si="53"/>
        <v>0</v>
      </c>
      <c r="BD163" s="702">
        <f t="shared" si="51"/>
        <v>0</v>
      </c>
      <c r="BE163" s="702">
        <f t="shared" si="51"/>
        <v>0</v>
      </c>
      <c r="BF163" s="695">
        <v>163</v>
      </c>
      <c r="BG163" s="520">
        <f t="shared" si="49"/>
        <v>0</v>
      </c>
      <c r="BH163" s="520">
        <f t="shared" si="50"/>
        <v>0</v>
      </c>
      <c r="BI163" s="520" t="b">
        <v>0</v>
      </c>
      <c r="BJ163" s="695">
        <v>193</v>
      </c>
      <c r="BM163" s="520" t="b">
        <v>0</v>
      </c>
    </row>
    <row r="164" spans="1:65" ht="24.95" customHeight="1">
      <c r="A164" s="192">
        <v>164</v>
      </c>
      <c r="B164" s="1864"/>
      <c r="C164" s="1864"/>
      <c r="D164" s="1864"/>
      <c r="E164" s="1864"/>
      <c r="F164" s="1864"/>
      <c r="G164" s="1864"/>
      <c r="H164" s="193"/>
      <c r="I164" s="194"/>
      <c r="J164" s="195"/>
      <c r="K164" s="1744"/>
      <c r="L164" s="1745"/>
      <c r="M164" s="1746"/>
      <c r="N164" s="197">
        <v>194</v>
      </c>
      <c r="O164" s="1824"/>
      <c r="P164" s="1806"/>
      <c r="Q164" s="1806"/>
      <c r="R164" s="1806"/>
      <c r="S164" s="1806"/>
      <c r="T164" s="1807"/>
      <c r="U164" s="193"/>
      <c r="V164" s="194"/>
      <c r="W164" s="195"/>
      <c r="X164" s="1744"/>
      <c r="Y164" s="1745"/>
      <c r="Z164" s="1746"/>
      <c r="BA164" s="716">
        <v>152</v>
      </c>
      <c r="BB164" s="717">
        <f t="shared" si="52"/>
        <v>0</v>
      </c>
      <c r="BC164" s="520">
        <f t="shared" si="53"/>
        <v>0</v>
      </c>
      <c r="BD164" s="702">
        <f t="shared" si="51"/>
        <v>0</v>
      </c>
      <c r="BE164" s="702">
        <f t="shared" si="51"/>
        <v>0</v>
      </c>
      <c r="BF164" s="695">
        <v>164</v>
      </c>
      <c r="BG164" s="520">
        <f t="shared" si="49"/>
        <v>0</v>
      </c>
      <c r="BH164" s="520">
        <f t="shared" si="50"/>
        <v>0</v>
      </c>
      <c r="BI164" s="520" t="b">
        <v>0</v>
      </c>
      <c r="BJ164" s="695">
        <v>194</v>
      </c>
      <c r="BM164" s="520" t="b">
        <v>0</v>
      </c>
    </row>
    <row r="165" spans="1:65" ht="24.95" customHeight="1">
      <c r="A165" s="192">
        <v>165</v>
      </c>
      <c r="B165" s="1864"/>
      <c r="C165" s="1864"/>
      <c r="D165" s="1864"/>
      <c r="E165" s="1864"/>
      <c r="F165" s="1864"/>
      <c r="G165" s="1864"/>
      <c r="H165" s="193"/>
      <c r="I165" s="194"/>
      <c r="J165" s="195"/>
      <c r="K165" s="1744"/>
      <c r="L165" s="1745"/>
      <c r="M165" s="1746"/>
      <c r="N165" s="197">
        <v>195</v>
      </c>
      <c r="O165" s="1824"/>
      <c r="P165" s="1806"/>
      <c r="Q165" s="1806"/>
      <c r="R165" s="1806"/>
      <c r="S165" s="1806"/>
      <c r="T165" s="1807"/>
      <c r="U165" s="193"/>
      <c r="V165" s="194"/>
      <c r="W165" s="195"/>
      <c r="X165" s="1744"/>
      <c r="Y165" s="1745"/>
      <c r="Z165" s="1746"/>
      <c r="BA165" s="716">
        <v>153</v>
      </c>
      <c r="BB165" s="717">
        <f t="shared" si="52"/>
        <v>0</v>
      </c>
      <c r="BC165" s="520">
        <f t="shared" si="53"/>
        <v>0</v>
      </c>
      <c r="BD165" s="702">
        <f t="shared" si="51"/>
        <v>0</v>
      </c>
      <c r="BE165" s="702">
        <f t="shared" si="51"/>
        <v>0</v>
      </c>
      <c r="BF165" s="695">
        <v>165</v>
      </c>
      <c r="BG165" s="520">
        <f t="shared" si="49"/>
        <v>0</v>
      </c>
      <c r="BH165" s="520">
        <f t="shared" si="50"/>
        <v>0</v>
      </c>
      <c r="BI165" s="520" t="b">
        <v>0</v>
      </c>
      <c r="BJ165" s="695">
        <v>195</v>
      </c>
      <c r="BM165" s="520" t="b">
        <v>0</v>
      </c>
    </row>
    <row r="166" spans="1:65" ht="24.95" customHeight="1">
      <c r="A166" s="192">
        <v>166</v>
      </c>
      <c r="B166" s="1864"/>
      <c r="C166" s="1864"/>
      <c r="D166" s="1864"/>
      <c r="E166" s="1864"/>
      <c r="F166" s="1864"/>
      <c r="G166" s="1864"/>
      <c r="H166" s="193"/>
      <c r="I166" s="194"/>
      <c r="J166" s="195"/>
      <c r="K166" s="1744"/>
      <c r="L166" s="1745"/>
      <c r="M166" s="1746"/>
      <c r="N166" s="197">
        <v>196</v>
      </c>
      <c r="O166" s="1824"/>
      <c r="P166" s="1806"/>
      <c r="Q166" s="1806"/>
      <c r="R166" s="1806"/>
      <c r="S166" s="1806"/>
      <c r="T166" s="1807"/>
      <c r="U166" s="193"/>
      <c r="V166" s="194"/>
      <c r="W166" s="195"/>
      <c r="X166" s="1744"/>
      <c r="Y166" s="1745"/>
      <c r="Z166" s="1746"/>
      <c r="BA166" s="716">
        <v>154</v>
      </c>
      <c r="BB166" s="717">
        <f t="shared" si="52"/>
        <v>0</v>
      </c>
      <c r="BC166" s="520">
        <f t="shared" si="53"/>
        <v>0</v>
      </c>
      <c r="BD166" s="702">
        <f t="shared" si="51"/>
        <v>0</v>
      </c>
      <c r="BE166" s="702">
        <f t="shared" si="51"/>
        <v>0</v>
      </c>
      <c r="BF166" s="695">
        <v>166</v>
      </c>
      <c r="BG166" s="520">
        <f t="shared" si="49"/>
        <v>0</v>
      </c>
      <c r="BH166" s="520">
        <f t="shared" si="50"/>
        <v>0</v>
      </c>
      <c r="BI166" s="520" t="b">
        <v>0</v>
      </c>
      <c r="BJ166" s="695">
        <v>196</v>
      </c>
      <c r="BM166" s="520" t="b">
        <v>0</v>
      </c>
    </row>
    <row r="167" spans="1:65" ht="24.95" customHeight="1">
      <c r="A167" s="192">
        <v>167</v>
      </c>
      <c r="B167" s="1864"/>
      <c r="C167" s="1864"/>
      <c r="D167" s="1864"/>
      <c r="E167" s="1864"/>
      <c r="F167" s="1864"/>
      <c r="G167" s="1864"/>
      <c r="H167" s="193"/>
      <c r="I167" s="194"/>
      <c r="J167" s="195"/>
      <c r="K167" s="1744"/>
      <c r="L167" s="1745"/>
      <c r="M167" s="1746"/>
      <c r="N167" s="197">
        <v>197</v>
      </c>
      <c r="O167" s="1824"/>
      <c r="P167" s="1806"/>
      <c r="Q167" s="1806"/>
      <c r="R167" s="1806"/>
      <c r="S167" s="1806"/>
      <c r="T167" s="1807"/>
      <c r="U167" s="193"/>
      <c r="V167" s="194"/>
      <c r="W167" s="195"/>
      <c r="X167" s="1744"/>
      <c r="Y167" s="1745"/>
      <c r="Z167" s="1746"/>
      <c r="BA167" s="716">
        <v>155</v>
      </c>
      <c r="BB167" s="717">
        <f t="shared" si="52"/>
        <v>0</v>
      </c>
      <c r="BC167" s="520">
        <f t="shared" si="53"/>
        <v>0</v>
      </c>
      <c r="BD167" s="702">
        <f t="shared" si="51"/>
        <v>0</v>
      </c>
      <c r="BE167" s="702">
        <f t="shared" si="51"/>
        <v>0</v>
      </c>
      <c r="BF167" s="695">
        <v>167</v>
      </c>
      <c r="BG167" s="520">
        <f t="shared" si="49"/>
        <v>0</v>
      </c>
      <c r="BH167" s="520">
        <f t="shared" si="50"/>
        <v>0</v>
      </c>
      <c r="BI167" s="520" t="b">
        <v>0</v>
      </c>
      <c r="BJ167" s="695">
        <v>197</v>
      </c>
      <c r="BM167" s="520" t="b">
        <v>0</v>
      </c>
    </row>
    <row r="168" spans="1:65" ht="24.95" customHeight="1">
      <c r="A168" s="192">
        <v>168</v>
      </c>
      <c r="B168" s="1864"/>
      <c r="C168" s="1864"/>
      <c r="D168" s="1864"/>
      <c r="E168" s="1864"/>
      <c r="F168" s="1864"/>
      <c r="G168" s="1864"/>
      <c r="H168" s="193"/>
      <c r="I168" s="194"/>
      <c r="J168" s="195"/>
      <c r="K168" s="1744"/>
      <c r="L168" s="1745"/>
      <c r="M168" s="1746"/>
      <c r="N168" s="197">
        <v>198</v>
      </c>
      <c r="O168" s="1824"/>
      <c r="P168" s="1806"/>
      <c r="Q168" s="1806"/>
      <c r="R168" s="1806"/>
      <c r="S168" s="1806"/>
      <c r="T168" s="1807"/>
      <c r="U168" s="193"/>
      <c r="V168" s="194"/>
      <c r="W168" s="195"/>
      <c r="X168" s="1744"/>
      <c r="Y168" s="1745"/>
      <c r="Z168" s="1746"/>
      <c r="BA168" s="716">
        <v>156</v>
      </c>
      <c r="BB168" s="717">
        <f t="shared" si="52"/>
        <v>0</v>
      </c>
      <c r="BC168" s="520">
        <f t="shared" si="53"/>
        <v>0</v>
      </c>
      <c r="BD168" s="702">
        <f t="shared" si="51"/>
        <v>0</v>
      </c>
      <c r="BE168" s="702">
        <f t="shared" si="51"/>
        <v>0</v>
      </c>
      <c r="BF168" s="695">
        <v>168</v>
      </c>
      <c r="BG168" s="520">
        <f t="shared" si="49"/>
        <v>0</v>
      </c>
      <c r="BH168" s="520">
        <f t="shared" si="50"/>
        <v>0</v>
      </c>
      <c r="BI168" s="520" t="b">
        <v>0</v>
      </c>
      <c r="BJ168" s="695">
        <v>198</v>
      </c>
      <c r="BM168" s="520" t="b">
        <v>0</v>
      </c>
    </row>
    <row r="169" spans="1:65" ht="24.95" customHeight="1">
      <c r="A169" s="192">
        <v>169</v>
      </c>
      <c r="B169" s="1864"/>
      <c r="C169" s="1864"/>
      <c r="D169" s="1864"/>
      <c r="E169" s="1864"/>
      <c r="F169" s="1864"/>
      <c r="G169" s="1864"/>
      <c r="H169" s="193"/>
      <c r="I169" s="194"/>
      <c r="J169" s="195"/>
      <c r="K169" s="1744"/>
      <c r="L169" s="1745"/>
      <c r="M169" s="1746"/>
      <c r="N169" s="197">
        <v>199</v>
      </c>
      <c r="O169" s="1824"/>
      <c r="P169" s="1806"/>
      <c r="Q169" s="1806"/>
      <c r="R169" s="1806"/>
      <c r="S169" s="1806"/>
      <c r="T169" s="1807"/>
      <c r="U169" s="193"/>
      <c r="V169" s="194"/>
      <c r="W169" s="195"/>
      <c r="X169" s="1744"/>
      <c r="Y169" s="1745"/>
      <c r="Z169" s="1746"/>
      <c r="BA169" s="716">
        <v>157</v>
      </c>
      <c r="BB169" s="717">
        <f t="shared" si="52"/>
        <v>0</v>
      </c>
      <c r="BC169" s="520">
        <f t="shared" si="53"/>
        <v>0</v>
      </c>
      <c r="BD169" s="702">
        <f t="shared" si="51"/>
        <v>0</v>
      </c>
      <c r="BE169" s="702">
        <f t="shared" si="51"/>
        <v>0</v>
      </c>
      <c r="BF169" s="695">
        <v>169</v>
      </c>
      <c r="BG169" s="520">
        <f t="shared" si="49"/>
        <v>0</v>
      </c>
      <c r="BH169" s="520">
        <f t="shared" si="50"/>
        <v>0</v>
      </c>
      <c r="BI169" s="520" t="b">
        <v>0</v>
      </c>
      <c r="BJ169" s="695">
        <v>199</v>
      </c>
      <c r="BM169" s="520" t="b">
        <v>0</v>
      </c>
    </row>
    <row r="170" spans="1:65" ht="24.95" customHeight="1">
      <c r="A170" s="192">
        <v>170</v>
      </c>
      <c r="B170" s="1864"/>
      <c r="C170" s="1864"/>
      <c r="D170" s="1864"/>
      <c r="E170" s="1864"/>
      <c r="F170" s="1864"/>
      <c r="G170" s="1864"/>
      <c r="H170" s="193"/>
      <c r="I170" s="194"/>
      <c r="J170" s="195"/>
      <c r="K170" s="1744"/>
      <c r="L170" s="1745"/>
      <c r="M170" s="1746"/>
      <c r="N170" s="197">
        <v>200</v>
      </c>
      <c r="O170" s="1824"/>
      <c r="P170" s="1806"/>
      <c r="Q170" s="1806"/>
      <c r="R170" s="1806"/>
      <c r="S170" s="1806"/>
      <c r="T170" s="1807"/>
      <c r="U170" s="193"/>
      <c r="V170" s="194"/>
      <c r="W170" s="195"/>
      <c r="X170" s="1744"/>
      <c r="Y170" s="1745"/>
      <c r="Z170" s="1746"/>
      <c r="BA170" s="716">
        <v>158</v>
      </c>
      <c r="BB170" s="717">
        <f t="shared" si="52"/>
        <v>0</v>
      </c>
      <c r="BC170" s="520">
        <f t="shared" si="53"/>
        <v>0</v>
      </c>
      <c r="BD170" s="702">
        <f t="shared" si="51"/>
        <v>0</v>
      </c>
      <c r="BE170" s="702">
        <f t="shared" si="51"/>
        <v>0</v>
      </c>
      <c r="BF170" s="695">
        <v>170</v>
      </c>
      <c r="BG170" s="520">
        <f t="shared" si="49"/>
        <v>0</v>
      </c>
      <c r="BH170" s="520">
        <f t="shared" si="50"/>
        <v>0</v>
      </c>
      <c r="BI170" s="520" t="b">
        <v>0</v>
      </c>
      <c r="BJ170" s="695">
        <v>200</v>
      </c>
      <c r="BM170" s="520" t="b">
        <v>0</v>
      </c>
    </row>
    <row r="171" spans="1:65" ht="24.95" customHeight="1">
      <c r="A171" s="153"/>
      <c r="B171" s="199"/>
      <c r="C171" s="199"/>
      <c r="D171" s="199"/>
      <c r="E171" s="199"/>
      <c r="F171" s="199"/>
      <c r="G171" s="199"/>
      <c r="H171" s="200"/>
      <c r="I171" s="200"/>
      <c r="J171" s="221"/>
      <c r="K171" s="221"/>
      <c r="L171" s="183"/>
      <c r="M171" s="183"/>
      <c r="N171" s="153"/>
      <c r="O171" s="199"/>
      <c r="P171" s="199"/>
      <c r="Q171" s="199"/>
      <c r="R171" s="199"/>
      <c r="S171" s="199"/>
      <c r="T171" s="199"/>
      <c r="U171" s="200"/>
      <c r="V171" s="200"/>
      <c r="W171" s="200"/>
      <c r="X171" s="200"/>
      <c r="Y171" s="201"/>
      <c r="Z171" s="201"/>
      <c r="BA171" s="716">
        <v>159</v>
      </c>
      <c r="BB171" s="717">
        <f t="shared" si="52"/>
        <v>0</v>
      </c>
      <c r="BC171" s="520">
        <f t="shared" si="53"/>
        <v>0</v>
      </c>
      <c r="BD171" s="702">
        <f t="shared" si="51"/>
        <v>0</v>
      </c>
      <c r="BE171" s="702">
        <f t="shared" si="51"/>
        <v>0</v>
      </c>
    </row>
    <row r="172" spans="1:65" ht="23.25">
      <c r="A172" s="1830" t="s">
        <v>315</v>
      </c>
      <c r="B172" s="1830"/>
      <c r="C172" s="1830"/>
      <c r="D172" s="1830"/>
      <c r="E172" s="1830"/>
      <c r="F172" s="1830"/>
      <c r="G172" s="1830"/>
      <c r="H172" s="1830"/>
      <c r="I172" s="1830"/>
      <c r="J172" s="1830"/>
      <c r="K172" s="1830"/>
      <c r="L172" s="1830"/>
      <c r="M172" s="1830"/>
      <c r="N172" s="1830"/>
      <c r="O172" s="1830"/>
      <c r="P172" s="1830"/>
      <c r="Q172" s="1830"/>
      <c r="R172" s="1830"/>
      <c r="S172" s="1830"/>
      <c r="T172" s="1830"/>
      <c r="U172" s="1830"/>
      <c r="V172" s="1830"/>
      <c r="W172" s="1830"/>
      <c r="X172" s="1830"/>
      <c r="Y172" s="1830"/>
      <c r="Z172" s="1830"/>
      <c r="AA172" s="492"/>
      <c r="AB172" s="492"/>
      <c r="AC172" s="492"/>
      <c r="AD172" s="492"/>
      <c r="AE172" s="492"/>
      <c r="AF172" s="492"/>
      <c r="AG172" s="492"/>
      <c r="AH172" s="492"/>
      <c r="AI172" s="492"/>
      <c r="AJ172" s="492"/>
      <c r="AK172" s="492"/>
      <c r="AL172" s="492"/>
      <c r="AM172" s="492"/>
      <c r="AN172" s="492"/>
      <c r="AO172" s="492"/>
      <c r="AP172" s="492"/>
      <c r="AQ172" s="492"/>
      <c r="AR172" s="492"/>
      <c r="AS172" s="492"/>
      <c r="AT172" s="492"/>
      <c r="AU172" s="492"/>
      <c r="AV172" s="492"/>
      <c r="AW172" s="492"/>
      <c r="AX172" s="492"/>
      <c r="AY172" s="492"/>
      <c r="AZ172" s="492"/>
      <c r="BA172" s="716">
        <v>160</v>
      </c>
      <c r="BB172" s="717">
        <f t="shared" si="52"/>
        <v>0</v>
      </c>
      <c r="BC172" s="520">
        <f t="shared" si="53"/>
        <v>0</v>
      </c>
      <c r="BD172" s="702">
        <f t="shared" si="51"/>
        <v>0</v>
      </c>
      <c r="BE172" s="702">
        <f t="shared" si="51"/>
        <v>0</v>
      </c>
    </row>
    <row r="173" spans="1:65" ht="23.25">
      <c r="A173" s="482">
        <f>COUNTIFS(K184:K213,"a",H184:H213,"&gt;0")</f>
        <v>0</v>
      </c>
      <c r="B173" s="482">
        <f>COUNTIFS(X184:X213,"a",U184:U213,"&gt;0")</f>
        <v>0</v>
      </c>
      <c r="C173" s="482">
        <f>COUNTIFS(K184:K213,"b",H184:H213,"&gt;0")</f>
        <v>0</v>
      </c>
      <c r="D173" s="482">
        <f>COUNTIFS(X184:X213,"b",U184:U213,"&gt;0")</f>
        <v>0</v>
      </c>
      <c r="E173" s="482">
        <f>COUNTIFS(K184:K213,"c",H184:H213,"&gt;0")</f>
        <v>0</v>
      </c>
      <c r="F173" s="482">
        <f>COUNTIFS(X184:X213,"c",U184:U213,"&gt;0")</f>
        <v>0</v>
      </c>
      <c r="G173" s="482">
        <f>COUNTIFS(K184:K213,"d",H184:H213,"&gt;0")</f>
        <v>0</v>
      </c>
      <c r="H173" s="482">
        <f>COUNTIFS(X184:X213,"d",U184:U213,"&gt;0")</f>
        <v>0</v>
      </c>
      <c r="I173" s="482">
        <f>COUNTIFS(K184:K213,"e",H184:H213,"&gt;0")</f>
        <v>0</v>
      </c>
      <c r="J173" s="482">
        <f>COUNTIFS(X184:X213,"e",U184:U213,"&gt;0")</f>
        <v>0</v>
      </c>
      <c r="K173" s="482">
        <f>COUNTIFS(K184:K213,"f",H184:H213,"&gt;0")</f>
        <v>0</v>
      </c>
      <c r="L173" s="482">
        <f>COUNTIFS(X184:X213,"f",U184:U213,"&gt;0")</f>
        <v>0</v>
      </c>
      <c r="M173" s="482">
        <f>COUNTIFS(K184:K213,"g",H184:H213,"&gt;0")</f>
        <v>0</v>
      </c>
      <c r="N173" s="482">
        <f>COUNTIFS(X184:X213,"g",U184:U213,"&gt;0")</f>
        <v>0</v>
      </c>
      <c r="O173" s="482">
        <f>COUNTIFS(K184:K213,"h",H184:H213,"&gt;0")</f>
        <v>0</v>
      </c>
      <c r="P173" s="482">
        <f>COUNTIFS(X184:X213,"h",U184:U213,"&gt;0")</f>
        <v>0</v>
      </c>
      <c r="Q173" s="482">
        <f>COUNTIFS(K184:K213,"i",H184:H213,"&gt;0")</f>
        <v>0</v>
      </c>
      <c r="R173" s="482">
        <f>COUNTIFS(X184:X213,"i",U184:U213,"&gt;0")</f>
        <v>0</v>
      </c>
      <c r="S173" s="483">
        <f>SUM(A173:R173)</f>
        <v>0</v>
      </c>
      <c r="T173" s="483"/>
      <c r="U173" s="483"/>
      <c r="V173" s="483"/>
      <c r="W173" s="1830" t="s">
        <v>326</v>
      </c>
      <c r="X173" s="1830"/>
      <c r="Y173" s="1830">
        <v>5</v>
      </c>
      <c r="Z173" s="1830"/>
      <c r="AA173" s="492"/>
      <c r="AB173" s="492"/>
      <c r="AC173" s="492"/>
      <c r="AD173" s="492"/>
      <c r="AE173" s="492"/>
      <c r="AF173" s="492"/>
      <c r="AG173" s="492"/>
      <c r="AH173" s="492"/>
      <c r="AI173" s="492"/>
      <c r="AJ173" s="492"/>
      <c r="AK173" s="492"/>
      <c r="AL173" s="492"/>
      <c r="AM173" s="492"/>
      <c r="AN173" s="492"/>
      <c r="AO173" s="492"/>
      <c r="AP173" s="492"/>
      <c r="AQ173" s="492"/>
      <c r="AR173" s="492"/>
      <c r="AS173" s="492"/>
      <c r="AT173" s="492"/>
      <c r="AU173" s="492"/>
      <c r="AV173" s="492"/>
      <c r="AW173" s="492"/>
      <c r="AX173" s="492"/>
      <c r="AY173" s="492"/>
      <c r="AZ173" s="492"/>
      <c r="BA173" s="716">
        <v>161</v>
      </c>
      <c r="BB173" s="717">
        <f t="shared" si="52"/>
        <v>0</v>
      </c>
      <c r="BC173" s="520">
        <f t="shared" si="53"/>
        <v>0</v>
      </c>
      <c r="BD173" s="702">
        <f t="shared" si="51"/>
        <v>0</v>
      </c>
      <c r="BE173" s="702">
        <f t="shared" si="51"/>
        <v>0</v>
      </c>
    </row>
    <row r="174" spans="1:65" ht="23.25">
      <c r="A174" s="482">
        <f>COUNTIFS(K184:K213,"a",I184:I213,"&gt;0")</f>
        <v>0</v>
      </c>
      <c r="B174" s="482">
        <f>COUNTIFS(X184:X213,"a",V184:V213,"&gt;0")</f>
        <v>0</v>
      </c>
      <c r="C174" s="482">
        <f>COUNTIFS(K184:K213,"b",I184:I213,"&gt;0")</f>
        <v>0</v>
      </c>
      <c r="D174" s="482">
        <f>COUNTIFS(X184:X213,"b",V184:V213,"&gt;0")</f>
        <v>0</v>
      </c>
      <c r="E174" s="482">
        <f>COUNTIFS(K184:K213,"c",I184:I213,"&gt;0")</f>
        <v>0</v>
      </c>
      <c r="F174" s="482">
        <f>COUNTIFS(X184:X213,"c",V184:V213,"&gt;0")</f>
        <v>0</v>
      </c>
      <c r="G174" s="482">
        <f>COUNTIFS(K184:K213,"d",I184:I213,"&gt;0")</f>
        <v>0</v>
      </c>
      <c r="H174" s="482">
        <f>COUNTIFS(X184:X213,"d",V184:V213,"&gt;0")</f>
        <v>0</v>
      </c>
      <c r="I174" s="482">
        <f>COUNTIFS(K184:K213,"e",I184:I213,"&gt;0")</f>
        <v>0</v>
      </c>
      <c r="J174" s="482">
        <f>COUNTIFS(X184:X213,"e",V184:V213,"&gt;0")</f>
        <v>0</v>
      </c>
      <c r="K174" s="482">
        <f>COUNTIFS(K184:K213,"f",I184:I213,"&gt;0")</f>
        <v>0</v>
      </c>
      <c r="L174" s="482">
        <f>COUNTIFS(X184:X213,"f",V184:V213,"&gt;0")</f>
        <v>0</v>
      </c>
      <c r="M174" s="482">
        <f>COUNTIFS(K184:K213,"g",I184:I213,"&gt;0")</f>
        <v>0</v>
      </c>
      <c r="N174" s="482">
        <f>COUNTIFS(X184:X213,"g",V184:V213,"&gt;0")</f>
        <v>0</v>
      </c>
      <c r="O174" s="482">
        <f>COUNTIFS(K184:K213,"h",I184:I213,"&gt;0")</f>
        <v>0</v>
      </c>
      <c r="P174" s="482">
        <f>COUNTIFS(X184:X213,"h",V184:V213,"&gt;0")</f>
        <v>0</v>
      </c>
      <c r="Q174" s="482">
        <f>COUNTIFS(K184:K213,"i",I184:I213,"&gt;0")</f>
        <v>0</v>
      </c>
      <c r="R174" s="482">
        <f>COUNTIFS(X184:X213,"i",V184:V213,"&gt;0")</f>
        <v>0</v>
      </c>
      <c r="S174" s="483">
        <f>SUM(A174:R174)</f>
        <v>0</v>
      </c>
      <c r="T174" s="483"/>
      <c r="U174" s="483"/>
      <c r="V174" s="483"/>
      <c r="W174" s="484"/>
      <c r="X174" s="484"/>
      <c r="Y174" s="484"/>
      <c r="Z174" s="484"/>
      <c r="AA174" s="492"/>
      <c r="AB174" s="492"/>
      <c r="AC174" s="492"/>
      <c r="AD174" s="492"/>
      <c r="AE174" s="492"/>
      <c r="AF174" s="492"/>
      <c r="AG174" s="492"/>
      <c r="AH174" s="492"/>
      <c r="AI174" s="492"/>
      <c r="AJ174" s="492"/>
      <c r="AK174" s="492"/>
      <c r="AL174" s="492"/>
      <c r="AM174" s="492"/>
      <c r="AN174" s="492"/>
      <c r="AO174" s="492"/>
      <c r="AP174" s="492"/>
      <c r="AQ174" s="492"/>
      <c r="AR174" s="492"/>
      <c r="AS174" s="492"/>
      <c r="AT174" s="492"/>
      <c r="AU174" s="492"/>
      <c r="AV174" s="492"/>
      <c r="AW174" s="492"/>
      <c r="AX174" s="492"/>
      <c r="AY174" s="492"/>
      <c r="AZ174" s="492"/>
      <c r="BA174" s="716">
        <v>162</v>
      </c>
      <c r="BB174" s="717">
        <f t="shared" si="52"/>
        <v>0</v>
      </c>
      <c r="BC174" s="520">
        <f t="shared" si="53"/>
        <v>0</v>
      </c>
      <c r="BD174" s="702">
        <f t="shared" si="51"/>
        <v>0</v>
      </c>
      <c r="BE174" s="702">
        <f t="shared" si="51"/>
        <v>0</v>
      </c>
    </row>
    <row r="175" spans="1:65" ht="36" customHeight="1">
      <c r="A175" s="1831" t="s">
        <v>71</v>
      </c>
      <c r="B175" s="1831"/>
      <c r="C175" s="1852">
        <f>C4</f>
        <v>0</v>
      </c>
      <c r="D175" s="1852"/>
      <c r="E175" s="1852"/>
      <c r="F175" s="1852"/>
      <c r="G175" s="1852"/>
      <c r="H175" s="1852"/>
      <c r="I175" s="1852"/>
      <c r="J175" s="1852"/>
      <c r="K175" s="1852"/>
      <c r="L175" s="1852"/>
      <c r="M175" s="1852"/>
      <c r="N175" s="1852"/>
      <c r="O175" s="1852"/>
      <c r="P175" s="1852"/>
      <c r="Q175" s="1852"/>
      <c r="R175" s="1852"/>
      <c r="S175" s="1852"/>
      <c r="T175" s="1852"/>
      <c r="U175" s="485"/>
      <c r="V175" s="485"/>
      <c r="W175" s="485"/>
      <c r="X175" s="485"/>
      <c r="Y175" s="485"/>
      <c r="Z175" s="485"/>
      <c r="AA175" s="492"/>
      <c r="AB175" s="492"/>
      <c r="AC175" s="492"/>
      <c r="AD175" s="492"/>
      <c r="AE175" s="492"/>
      <c r="AF175" s="492"/>
      <c r="AG175" s="492"/>
      <c r="AH175" s="492"/>
      <c r="AI175" s="492"/>
      <c r="AJ175" s="492"/>
      <c r="AK175" s="492"/>
      <c r="AL175" s="492"/>
      <c r="AM175" s="492"/>
      <c r="AN175" s="492"/>
      <c r="AO175" s="492"/>
      <c r="AP175" s="492"/>
      <c r="AQ175" s="492"/>
      <c r="AR175" s="492"/>
      <c r="AS175" s="492"/>
      <c r="AT175" s="492"/>
      <c r="AU175" s="492"/>
      <c r="AV175" s="492"/>
      <c r="AW175" s="492"/>
      <c r="AX175" s="492"/>
      <c r="AY175" s="492"/>
      <c r="AZ175" s="492"/>
      <c r="BA175" s="716">
        <v>163</v>
      </c>
      <c r="BB175" s="717">
        <f t="shared" si="52"/>
        <v>0</v>
      </c>
      <c r="BC175" s="520">
        <f t="shared" si="53"/>
        <v>0</v>
      </c>
      <c r="BD175" s="702">
        <f t="shared" si="51"/>
        <v>0</v>
      </c>
      <c r="BE175" s="702">
        <f t="shared" si="51"/>
        <v>0</v>
      </c>
    </row>
    <row r="176" spans="1:65" ht="15" customHeight="1">
      <c r="A176" s="1831" t="s">
        <v>69</v>
      </c>
      <c r="B176" s="1831"/>
      <c r="C176" s="1852" t="str">
        <f>C5</f>
        <v>令和</v>
      </c>
      <c r="D176" s="1852"/>
      <c r="E176" s="1861" t="s">
        <v>14</v>
      </c>
      <c r="F176" s="1852">
        <f>F5</f>
        <v>0</v>
      </c>
      <c r="G176" s="1861" t="s">
        <v>13</v>
      </c>
      <c r="H176" s="1852">
        <f>H5</f>
        <v>0</v>
      </c>
      <c r="I176" s="1861" t="s">
        <v>12</v>
      </c>
      <c r="J176" s="1861" t="s">
        <v>290</v>
      </c>
      <c r="K176" s="1852">
        <f>K5</f>
        <v>0</v>
      </c>
      <c r="L176" s="1861" t="s">
        <v>293</v>
      </c>
      <c r="M176" s="1861" t="s">
        <v>297</v>
      </c>
      <c r="N176" s="1852">
        <f>N5</f>
        <v>0</v>
      </c>
      <c r="O176" s="1861" t="s">
        <v>13</v>
      </c>
      <c r="P176" s="1852">
        <f>P5</f>
        <v>0</v>
      </c>
      <c r="Q176" s="1861" t="s">
        <v>12</v>
      </c>
      <c r="R176" s="1861" t="s">
        <v>290</v>
      </c>
      <c r="S176" s="1852">
        <f>S5</f>
        <v>0</v>
      </c>
      <c r="T176" s="1861" t="s">
        <v>29</v>
      </c>
      <c r="U176" s="1861"/>
      <c r="V176" s="1861"/>
      <c r="W176" s="486">
        <f>W133</f>
        <v>0</v>
      </c>
      <c r="X176" s="482" t="s">
        <v>38</v>
      </c>
      <c r="Y176" s="486">
        <f>Y133</f>
        <v>0</v>
      </c>
      <c r="Z176" s="482" t="s">
        <v>12</v>
      </c>
      <c r="AA176" s="493"/>
      <c r="AB176" s="493"/>
      <c r="AC176" s="493"/>
      <c r="AD176" s="493"/>
      <c r="AE176" s="493"/>
      <c r="AF176" s="493"/>
      <c r="AG176" s="493"/>
      <c r="AH176" s="493"/>
      <c r="AI176" s="493"/>
      <c r="AJ176" s="493"/>
      <c r="AK176" s="493"/>
      <c r="AL176" s="493"/>
      <c r="AM176" s="493"/>
      <c r="AN176" s="493"/>
      <c r="AO176" s="493"/>
      <c r="AP176" s="493"/>
      <c r="AQ176" s="493"/>
      <c r="AR176" s="493"/>
      <c r="AS176" s="493"/>
      <c r="AT176" s="493"/>
      <c r="AU176" s="493"/>
      <c r="AV176" s="493"/>
      <c r="AW176" s="493"/>
      <c r="AX176" s="493"/>
      <c r="AY176" s="493"/>
      <c r="AZ176" s="493"/>
      <c r="BA176" s="716">
        <v>164</v>
      </c>
      <c r="BB176" s="717">
        <f t="shared" si="52"/>
        <v>0</v>
      </c>
      <c r="BC176" s="520">
        <f t="shared" si="53"/>
        <v>0</v>
      </c>
      <c r="BD176" s="702">
        <f t="shared" si="51"/>
        <v>0</v>
      </c>
      <c r="BE176" s="702">
        <f t="shared" si="51"/>
        <v>0</v>
      </c>
    </row>
    <row r="177" spans="1:65" ht="15" customHeight="1">
      <c r="A177" s="1831"/>
      <c r="B177" s="1831"/>
      <c r="C177" s="1852"/>
      <c r="D177" s="1852"/>
      <c r="E177" s="1861"/>
      <c r="F177" s="1852"/>
      <c r="G177" s="1861"/>
      <c r="H177" s="1852"/>
      <c r="I177" s="1861"/>
      <c r="J177" s="1861"/>
      <c r="K177" s="1852"/>
      <c r="L177" s="1861"/>
      <c r="M177" s="1861"/>
      <c r="N177" s="1852"/>
      <c r="O177" s="1861"/>
      <c r="P177" s="1852"/>
      <c r="Q177" s="1861"/>
      <c r="R177" s="1861"/>
      <c r="S177" s="1852"/>
      <c r="T177" s="1861"/>
      <c r="U177" s="1861"/>
      <c r="V177" s="1861"/>
      <c r="W177" s="1861" t="s">
        <v>39</v>
      </c>
      <c r="X177" s="1861"/>
      <c r="Y177" s="487" t="str">
        <f>Y134</f>
        <v/>
      </c>
      <c r="Z177" s="482" t="s">
        <v>12</v>
      </c>
      <c r="AA177" s="493"/>
      <c r="AB177" s="493"/>
      <c r="AC177" s="493"/>
      <c r="AD177" s="493"/>
      <c r="AE177" s="493"/>
      <c r="AF177" s="493"/>
      <c r="AG177" s="493"/>
      <c r="AH177" s="493"/>
      <c r="AI177" s="493"/>
      <c r="AJ177" s="493"/>
      <c r="AK177" s="493"/>
      <c r="AL177" s="493"/>
      <c r="AM177" s="493"/>
      <c r="AN177" s="493"/>
      <c r="AO177" s="493"/>
      <c r="AP177" s="493"/>
      <c r="AQ177" s="493"/>
      <c r="AR177" s="493"/>
      <c r="AS177" s="493"/>
      <c r="AT177" s="493"/>
      <c r="AU177" s="493"/>
      <c r="AV177" s="493"/>
      <c r="AW177" s="493"/>
      <c r="AX177" s="493"/>
      <c r="AY177" s="493"/>
      <c r="AZ177" s="493"/>
      <c r="BA177" s="716">
        <v>165</v>
      </c>
      <c r="BB177" s="717">
        <f t="shared" si="52"/>
        <v>0</v>
      </c>
      <c r="BC177" s="520">
        <f t="shared" si="53"/>
        <v>0</v>
      </c>
      <c r="BD177" s="702">
        <f t="shared" si="51"/>
        <v>0</v>
      </c>
      <c r="BE177" s="702">
        <f t="shared" si="51"/>
        <v>0</v>
      </c>
    </row>
    <row r="178" spans="1:65" ht="24.95" customHeight="1">
      <c r="A178" s="488"/>
      <c r="B178" s="488"/>
      <c r="C178" s="488"/>
      <c r="D178" s="488"/>
      <c r="E178" s="488"/>
      <c r="F178" s="488"/>
      <c r="G178" s="488"/>
      <c r="H178" s="488"/>
      <c r="I178" s="488"/>
      <c r="J178" s="488"/>
      <c r="K178" s="488"/>
      <c r="L178" s="488"/>
      <c r="M178" s="488"/>
      <c r="N178" s="488"/>
      <c r="O178" s="488"/>
      <c r="P178" s="488"/>
      <c r="Q178" s="488"/>
      <c r="R178" s="488"/>
      <c r="S178" s="488"/>
      <c r="T178" s="488"/>
      <c r="U178" s="488"/>
      <c r="V178" s="488"/>
      <c r="W178" s="488"/>
      <c r="X178" s="488"/>
      <c r="Y178" s="488"/>
      <c r="Z178" s="488"/>
      <c r="AA178" s="493"/>
      <c r="AB178" s="493"/>
      <c r="AC178" s="493"/>
      <c r="AD178" s="493"/>
      <c r="AE178" s="493"/>
      <c r="AF178" s="493"/>
      <c r="AG178" s="493"/>
      <c r="AH178" s="493"/>
      <c r="AI178" s="493"/>
      <c r="AJ178" s="493"/>
      <c r="AK178" s="493"/>
      <c r="AL178" s="493"/>
      <c r="AM178" s="493"/>
      <c r="AN178" s="493"/>
      <c r="AO178" s="493"/>
      <c r="AP178" s="493"/>
      <c r="AQ178" s="493"/>
      <c r="AR178" s="493"/>
      <c r="AS178" s="493"/>
      <c r="AT178" s="493"/>
      <c r="AU178" s="493"/>
      <c r="AV178" s="493"/>
      <c r="AW178" s="493"/>
      <c r="AX178" s="493"/>
      <c r="AY178" s="493"/>
      <c r="AZ178" s="493"/>
      <c r="BA178" s="716">
        <v>166</v>
      </c>
      <c r="BB178" s="717">
        <f t="shared" si="52"/>
        <v>0</v>
      </c>
      <c r="BC178" s="520">
        <f t="shared" si="53"/>
        <v>0</v>
      </c>
      <c r="BD178" s="702">
        <f t="shared" si="51"/>
        <v>0</v>
      </c>
      <c r="BE178" s="702">
        <f t="shared" si="51"/>
        <v>0</v>
      </c>
    </row>
    <row r="179" spans="1:65" ht="13.5" customHeight="1">
      <c r="A179" s="1861" t="s">
        <v>319</v>
      </c>
      <c r="B179" s="1828" t="s">
        <v>108</v>
      </c>
      <c r="C179" s="1828"/>
      <c r="D179" s="1828"/>
      <c r="E179" s="1828"/>
      <c r="F179" s="1828"/>
      <c r="G179" s="1828"/>
      <c r="H179" s="1863" t="s">
        <v>109</v>
      </c>
      <c r="I179" s="1828"/>
      <c r="J179" s="1828" t="s">
        <v>110</v>
      </c>
      <c r="K179" s="1828"/>
      <c r="L179" s="1828"/>
      <c r="M179" s="1828"/>
      <c r="N179" s="1861" t="s">
        <v>319</v>
      </c>
      <c r="O179" s="1828" t="s">
        <v>108</v>
      </c>
      <c r="P179" s="1828"/>
      <c r="Q179" s="1828"/>
      <c r="R179" s="1828"/>
      <c r="S179" s="1828"/>
      <c r="T179" s="1828"/>
      <c r="U179" s="1863" t="s">
        <v>109</v>
      </c>
      <c r="V179" s="1828"/>
      <c r="W179" s="1828" t="s">
        <v>110</v>
      </c>
      <c r="X179" s="1828"/>
      <c r="Y179" s="1828"/>
      <c r="Z179" s="1828"/>
      <c r="AA179" s="493"/>
      <c r="AB179" s="493"/>
      <c r="AC179" s="493"/>
      <c r="AD179" s="493"/>
      <c r="AE179" s="493"/>
      <c r="AF179" s="493"/>
      <c r="AG179" s="493"/>
      <c r="AH179" s="493"/>
      <c r="AI179" s="493"/>
      <c r="AJ179" s="493"/>
      <c r="AK179" s="493"/>
      <c r="AL179" s="493"/>
      <c r="AM179" s="493"/>
      <c r="AN179" s="493"/>
      <c r="AO179" s="493"/>
      <c r="AP179" s="493"/>
      <c r="AQ179" s="493"/>
      <c r="AR179" s="493"/>
      <c r="AS179" s="493"/>
      <c r="AT179" s="493"/>
      <c r="AU179" s="493"/>
      <c r="AV179" s="493"/>
      <c r="AW179" s="493"/>
      <c r="AX179" s="493"/>
      <c r="AY179" s="493"/>
      <c r="AZ179" s="493"/>
      <c r="BA179" s="716">
        <v>167</v>
      </c>
      <c r="BB179" s="717">
        <f t="shared" si="52"/>
        <v>0</v>
      </c>
      <c r="BC179" s="520">
        <f t="shared" si="53"/>
        <v>0</v>
      </c>
      <c r="BD179" s="702">
        <f t="shared" si="51"/>
        <v>0</v>
      </c>
      <c r="BE179" s="702">
        <f t="shared" si="51"/>
        <v>0</v>
      </c>
    </row>
    <row r="180" spans="1:65">
      <c r="A180" s="1861"/>
      <c r="B180" s="1828"/>
      <c r="C180" s="1828"/>
      <c r="D180" s="1828"/>
      <c r="E180" s="1828"/>
      <c r="F180" s="1828"/>
      <c r="G180" s="1828"/>
      <c r="H180" s="1828"/>
      <c r="I180" s="1828"/>
      <c r="J180" s="1828"/>
      <c r="K180" s="1828"/>
      <c r="L180" s="1828"/>
      <c r="M180" s="1828"/>
      <c r="N180" s="1861"/>
      <c r="O180" s="1828"/>
      <c r="P180" s="1828"/>
      <c r="Q180" s="1828"/>
      <c r="R180" s="1828"/>
      <c r="S180" s="1828"/>
      <c r="T180" s="1828"/>
      <c r="U180" s="1828"/>
      <c r="V180" s="1828"/>
      <c r="W180" s="1828"/>
      <c r="X180" s="1828"/>
      <c r="Y180" s="1828"/>
      <c r="Z180" s="1828"/>
      <c r="AA180" s="493"/>
      <c r="AB180" s="493"/>
      <c r="AC180" s="493"/>
      <c r="AD180" s="493"/>
      <c r="AE180" s="493"/>
      <c r="AF180" s="493"/>
      <c r="AG180" s="493"/>
      <c r="AH180" s="493"/>
      <c r="AI180" s="493"/>
      <c r="AJ180" s="493"/>
      <c r="AK180" s="493"/>
      <c r="AL180" s="493"/>
      <c r="AM180" s="493"/>
      <c r="AN180" s="493"/>
      <c r="AO180" s="493"/>
      <c r="AP180" s="493"/>
      <c r="AQ180" s="493"/>
      <c r="AR180" s="493"/>
      <c r="AS180" s="493"/>
      <c r="AT180" s="493"/>
      <c r="AU180" s="493"/>
      <c r="AV180" s="493"/>
      <c r="AW180" s="493"/>
      <c r="AX180" s="493"/>
      <c r="AY180" s="493"/>
      <c r="AZ180" s="493"/>
      <c r="BA180" s="716">
        <v>168</v>
      </c>
      <c r="BB180" s="717">
        <f t="shared" si="52"/>
        <v>0</v>
      </c>
      <c r="BC180" s="520">
        <f t="shared" si="53"/>
        <v>0</v>
      </c>
      <c r="BD180" s="702">
        <f t="shared" si="51"/>
        <v>0</v>
      </c>
      <c r="BE180" s="702">
        <f t="shared" si="51"/>
        <v>0</v>
      </c>
    </row>
    <row r="181" spans="1:65" ht="26.1" customHeight="1">
      <c r="A181" s="1861"/>
      <c r="B181" s="1828"/>
      <c r="C181" s="1828"/>
      <c r="D181" s="1828"/>
      <c r="E181" s="1828"/>
      <c r="F181" s="1828"/>
      <c r="G181" s="1828"/>
      <c r="H181" s="1829" t="s">
        <v>40</v>
      </c>
      <c r="I181" s="1829" t="s">
        <v>39</v>
      </c>
      <c r="J181" s="1829" t="s">
        <v>375</v>
      </c>
      <c r="K181" s="1829" t="s">
        <v>374</v>
      </c>
      <c r="L181" s="1829"/>
      <c r="M181" s="1829"/>
      <c r="N181" s="1861"/>
      <c r="O181" s="1828"/>
      <c r="P181" s="1828"/>
      <c r="Q181" s="1828"/>
      <c r="R181" s="1828"/>
      <c r="S181" s="1828"/>
      <c r="T181" s="1828"/>
      <c r="U181" s="1829" t="s">
        <v>40</v>
      </c>
      <c r="V181" s="1829" t="s">
        <v>39</v>
      </c>
      <c r="W181" s="1829" t="s">
        <v>375</v>
      </c>
      <c r="X181" s="1829" t="s">
        <v>374</v>
      </c>
      <c r="Y181" s="1829"/>
      <c r="Z181" s="1829"/>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716">
        <v>169</v>
      </c>
      <c r="BB181" s="717">
        <f t="shared" si="52"/>
        <v>0</v>
      </c>
      <c r="BC181" s="520">
        <f t="shared" si="53"/>
        <v>0</v>
      </c>
      <c r="BD181" s="702">
        <f t="shared" si="51"/>
        <v>0</v>
      </c>
      <c r="BE181" s="702">
        <f t="shared" si="51"/>
        <v>0</v>
      </c>
    </row>
    <row r="182" spans="1:65" ht="26.1" customHeight="1">
      <c r="A182" s="1861"/>
      <c r="B182" s="1828"/>
      <c r="C182" s="1828"/>
      <c r="D182" s="1828"/>
      <c r="E182" s="1828"/>
      <c r="F182" s="1828"/>
      <c r="G182" s="1828"/>
      <c r="H182" s="1829"/>
      <c r="I182" s="1829"/>
      <c r="J182" s="1829"/>
      <c r="K182" s="1829"/>
      <c r="L182" s="1829"/>
      <c r="M182" s="1829"/>
      <c r="N182" s="1861"/>
      <c r="O182" s="1828"/>
      <c r="P182" s="1828"/>
      <c r="Q182" s="1828"/>
      <c r="R182" s="1828"/>
      <c r="S182" s="1828"/>
      <c r="T182" s="1828"/>
      <c r="U182" s="1829"/>
      <c r="V182" s="1829"/>
      <c r="W182" s="1829"/>
      <c r="X182" s="1829"/>
      <c r="Y182" s="1829"/>
      <c r="Z182" s="1829"/>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716">
        <v>170</v>
      </c>
      <c r="BB182" s="717">
        <f t="shared" si="52"/>
        <v>0</v>
      </c>
      <c r="BC182" s="520">
        <f t="shared" si="53"/>
        <v>0</v>
      </c>
      <c r="BD182" s="702">
        <f t="shared" si="51"/>
        <v>0</v>
      </c>
      <c r="BE182" s="702">
        <f t="shared" si="51"/>
        <v>0</v>
      </c>
    </row>
    <row r="183" spans="1:65" ht="26.1" customHeight="1">
      <c r="A183" s="1861"/>
      <c r="B183" s="1828"/>
      <c r="C183" s="1828"/>
      <c r="D183" s="1828"/>
      <c r="E183" s="1828"/>
      <c r="F183" s="1828"/>
      <c r="G183" s="1828"/>
      <c r="H183" s="1829"/>
      <c r="I183" s="1829"/>
      <c r="J183" s="1829"/>
      <c r="K183" s="1829"/>
      <c r="L183" s="1829"/>
      <c r="M183" s="1829"/>
      <c r="N183" s="1861"/>
      <c r="O183" s="1828"/>
      <c r="P183" s="1828"/>
      <c r="Q183" s="1828"/>
      <c r="R183" s="1828"/>
      <c r="S183" s="1828"/>
      <c r="T183" s="1828"/>
      <c r="U183" s="1829"/>
      <c r="V183" s="1829"/>
      <c r="W183" s="1829"/>
      <c r="X183" s="1829"/>
      <c r="Y183" s="1829"/>
      <c r="Z183" s="1829"/>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716">
        <v>171</v>
      </c>
      <c r="BB183" s="717">
        <f>COUNTA(U141:V141)</f>
        <v>0</v>
      </c>
      <c r="BC183" s="520">
        <f>COUNTA(X141)</f>
        <v>0</v>
      </c>
      <c r="BD183" s="702">
        <f t="shared" ref="BD183:BE212" si="54">BB183-COUNTA(H141)</f>
        <v>0</v>
      </c>
      <c r="BE183" s="702">
        <f t="shared" si="54"/>
        <v>0</v>
      </c>
      <c r="BF183" s="713" t="s">
        <v>1207</v>
      </c>
      <c r="BG183" s="695" t="s">
        <v>1208</v>
      </c>
      <c r="BH183" s="695" t="s">
        <v>1209</v>
      </c>
      <c r="BI183" s="695" t="s">
        <v>1206</v>
      </c>
      <c r="BJ183" s="713" t="s">
        <v>1207</v>
      </c>
      <c r="BK183" s="695" t="s">
        <v>1208</v>
      </c>
      <c r="BL183" s="695" t="s">
        <v>1209</v>
      </c>
      <c r="BM183" s="695" t="s">
        <v>1206</v>
      </c>
    </row>
    <row r="184" spans="1:65" ht="24.95" customHeight="1">
      <c r="A184" s="482">
        <v>201</v>
      </c>
      <c r="B184" s="1850"/>
      <c r="C184" s="1850"/>
      <c r="D184" s="1850"/>
      <c r="E184" s="1850"/>
      <c r="F184" s="1850"/>
      <c r="G184" s="1850"/>
      <c r="H184" s="494"/>
      <c r="I184" s="494"/>
      <c r="J184" s="494"/>
      <c r="K184" s="1827"/>
      <c r="L184" s="1827"/>
      <c r="M184" s="1827"/>
      <c r="N184" s="482">
        <v>231</v>
      </c>
      <c r="O184" s="1850"/>
      <c r="P184" s="1850"/>
      <c r="Q184" s="1850"/>
      <c r="R184" s="1850"/>
      <c r="S184" s="1850"/>
      <c r="T184" s="1850"/>
      <c r="U184" s="494"/>
      <c r="V184" s="494"/>
      <c r="W184" s="494"/>
      <c r="X184" s="1827"/>
      <c r="Y184" s="1827"/>
      <c r="Z184" s="18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716">
        <v>172</v>
      </c>
      <c r="BB184" s="717">
        <f t="shared" ref="BB184:BB212" si="55">COUNTA(U142:V142)</f>
        <v>0</v>
      </c>
      <c r="BC184" s="520">
        <f t="shared" ref="BC184:BC212" si="56">COUNTA(X142)</f>
        <v>0</v>
      </c>
      <c r="BD184" s="702">
        <f t="shared" si="54"/>
        <v>0</v>
      </c>
      <c r="BE184" s="702">
        <f t="shared" si="54"/>
        <v>0</v>
      </c>
      <c r="BF184" s="713">
        <v>201</v>
      </c>
      <c r="BG184" s="520">
        <f>H184</f>
        <v>0</v>
      </c>
      <c r="BH184" s="520">
        <f>I184</f>
        <v>0</v>
      </c>
      <c r="BI184" s="520" t="b">
        <v>0</v>
      </c>
      <c r="BJ184" s="713">
        <v>231</v>
      </c>
      <c r="BM184" s="520" t="b">
        <v>0</v>
      </c>
    </row>
    <row r="185" spans="1:65" ht="24.95" customHeight="1">
      <c r="A185" s="482">
        <v>202</v>
      </c>
      <c r="B185" s="1850"/>
      <c r="C185" s="1850"/>
      <c r="D185" s="1850"/>
      <c r="E185" s="1850"/>
      <c r="F185" s="1850"/>
      <c r="G185" s="1850"/>
      <c r="H185" s="494"/>
      <c r="I185" s="494"/>
      <c r="J185" s="494"/>
      <c r="K185" s="1827"/>
      <c r="L185" s="1827"/>
      <c r="M185" s="1827"/>
      <c r="N185" s="482">
        <v>232</v>
      </c>
      <c r="O185" s="1850"/>
      <c r="P185" s="1850"/>
      <c r="Q185" s="1850"/>
      <c r="R185" s="1850"/>
      <c r="S185" s="1850"/>
      <c r="T185" s="1850"/>
      <c r="U185" s="494"/>
      <c r="V185" s="494"/>
      <c r="W185" s="494"/>
      <c r="X185" s="1827"/>
      <c r="Y185" s="1827"/>
      <c r="Z185" s="18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716">
        <v>173</v>
      </c>
      <c r="BB185" s="717">
        <f t="shared" si="55"/>
        <v>0</v>
      </c>
      <c r="BC185" s="520">
        <f t="shared" si="56"/>
        <v>0</v>
      </c>
      <c r="BD185" s="702">
        <f t="shared" si="54"/>
        <v>0</v>
      </c>
      <c r="BE185" s="702">
        <f t="shared" si="54"/>
        <v>0</v>
      </c>
      <c r="BF185" s="713">
        <v>202</v>
      </c>
      <c r="BG185" s="520">
        <f t="shared" ref="BG185:BG213" si="57">H185</f>
        <v>0</v>
      </c>
      <c r="BH185" s="520">
        <f t="shared" ref="BH185:BH213" si="58">I185</f>
        <v>0</v>
      </c>
      <c r="BI185" s="520" t="b">
        <v>0</v>
      </c>
      <c r="BJ185" s="713">
        <v>232</v>
      </c>
      <c r="BM185" s="520" t="b">
        <v>0</v>
      </c>
    </row>
    <row r="186" spans="1:65" ht="24.95" customHeight="1">
      <c r="A186" s="482">
        <v>203</v>
      </c>
      <c r="B186" s="1850"/>
      <c r="C186" s="1850"/>
      <c r="D186" s="1850"/>
      <c r="E186" s="1850"/>
      <c r="F186" s="1850"/>
      <c r="G186" s="1850"/>
      <c r="H186" s="494"/>
      <c r="I186" s="494"/>
      <c r="J186" s="494"/>
      <c r="K186" s="1827"/>
      <c r="L186" s="1827"/>
      <c r="M186" s="1827"/>
      <c r="N186" s="482">
        <v>233</v>
      </c>
      <c r="O186" s="1850"/>
      <c r="P186" s="1850"/>
      <c r="Q186" s="1850"/>
      <c r="R186" s="1850"/>
      <c r="S186" s="1850"/>
      <c r="T186" s="1850"/>
      <c r="U186" s="494"/>
      <c r="V186" s="494"/>
      <c r="W186" s="494"/>
      <c r="X186" s="1827"/>
      <c r="Y186" s="1827"/>
      <c r="Z186" s="18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716">
        <v>174</v>
      </c>
      <c r="BB186" s="717">
        <f t="shared" si="55"/>
        <v>0</v>
      </c>
      <c r="BC186" s="520">
        <f t="shared" si="56"/>
        <v>0</v>
      </c>
      <c r="BD186" s="702">
        <f t="shared" si="54"/>
        <v>0</v>
      </c>
      <c r="BE186" s="702">
        <f t="shared" si="54"/>
        <v>0</v>
      </c>
      <c r="BF186" s="713">
        <v>203</v>
      </c>
      <c r="BG186" s="520">
        <f t="shared" si="57"/>
        <v>0</v>
      </c>
      <c r="BH186" s="520">
        <f t="shared" si="58"/>
        <v>0</v>
      </c>
      <c r="BI186" s="520" t="b">
        <v>0</v>
      </c>
      <c r="BJ186" s="713">
        <v>233</v>
      </c>
      <c r="BM186" s="520" t="b">
        <v>0</v>
      </c>
    </row>
    <row r="187" spans="1:65" ht="24.95" customHeight="1">
      <c r="A187" s="482">
        <v>204</v>
      </c>
      <c r="B187" s="1850"/>
      <c r="C187" s="1850"/>
      <c r="D187" s="1850"/>
      <c r="E187" s="1850"/>
      <c r="F187" s="1850"/>
      <c r="G187" s="1850"/>
      <c r="H187" s="494"/>
      <c r="I187" s="494"/>
      <c r="J187" s="494"/>
      <c r="K187" s="1827"/>
      <c r="L187" s="1827"/>
      <c r="M187" s="1827"/>
      <c r="N187" s="482">
        <v>234</v>
      </c>
      <c r="O187" s="1850"/>
      <c r="P187" s="1850"/>
      <c r="Q187" s="1850"/>
      <c r="R187" s="1850"/>
      <c r="S187" s="1850"/>
      <c r="T187" s="1850"/>
      <c r="U187" s="494"/>
      <c r="V187" s="494"/>
      <c r="W187" s="494"/>
      <c r="X187" s="1827"/>
      <c r="Y187" s="1827"/>
      <c r="Z187" s="18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716">
        <v>175</v>
      </c>
      <c r="BB187" s="717">
        <f t="shared" si="55"/>
        <v>0</v>
      </c>
      <c r="BC187" s="520">
        <f t="shared" si="56"/>
        <v>0</v>
      </c>
      <c r="BD187" s="702">
        <f t="shared" si="54"/>
        <v>0</v>
      </c>
      <c r="BE187" s="702">
        <f t="shared" si="54"/>
        <v>0</v>
      </c>
      <c r="BF187" s="713">
        <v>204</v>
      </c>
      <c r="BG187" s="520">
        <f t="shared" si="57"/>
        <v>0</v>
      </c>
      <c r="BH187" s="520">
        <f t="shared" si="58"/>
        <v>0</v>
      </c>
      <c r="BI187" s="520" t="b">
        <v>0</v>
      </c>
      <c r="BJ187" s="713">
        <v>234</v>
      </c>
      <c r="BM187" s="520" t="b">
        <v>0</v>
      </c>
    </row>
    <row r="188" spans="1:65" ht="24.95" customHeight="1">
      <c r="A188" s="482">
        <v>205</v>
      </c>
      <c r="B188" s="1850"/>
      <c r="C188" s="1850"/>
      <c r="D188" s="1850"/>
      <c r="E188" s="1850"/>
      <c r="F188" s="1850"/>
      <c r="G188" s="1850"/>
      <c r="H188" s="494"/>
      <c r="I188" s="494"/>
      <c r="J188" s="494"/>
      <c r="K188" s="1827"/>
      <c r="L188" s="1827"/>
      <c r="M188" s="1827"/>
      <c r="N188" s="482">
        <v>235</v>
      </c>
      <c r="O188" s="1850"/>
      <c r="P188" s="1850"/>
      <c r="Q188" s="1850"/>
      <c r="R188" s="1850"/>
      <c r="S188" s="1850"/>
      <c r="T188" s="1850"/>
      <c r="U188" s="494"/>
      <c r="V188" s="494"/>
      <c r="W188" s="494"/>
      <c r="X188" s="1827"/>
      <c r="Y188" s="1827"/>
      <c r="Z188" s="18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716">
        <v>176</v>
      </c>
      <c r="BB188" s="717">
        <f t="shared" si="55"/>
        <v>0</v>
      </c>
      <c r="BC188" s="520">
        <f t="shared" si="56"/>
        <v>0</v>
      </c>
      <c r="BD188" s="702">
        <f t="shared" si="54"/>
        <v>0</v>
      </c>
      <c r="BE188" s="702">
        <f t="shared" si="54"/>
        <v>0</v>
      </c>
      <c r="BF188" s="713">
        <v>205</v>
      </c>
      <c r="BG188" s="520">
        <f t="shared" si="57"/>
        <v>0</v>
      </c>
      <c r="BH188" s="520">
        <f t="shared" si="58"/>
        <v>0</v>
      </c>
      <c r="BI188" s="520" t="b">
        <v>0</v>
      </c>
      <c r="BJ188" s="713">
        <v>235</v>
      </c>
      <c r="BM188" s="520" t="b">
        <v>0</v>
      </c>
    </row>
    <row r="189" spans="1:65" ht="24.95" customHeight="1">
      <c r="A189" s="482">
        <v>206</v>
      </c>
      <c r="B189" s="1850"/>
      <c r="C189" s="1850"/>
      <c r="D189" s="1850"/>
      <c r="E189" s="1850"/>
      <c r="F189" s="1850"/>
      <c r="G189" s="1850"/>
      <c r="H189" s="494"/>
      <c r="I189" s="494"/>
      <c r="J189" s="494"/>
      <c r="K189" s="1827"/>
      <c r="L189" s="1827"/>
      <c r="M189" s="1827"/>
      <c r="N189" s="482">
        <v>236</v>
      </c>
      <c r="O189" s="1850"/>
      <c r="P189" s="1850"/>
      <c r="Q189" s="1850"/>
      <c r="R189" s="1850"/>
      <c r="S189" s="1850"/>
      <c r="T189" s="1850"/>
      <c r="U189" s="494"/>
      <c r="V189" s="494"/>
      <c r="W189" s="494"/>
      <c r="X189" s="1827"/>
      <c r="Y189" s="1827"/>
      <c r="Z189" s="18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716">
        <v>177</v>
      </c>
      <c r="BB189" s="717">
        <f t="shared" si="55"/>
        <v>0</v>
      </c>
      <c r="BC189" s="520">
        <f t="shared" si="56"/>
        <v>0</v>
      </c>
      <c r="BD189" s="702">
        <f t="shared" si="54"/>
        <v>0</v>
      </c>
      <c r="BE189" s="702">
        <f t="shared" si="54"/>
        <v>0</v>
      </c>
      <c r="BF189" s="713">
        <v>206</v>
      </c>
      <c r="BG189" s="520">
        <f t="shared" si="57"/>
        <v>0</v>
      </c>
      <c r="BH189" s="520">
        <f t="shared" si="58"/>
        <v>0</v>
      </c>
      <c r="BI189" s="520" t="b">
        <v>0</v>
      </c>
      <c r="BJ189" s="713">
        <v>236</v>
      </c>
      <c r="BM189" s="520" t="b">
        <v>0</v>
      </c>
    </row>
    <row r="190" spans="1:65" ht="24.95" customHeight="1">
      <c r="A190" s="482">
        <v>207</v>
      </c>
      <c r="B190" s="1850"/>
      <c r="C190" s="1850"/>
      <c r="D190" s="1850"/>
      <c r="E190" s="1850"/>
      <c r="F190" s="1850"/>
      <c r="G190" s="1850"/>
      <c r="H190" s="494"/>
      <c r="I190" s="494"/>
      <c r="J190" s="494"/>
      <c r="K190" s="1827"/>
      <c r="L190" s="1827"/>
      <c r="M190" s="1827"/>
      <c r="N190" s="482">
        <v>237</v>
      </c>
      <c r="O190" s="1850"/>
      <c r="P190" s="1850"/>
      <c r="Q190" s="1850"/>
      <c r="R190" s="1850"/>
      <c r="S190" s="1850"/>
      <c r="T190" s="1850"/>
      <c r="U190" s="494"/>
      <c r="V190" s="494"/>
      <c r="W190" s="494"/>
      <c r="X190" s="1827"/>
      <c r="Y190" s="1827"/>
      <c r="Z190" s="18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716">
        <v>178</v>
      </c>
      <c r="BB190" s="717">
        <f t="shared" si="55"/>
        <v>0</v>
      </c>
      <c r="BC190" s="520">
        <f t="shared" si="56"/>
        <v>0</v>
      </c>
      <c r="BD190" s="702">
        <f t="shared" si="54"/>
        <v>0</v>
      </c>
      <c r="BE190" s="702">
        <f t="shared" si="54"/>
        <v>0</v>
      </c>
      <c r="BF190" s="713">
        <v>207</v>
      </c>
      <c r="BG190" s="520">
        <f t="shared" si="57"/>
        <v>0</v>
      </c>
      <c r="BH190" s="520">
        <f t="shared" si="58"/>
        <v>0</v>
      </c>
      <c r="BI190" s="520" t="b">
        <v>0</v>
      </c>
      <c r="BJ190" s="713">
        <v>237</v>
      </c>
      <c r="BM190" s="520" t="b">
        <v>0</v>
      </c>
    </row>
    <row r="191" spans="1:65" ht="24.95" customHeight="1">
      <c r="A191" s="482">
        <v>208</v>
      </c>
      <c r="B191" s="1850"/>
      <c r="C191" s="1850"/>
      <c r="D191" s="1850"/>
      <c r="E191" s="1850"/>
      <c r="F191" s="1850"/>
      <c r="G191" s="1850"/>
      <c r="H191" s="494"/>
      <c r="I191" s="494"/>
      <c r="J191" s="494"/>
      <c r="K191" s="1827"/>
      <c r="L191" s="1827"/>
      <c r="M191" s="1827"/>
      <c r="N191" s="482">
        <v>238</v>
      </c>
      <c r="O191" s="1850"/>
      <c r="P191" s="1850"/>
      <c r="Q191" s="1850"/>
      <c r="R191" s="1850"/>
      <c r="S191" s="1850"/>
      <c r="T191" s="1850"/>
      <c r="U191" s="494"/>
      <c r="V191" s="494"/>
      <c r="W191" s="494"/>
      <c r="X191" s="1827"/>
      <c r="Y191" s="1827"/>
      <c r="Z191" s="18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716">
        <v>179</v>
      </c>
      <c r="BB191" s="717">
        <f t="shared" si="55"/>
        <v>0</v>
      </c>
      <c r="BC191" s="520">
        <f t="shared" si="56"/>
        <v>0</v>
      </c>
      <c r="BD191" s="702">
        <f t="shared" si="54"/>
        <v>0</v>
      </c>
      <c r="BE191" s="702">
        <f t="shared" si="54"/>
        <v>0</v>
      </c>
      <c r="BF191" s="713">
        <v>208</v>
      </c>
      <c r="BG191" s="520">
        <f t="shared" si="57"/>
        <v>0</v>
      </c>
      <c r="BH191" s="520">
        <f t="shared" si="58"/>
        <v>0</v>
      </c>
      <c r="BI191" s="520" t="b">
        <v>0</v>
      </c>
      <c r="BJ191" s="713">
        <v>238</v>
      </c>
      <c r="BM191" s="520" t="b">
        <v>0</v>
      </c>
    </row>
    <row r="192" spans="1:65" ht="24.95" customHeight="1">
      <c r="A192" s="482">
        <v>209</v>
      </c>
      <c r="B192" s="1850"/>
      <c r="C192" s="1850"/>
      <c r="D192" s="1850"/>
      <c r="E192" s="1850"/>
      <c r="F192" s="1850"/>
      <c r="G192" s="1850"/>
      <c r="H192" s="494"/>
      <c r="I192" s="494"/>
      <c r="J192" s="494"/>
      <c r="K192" s="1827"/>
      <c r="L192" s="1827"/>
      <c r="M192" s="1827"/>
      <c r="N192" s="482">
        <v>239</v>
      </c>
      <c r="O192" s="1850"/>
      <c r="P192" s="1850"/>
      <c r="Q192" s="1850"/>
      <c r="R192" s="1850"/>
      <c r="S192" s="1850"/>
      <c r="T192" s="1850"/>
      <c r="U192" s="494"/>
      <c r="V192" s="494"/>
      <c r="W192" s="494"/>
      <c r="X192" s="1827"/>
      <c r="Y192" s="1827"/>
      <c r="Z192" s="18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716">
        <v>180</v>
      </c>
      <c r="BB192" s="717">
        <f t="shared" si="55"/>
        <v>0</v>
      </c>
      <c r="BC192" s="520">
        <f t="shared" si="56"/>
        <v>0</v>
      </c>
      <c r="BD192" s="702">
        <f t="shared" si="54"/>
        <v>0</v>
      </c>
      <c r="BE192" s="702">
        <f t="shared" si="54"/>
        <v>0</v>
      </c>
      <c r="BF192" s="713">
        <v>209</v>
      </c>
      <c r="BG192" s="520">
        <f t="shared" si="57"/>
        <v>0</v>
      </c>
      <c r="BH192" s="520">
        <f t="shared" si="58"/>
        <v>0</v>
      </c>
      <c r="BI192" s="520" t="b">
        <v>0</v>
      </c>
      <c r="BJ192" s="713">
        <v>239</v>
      </c>
      <c r="BM192" s="520" t="b">
        <v>0</v>
      </c>
    </row>
    <row r="193" spans="1:65" ht="24.95" customHeight="1">
      <c r="A193" s="482">
        <v>210</v>
      </c>
      <c r="B193" s="1850"/>
      <c r="C193" s="1850"/>
      <c r="D193" s="1850"/>
      <c r="E193" s="1850"/>
      <c r="F193" s="1850"/>
      <c r="G193" s="1850"/>
      <c r="H193" s="494"/>
      <c r="I193" s="494"/>
      <c r="J193" s="494"/>
      <c r="K193" s="1827"/>
      <c r="L193" s="1827"/>
      <c r="M193" s="1827"/>
      <c r="N193" s="482">
        <v>240</v>
      </c>
      <c r="O193" s="1850"/>
      <c r="P193" s="1850"/>
      <c r="Q193" s="1850"/>
      <c r="R193" s="1850"/>
      <c r="S193" s="1850"/>
      <c r="T193" s="1850"/>
      <c r="U193" s="494"/>
      <c r="V193" s="494"/>
      <c r="W193" s="494"/>
      <c r="X193" s="1827"/>
      <c r="Y193" s="1827"/>
      <c r="Z193" s="18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716">
        <v>181</v>
      </c>
      <c r="BB193" s="717">
        <f t="shared" si="55"/>
        <v>0</v>
      </c>
      <c r="BC193" s="520">
        <f t="shared" si="56"/>
        <v>0</v>
      </c>
      <c r="BD193" s="702">
        <f t="shared" si="54"/>
        <v>0</v>
      </c>
      <c r="BE193" s="702">
        <f t="shared" si="54"/>
        <v>0</v>
      </c>
      <c r="BF193" s="713">
        <v>210</v>
      </c>
      <c r="BG193" s="520">
        <f t="shared" si="57"/>
        <v>0</v>
      </c>
      <c r="BH193" s="520">
        <f t="shared" si="58"/>
        <v>0</v>
      </c>
      <c r="BI193" s="520" t="b">
        <v>0</v>
      </c>
      <c r="BJ193" s="713">
        <v>240</v>
      </c>
      <c r="BM193" s="520" t="b">
        <v>0</v>
      </c>
    </row>
    <row r="194" spans="1:65" ht="24.95" customHeight="1">
      <c r="A194" s="482">
        <v>211</v>
      </c>
      <c r="B194" s="1850"/>
      <c r="C194" s="1850"/>
      <c r="D194" s="1850"/>
      <c r="E194" s="1850"/>
      <c r="F194" s="1850"/>
      <c r="G194" s="1850"/>
      <c r="H194" s="494"/>
      <c r="I194" s="494"/>
      <c r="J194" s="494"/>
      <c r="K194" s="1827"/>
      <c r="L194" s="1827"/>
      <c r="M194" s="1827"/>
      <c r="N194" s="482">
        <v>241</v>
      </c>
      <c r="O194" s="1850"/>
      <c r="P194" s="1850"/>
      <c r="Q194" s="1850"/>
      <c r="R194" s="1850"/>
      <c r="S194" s="1850"/>
      <c r="T194" s="1850"/>
      <c r="U194" s="494"/>
      <c r="V194" s="494"/>
      <c r="W194" s="494"/>
      <c r="X194" s="1827"/>
      <c r="Y194" s="1827"/>
      <c r="Z194" s="18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716">
        <v>182</v>
      </c>
      <c r="BB194" s="717">
        <f t="shared" si="55"/>
        <v>0</v>
      </c>
      <c r="BC194" s="520">
        <f t="shared" si="56"/>
        <v>0</v>
      </c>
      <c r="BD194" s="702">
        <f t="shared" si="54"/>
        <v>0</v>
      </c>
      <c r="BE194" s="702">
        <f t="shared" si="54"/>
        <v>0</v>
      </c>
      <c r="BF194" s="713">
        <v>211</v>
      </c>
      <c r="BG194" s="520">
        <f t="shared" si="57"/>
        <v>0</v>
      </c>
      <c r="BH194" s="520">
        <f t="shared" si="58"/>
        <v>0</v>
      </c>
      <c r="BI194" s="520" t="b">
        <v>0</v>
      </c>
      <c r="BJ194" s="713">
        <v>241</v>
      </c>
      <c r="BM194" s="520" t="b">
        <v>0</v>
      </c>
    </row>
    <row r="195" spans="1:65" ht="24.95" customHeight="1">
      <c r="A195" s="482">
        <v>212</v>
      </c>
      <c r="B195" s="1850"/>
      <c r="C195" s="1850"/>
      <c r="D195" s="1850"/>
      <c r="E195" s="1850"/>
      <c r="F195" s="1850"/>
      <c r="G195" s="1850"/>
      <c r="H195" s="494"/>
      <c r="I195" s="494"/>
      <c r="J195" s="494"/>
      <c r="K195" s="1827"/>
      <c r="L195" s="1827"/>
      <c r="M195" s="1827"/>
      <c r="N195" s="482">
        <v>242</v>
      </c>
      <c r="O195" s="1850"/>
      <c r="P195" s="1850"/>
      <c r="Q195" s="1850"/>
      <c r="R195" s="1850"/>
      <c r="S195" s="1850"/>
      <c r="T195" s="1850"/>
      <c r="U195" s="494"/>
      <c r="V195" s="494"/>
      <c r="W195" s="494"/>
      <c r="X195" s="1827"/>
      <c r="Y195" s="1827"/>
      <c r="Z195" s="18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716">
        <v>183</v>
      </c>
      <c r="BB195" s="717">
        <f t="shared" si="55"/>
        <v>0</v>
      </c>
      <c r="BC195" s="520">
        <f t="shared" si="56"/>
        <v>0</v>
      </c>
      <c r="BD195" s="702">
        <f t="shared" si="54"/>
        <v>0</v>
      </c>
      <c r="BE195" s="702">
        <f t="shared" si="54"/>
        <v>0</v>
      </c>
      <c r="BF195" s="713">
        <v>212</v>
      </c>
      <c r="BG195" s="520">
        <f t="shared" si="57"/>
        <v>0</v>
      </c>
      <c r="BH195" s="520">
        <f t="shared" si="58"/>
        <v>0</v>
      </c>
      <c r="BI195" s="520" t="b">
        <v>0</v>
      </c>
      <c r="BJ195" s="713">
        <v>242</v>
      </c>
      <c r="BM195" s="520" t="b">
        <v>0</v>
      </c>
    </row>
    <row r="196" spans="1:65" ht="24.95" customHeight="1">
      <c r="A196" s="482">
        <v>213</v>
      </c>
      <c r="B196" s="1850"/>
      <c r="C196" s="1850"/>
      <c r="D196" s="1850"/>
      <c r="E196" s="1850"/>
      <c r="F196" s="1850"/>
      <c r="G196" s="1850"/>
      <c r="H196" s="494"/>
      <c r="I196" s="494"/>
      <c r="J196" s="494"/>
      <c r="K196" s="1827"/>
      <c r="L196" s="1827"/>
      <c r="M196" s="1827"/>
      <c r="N196" s="482">
        <v>243</v>
      </c>
      <c r="O196" s="1850"/>
      <c r="P196" s="1850"/>
      <c r="Q196" s="1850"/>
      <c r="R196" s="1850"/>
      <c r="S196" s="1850"/>
      <c r="T196" s="1850"/>
      <c r="U196" s="494"/>
      <c r="V196" s="494"/>
      <c r="W196" s="494"/>
      <c r="X196" s="1827"/>
      <c r="Y196" s="1827"/>
      <c r="Z196" s="18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716">
        <v>184</v>
      </c>
      <c r="BB196" s="717">
        <f t="shared" si="55"/>
        <v>0</v>
      </c>
      <c r="BC196" s="520">
        <f t="shared" si="56"/>
        <v>0</v>
      </c>
      <c r="BD196" s="702">
        <f t="shared" si="54"/>
        <v>0</v>
      </c>
      <c r="BE196" s="702">
        <f t="shared" si="54"/>
        <v>0</v>
      </c>
      <c r="BF196" s="713">
        <v>213</v>
      </c>
      <c r="BG196" s="520">
        <f t="shared" si="57"/>
        <v>0</v>
      </c>
      <c r="BH196" s="520">
        <f t="shared" si="58"/>
        <v>0</v>
      </c>
      <c r="BI196" s="520" t="b">
        <v>0</v>
      </c>
      <c r="BJ196" s="713">
        <v>243</v>
      </c>
      <c r="BM196" s="520" t="b">
        <v>0</v>
      </c>
    </row>
    <row r="197" spans="1:65" ht="24.95" customHeight="1">
      <c r="A197" s="482">
        <v>214</v>
      </c>
      <c r="B197" s="1850"/>
      <c r="C197" s="1850"/>
      <c r="D197" s="1850"/>
      <c r="E197" s="1850"/>
      <c r="F197" s="1850"/>
      <c r="G197" s="1850"/>
      <c r="H197" s="494"/>
      <c r="I197" s="494"/>
      <c r="J197" s="494"/>
      <c r="K197" s="1827"/>
      <c r="L197" s="1827"/>
      <c r="M197" s="1827"/>
      <c r="N197" s="482">
        <v>244</v>
      </c>
      <c r="O197" s="1850"/>
      <c r="P197" s="1850"/>
      <c r="Q197" s="1850"/>
      <c r="R197" s="1850"/>
      <c r="S197" s="1850"/>
      <c r="T197" s="1850"/>
      <c r="U197" s="494"/>
      <c r="V197" s="494"/>
      <c r="W197" s="494"/>
      <c r="X197" s="1827"/>
      <c r="Y197" s="1827"/>
      <c r="Z197" s="18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716">
        <v>185</v>
      </c>
      <c r="BB197" s="717">
        <f t="shared" si="55"/>
        <v>0</v>
      </c>
      <c r="BC197" s="520">
        <f t="shared" si="56"/>
        <v>0</v>
      </c>
      <c r="BD197" s="702">
        <f t="shared" si="54"/>
        <v>0</v>
      </c>
      <c r="BE197" s="702">
        <f t="shared" si="54"/>
        <v>0</v>
      </c>
      <c r="BF197" s="713">
        <v>214</v>
      </c>
      <c r="BG197" s="520">
        <f t="shared" si="57"/>
        <v>0</v>
      </c>
      <c r="BH197" s="520">
        <f t="shared" si="58"/>
        <v>0</v>
      </c>
      <c r="BI197" s="520" t="b">
        <v>0</v>
      </c>
      <c r="BJ197" s="713">
        <v>244</v>
      </c>
      <c r="BM197" s="520" t="b">
        <v>0</v>
      </c>
    </row>
    <row r="198" spans="1:65" ht="24.95" customHeight="1">
      <c r="A198" s="482">
        <v>215</v>
      </c>
      <c r="B198" s="1850"/>
      <c r="C198" s="1850"/>
      <c r="D198" s="1850"/>
      <c r="E198" s="1850"/>
      <c r="F198" s="1850"/>
      <c r="G198" s="1850"/>
      <c r="H198" s="494"/>
      <c r="I198" s="494"/>
      <c r="J198" s="494"/>
      <c r="K198" s="1827"/>
      <c r="L198" s="1827"/>
      <c r="M198" s="1827"/>
      <c r="N198" s="482">
        <v>245</v>
      </c>
      <c r="O198" s="1850"/>
      <c r="P198" s="1850"/>
      <c r="Q198" s="1850"/>
      <c r="R198" s="1850"/>
      <c r="S198" s="1850"/>
      <c r="T198" s="1850"/>
      <c r="U198" s="494"/>
      <c r="V198" s="494"/>
      <c r="W198" s="494"/>
      <c r="X198" s="1827"/>
      <c r="Y198" s="1827"/>
      <c r="Z198" s="18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716">
        <v>186</v>
      </c>
      <c r="BB198" s="717">
        <f t="shared" si="55"/>
        <v>0</v>
      </c>
      <c r="BC198" s="520">
        <f t="shared" si="56"/>
        <v>0</v>
      </c>
      <c r="BD198" s="702">
        <f t="shared" si="54"/>
        <v>0</v>
      </c>
      <c r="BE198" s="702">
        <f t="shared" si="54"/>
        <v>0</v>
      </c>
      <c r="BF198" s="713">
        <v>215</v>
      </c>
      <c r="BG198" s="520">
        <f t="shared" si="57"/>
        <v>0</v>
      </c>
      <c r="BH198" s="520">
        <f t="shared" si="58"/>
        <v>0</v>
      </c>
      <c r="BI198" s="520" t="b">
        <v>0</v>
      </c>
      <c r="BJ198" s="713">
        <v>245</v>
      </c>
      <c r="BM198" s="520" t="b">
        <v>0</v>
      </c>
    </row>
    <row r="199" spans="1:65" ht="24.95" customHeight="1">
      <c r="A199" s="482">
        <v>216</v>
      </c>
      <c r="B199" s="1850"/>
      <c r="C199" s="1850"/>
      <c r="D199" s="1850"/>
      <c r="E199" s="1850"/>
      <c r="F199" s="1850"/>
      <c r="G199" s="1850"/>
      <c r="H199" s="494"/>
      <c r="I199" s="494"/>
      <c r="J199" s="494"/>
      <c r="K199" s="1827"/>
      <c r="L199" s="1827"/>
      <c r="M199" s="1827"/>
      <c r="N199" s="482">
        <v>246</v>
      </c>
      <c r="O199" s="1850"/>
      <c r="P199" s="1850"/>
      <c r="Q199" s="1850"/>
      <c r="R199" s="1850"/>
      <c r="S199" s="1850"/>
      <c r="T199" s="1850"/>
      <c r="U199" s="494"/>
      <c r="V199" s="494"/>
      <c r="W199" s="494"/>
      <c r="X199" s="1827"/>
      <c r="Y199" s="1827"/>
      <c r="Z199" s="18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716">
        <v>187</v>
      </c>
      <c r="BB199" s="717">
        <f t="shared" si="55"/>
        <v>0</v>
      </c>
      <c r="BC199" s="520">
        <f t="shared" si="56"/>
        <v>0</v>
      </c>
      <c r="BD199" s="702">
        <f t="shared" si="54"/>
        <v>0</v>
      </c>
      <c r="BE199" s="702">
        <f t="shared" si="54"/>
        <v>0</v>
      </c>
      <c r="BF199" s="713">
        <v>216</v>
      </c>
      <c r="BG199" s="520">
        <f t="shared" si="57"/>
        <v>0</v>
      </c>
      <c r="BH199" s="520">
        <f t="shared" si="58"/>
        <v>0</v>
      </c>
      <c r="BI199" s="520" t="b">
        <v>0</v>
      </c>
      <c r="BJ199" s="713">
        <v>246</v>
      </c>
      <c r="BM199" s="520" t="b">
        <v>0</v>
      </c>
    </row>
    <row r="200" spans="1:65" ht="24.95" customHeight="1">
      <c r="A200" s="482">
        <v>217</v>
      </c>
      <c r="B200" s="1850"/>
      <c r="C200" s="1850"/>
      <c r="D200" s="1850"/>
      <c r="E200" s="1850"/>
      <c r="F200" s="1850"/>
      <c r="G200" s="1850"/>
      <c r="H200" s="494"/>
      <c r="I200" s="494"/>
      <c r="J200" s="494"/>
      <c r="K200" s="1827"/>
      <c r="L200" s="1827"/>
      <c r="M200" s="1827"/>
      <c r="N200" s="482">
        <v>247</v>
      </c>
      <c r="O200" s="1850"/>
      <c r="P200" s="1850"/>
      <c r="Q200" s="1850"/>
      <c r="R200" s="1850"/>
      <c r="S200" s="1850"/>
      <c r="T200" s="1850"/>
      <c r="U200" s="494"/>
      <c r="V200" s="494"/>
      <c r="W200" s="494"/>
      <c r="X200" s="1827"/>
      <c r="Y200" s="1827"/>
      <c r="Z200" s="18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716">
        <v>188</v>
      </c>
      <c r="BB200" s="717">
        <f t="shared" si="55"/>
        <v>0</v>
      </c>
      <c r="BC200" s="520">
        <f t="shared" si="56"/>
        <v>0</v>
      </c>
      <c r="BD200" s="702">
        <f t="shared" si="54"/>
        <v>0</v>
      </c>
      <c r="BE200" s="702">
        <f t="shared" si="54"/>
        <v>0</v>
      </c>
      <c r="BF200" s="713">
        <v>217</v>
      </c>
      <c r="BG200" s="520">
        <f t="shared" si="57"/>
        <v>0</v>
      </c>
      <c r="BH200" s="520">
        <f t="shared" si="58"/>
        <v>0</v>
      </c>
      <c r="BI200" s="520" t="b">
        <v>0</v>
      </c>
      <c r="BJ200" s="713">
        <v>247</v>
      </c>
      <c r="BM200" s="520" t="b">
        <v>0</v>
      </c>
    </row>
    <row r="201" spans="1:65" ht="24.95" customHeight="1">
      <c r="A201" s="482">
        <v>218</v>
      </c>
      <c r="B201" s="1850"/>
      <c r="C201" s="1850"/>
      <c r="D201" s="1850"/>
      <c r="E201" s="1850"/>
      <c r="F201" s="1850"/>
      <c r="G201" s="1850"/>
      <c r="H201" s="494"/>
      <c r="I201" s="494"/>
      <c r="J201" s="494"/>
      <c r="K201" s="1827"/>
      <c r="L201" s="1827"/>
      <c r="M201" s="1827"/>
      <c r="N201" s="482">
        <v>248</v>
      </c>
      <c r="O201" s="1850"/>
      <c r="P201" s="1850"/>
      <c r="Q201" s="1850"/>
      <c r="R201" s="1850"/>
      <c r="S201" s="1850"/>
      <c r="T201" s="1850"/>
      <c r="U201" s="494"/>
      <c r="V201" s="494"/>
      <c r="W201" s="494"/>
      <c r="X201" s="1827"/>
      <c r="Y201" s="1827"/>
      <c r="Z201" s="18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716">
        <v>189</v>
      </c>
      <c r="BB201" s="717">
        <f t="shared" si="55"/>
        <v>0</v>
      </c>
      <c r="BC201" s="520">
        <f t="shared" si="56"/>
        <v>0</v>
      </c>
      <c r="BD201" s="702">
        <f t="shared" si="54"/>
        <v>0</v>
      </c>
      <c r="BE201" s="702">
        <f t="shared" si="54"/>
        <v>0</v>
      </c>
      <c r="BF201" s="713">
        <v>218</v>
      </c>
      <c r="BG201" s="520">
        <f t="shared" si="57"/>
        <v>0</v>
      </c>
      <c r="BH201" s="520">
        <f t="shared" si="58"/>
        <v>0</v>
      </c>
      <c r="BI201" s="520" t="b">
        <v>0</v>
      </c>
      <c r="BJ201" s="713">
        <v>248</v>
      </c>
      <c r="BM201" s="520" t="b">
        <v>0</v>
      </c>
    </row>
    <row r="202" spans="1:65" ht="24.95" customHeight="1">
      <c r="A202" s="482">
        <v>219</v>
      </c>
      <c r="B202" s="1850"/>
      <c r="C202" s="1850"/>
      <c r="D202" s="1850"/>
      <c r="E202" s="1850"/>
      <c r="F202" s="1850"/>
      <c r="G202" s="1850"/>
      <c r="H202" s="494"/>
      <c r="I202" s="494"/>
      <c r="J202" s="494"/>
      <c r="K202" s="1827"/>
      <c r="L202" s="1827"/>
      <c r="M202" s="1827"/>
      <c r="N202" s="482">
        <v>249</v>
      </c>
      <c r="O202" s="1850"/>
      <c r="P202" s="1850"/>
      <c r="Q202" s="1850"/>
      <c r="R202" s="1850"/>
      <c r="S202" s="1850"/>
      <c r="T202" s="1850"/>
      <c r="U202" s="494"/>
      <c r="V202" s="494"/>
      <c r="W202" s="494"/>
      <c r="X202" s="1827"/>
      <c r="Y202" s="1827"/>
      <c r="Z202" s="18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716">
        <v>190</v>
      </c>
      <c r="BB202" s="717">
        <f t="shared" si="55"/>
        <v>0</v>
      </c>
      <c r="BC202" s="520">
        <f t="shared" si="56"/>
        <v>0</v>
      </c>
      <c r="BD202" s="702">
        <f t="shared" si="54"/>
        <v>0</v>
      </c>
      <c r="BE202" s="702">
        <f t="shared" si="54"/>
        <v>0</v>
      </c>
      <c r="BF202" s="713">
        <v>219</v>
      </c>
      <c r="BG202" s="520">
        <f t="shared" si="57"/>
        <v>0</v>
      </c>
      <c r="BH202" s="520">
        <f t="shared" si="58"/>
        <v>0</v>
      </c>
      <c r="BI202" s="520" t="b">
        <v>0</v>
      </c>
      <c r="BJ202" s="713">
        <v>249</v>
      </c>
      <c r="BM202" s="520" t="b">
        <v>0</v>
      </c>
    </row>
    <row r="203" spans="1:65" ht="24.95" customHeight="1">
      <c r="A203" s="482">
        <v>220</v>
      </c>
      <c r="B203" s="1850"/>
      <c r="C203" s="1850"/>
      <c r="D203" s="1850"/>
      <c r="E203" s="1850"/>
      <c r="F203" s="1850"/>
      <c r="G203" s="1850"/>
      <c r="H203" s="494"/>
      <c r="I203" s="494"/>
      <c r="J203" s="494"/>
      <c r="K203" s="1827"/>
      <c r="L203" s="1827"/>
      <c r="M203" s="1827"/>
      <c r="N203" s="482">
        <v>250</v>
      </c>
      <c r="O203" s="1850"/>
      <c r="P203" s="1850"/>
      <c r="Q203" s="1850"/>
      <c r="R203" s="1850"/>
      <c r="S203" s="1850"/>
      <c r="T203" s="1850"/>
      <c r="U203" s="494"/>
      <c r="V203" s="494"/>
      <c r="W203" s="494"/>
      <c r="X203" s="1827"/>
      <c r="Y203" s="1827"/>
      <c r="Z203" s="18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716">
        <v>191</v>
      </c>
      <c r="BB203" s="717">
        <f t="shared" si="55"/>
        <v>0</v>
      </c>
      <c r="BC203" s="520">
        <f t="shared" si="56"/>
        <v>0</v>
      </c>
      <c r="BD203" s="702">
        <f t="shared" si="54"/>
        <v>0</v>
      </c>
      <c r="BE203" s="702">
        <f t="shared" si="54"/>
        <v>0</v>
      </c>
      <c r="BF203" s="713">
        <v>220</v>
      </c>
      <c r="BG203" s="520">
        <f t="shared" si="57"/>
        <v>0</v>
      </c>
      <c r="BH203" s="520">
        <f t="shared" si="58"/>
        <v>0</v>
      </c>
      <c r="BI203" s="520" t="b">
        <v>0</v>
      </c>
      <c r="BJ203" s="713">
        <v>250</v>
      </c>
      <c r="BM203" s="520" t="b">
        <v>0</v>
      </c>
    </row>
    <row r="204" spans="1:65" ht="24.95" customHeight="1">
      <c r="A204" s="482">
        <v>221</v>
      </c>
      <c r="B204" s="1850"/>
      <c r="C204" s="1850"/>
      <c r="D204" s="1850"/>
      <c r="E204" s="1850"/>
      <c r="F204" s="1850"/>
      <c r="G204" s="1850"/>
      <c r="H204" s="494"/>
      <c r="I204" s="494"/>
      <c r="J204" s="494"/>
      <c r="K204" s="1827"/>
      <c r="L204" s="1827"/>
      <c r="M204" s="1827"/>
      <c r="N204" s="482">
        <v>251</v>
      </c>
      <c r="O204" s="1850"/>
      <c r="P204" s="1850"/>
      <c r="Q204" s="1850"/>
      <c r="R204" s="1850"/>
      <c r="S204" s="1850"/>
      <c r="T204" s="1850"/>
      <c r="U204" s="494"/>
      <c r="V204" s="494"/>
      <c r="W204" s="494"/>
      <c r="X204" s="1827"/>
      <c r="Y204" s="1827"/>
      <c r="Z204" s="18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716">
        <v>192</v>
      </c>
      <c r="BB204" s="717">
        <f t="shared" si="55"/>
        <v>0</v>
      </c>
      <c r="BC204" s="520">
        <f t="shared" si="56"/>
        <v>0</v>
      </c>
      <c r="BD204" s="702">
        <f t="shared" si="54"/>
        <v>0</v>
      </c>
      <c r="BE204" s="702">
        <f t="shared" si="54"/>
        <v>0</v>
      </c>
      <c r="BF204" s="713">
        <v>221</v>
      </c>
      <c r="BG204" s="520">
        <f t="shared" si="57"/>
        <v>0</v>
      </c>
      <c r="BH204" s="520">
        <f t="shared" si="58"/>
        <v>0</v>
      </c>
      <c r="BI204" s="520" t="b">
        <v>0</v>
      </c>
      <c r="BJ204" s="713">
        <v>251</v>
      </c>
      <c r="BM204" s="520" t="b">
        <v>0</v>
      </c>
    </row>
    <row r="205" spans="1:65" ht="24.95" customHeight="1">
      <c r="A205" s="482">
        <v>222</v>
      </c>
      <c r="B205" s="1850"/>
      <c r="C205" s="1850"/>
      <c r="D205" s="1850"/>
      <c r="E205" s="1850"/>
      <c r="F205" s="1850"/>
      <c r="G205" s="1850"/>
      <c r="H205" s="494"/>
      <c r="I205" s="494"/>
      <c r="J205" s="494"/>
      <c r="K205" s="1827"/>
      <c r="L205" s="1827"/>
      <c r="M205" s="1827"/>
      <c r="N205" s="482">
        <v>252</v>
      </c>
      <c r="O205" s="1850"/>
      <c r="P205" s="1850"/>
      <c r="Q205" s="1850"/>
      <c r="R205" s="1850"/>
      <c r="S205" s="1850"/>
      <c r="T205" s="1850"/>
      <c r="U205" s="494"/>
      <c r="V205" s="494"/>
      <c r="W205" s="494"/>
      <c r="X205" s="1827"/>
      <c r="Y205" s="1827"/>
      <c r="Z205" s="18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716">
        <v>193</v>
      </c>
      <c r="BB205" s="717">
        <f t="shared" si="55"/>
        <v>0</v>
      </c>
      <c r="BC205" s="520">
        <f t="shared" si="56"/>
        <v>0</v>
      </c>
      <c r="BD205" s="702">
        <f t="shared" si="54"/>
        <v>0</v>
      </c>
      <c r="BE205" s="702">
        <f t="shared" si="54"/>
        <v>0</v>
      </c>
      <c r="BF205" s="713">
        <v>222</v>
      </c>
      <c r="BG205" s="520">
        <f t="shared" si="57"/>
        <v>0</v>
      </c>
      <c r="BH205" s="520">
        <f t="shared" si="58"/>
        <v>0</v>
      </c>
      <c r="BI205" s="520" t="b">
        <v>0</v>
      </c>
      <c r="BJ205" s="713">
        <v>252</v>
      </c>
      <c r="BM205" s="520" t="b">
        <v>0</v>
      </c>
    </row>
    <row r="206" spans="1:65" ht="24.95" customHeight="1">
      <c r="A206" s="482">
        <v>223</v>
      </c>
      <c r="B206" s="1850"/>
      <c r="C206" s="1850"/>
      <c r="D206" s="1850"/>
      <c r="E206" s="1850"/>
      <c r="F206" s="1850"/>
      <c r="G206" s="1850"/>
      <c r="H206" s="494"/>
      <c r="I206" s="494"/>
      <c r="J206" s="494"/>
      <c r="K206" s="1827"/>
      <c r="L206" s="1827"/>
      <c r="M206" s="1827"/>
      <c r="N206" s="482">
        <v>253</v>
      </c>
      <c r="O206" s="1850"/>
      <c r="P206" s="1850"/>
      <c r="Q206" s="1850"/>
      <c r="R206" s="1850"/>
      <c r="S206" s="1850"/>
      <c r="T206" s="1850"/>
      <c r="U206" s="494"/>
      <c r="V206" s="494"/>
      <c r="W206" s="494"/>
      <c r="X206" s="1827"/>
      <c r="Y206" s="1827"/>
      <c r="Z206" s="18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716">
        <v>194</v>
      </c>
      <c r="BB206" s="717">
        <f t="shared" si="55"/>
        <v>0</v>
      </c>
      <c r="BC206" s="520">
        <f t="shared" si="56"/>
        <v>0</v>
      </c>
      <c r="BD206" s="702">
        <f t="shared" si="54"/>
        <v>0</v>
      </c>
      <c r="BE206" s="702">
        <f t="shared" si="54"/>
        <v>0</v>
      </c>
      <c r="BF206" s="713">
        <v>223</v>
      </c>
      <c r="BG206" s="520">
        <f t="shared" si="57"/>
        <v>0</v>
      </c>
      <c r="BH206" s="520">
        <f t="shared" si="58"/>
        <v>0</v>
      </c>
      <c r="BI206" s="520" t="b">
        <v>0</v>
      </c>
      <c r="BJ206" s="713">
        <v>253</v>
      </c>
      <c r="BM206" s="520" t="b">
        <v>0</v>
      </c>
    </row>
    <row r="207" spans="1:65" ht="24.95" customHeight="1">
      <c r="A207" s="482">
        <v>224</v>
      </c>
      <c r="B207" s="1850"/>
      <c r="C207" s="1850"/>
      <c r="D207" s="1850"/>
      <c r="E207" s="1850"/>
      <c r="F207" s="1850"/>
      <c r="G207" s="1850"/>
      <c r="H207" s="494"/>
      <c r="I207" s="494"/>
      <c r="J207" s="494"/>
      <c r="K207" s="1827"/>
      <c r="L207" s="1827"/>
      <c r="M207" s="1827"/>
      <c r="N207" s="482">
        <v>254</v>
      </c>
      <c r="O207" s="1850"/>
      <c r="P207" s="1850"/>
      <c r="Q207" s="1850"/>
      <c r="R207" s="1850"/>
      <c r="S207" s="1850"/>
      <c r="T207" s="1850"/>
      <c r="U207" s="494"/>
      <c r="V207" s="494"/>
      <c r="W207" s="494"/>
      <c r="X207" s="1827"/>
      <c r="Y207" s="1827"/>
      <c r="Z207" s="18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716">
        <v>195</v>
      </c>
      <c r="BB207" s="717">
        <f t="shared" si="55"/>
        <v>0</v>
      </c>
      <c r="BC207" s="520">
        <f t="shared" si="56"/>
        <v>0</v>
      </c>
      <c r="BD207" s="702">
        <f t="shared" si="54"/>
        <v>0</v>
      </c>
      <c r="BE207" s="702">
        <f t="shared" si="54"/>
        <v>0</v>
      </c>
      <c r="BF207" s="713">
        <v>224</v>
      </c>
      <c r="BG207" s="520">
        <f t="shared" si="57"/>
        <v>0</v>
      </c>
      <c r="BH207" s="520">
        <f t="shared" si="58"/>
        <v>0</v>
      </c>
      <c r="BI207" s="520" t="b">
        <v>0</v>
      </c>
      <c r="BJ207" s="713">
        <v>254</v>
      </c>
      <c r="BM207" s="520" t="b">
        <v>0</v>
      </c>
    </row>
    <row r="208" spans="1:65" ht="24.95" customHeight="1">
      <c r="A208" s="482">
        <v>225</v>
      </c>
      <c r="B208" s="1850"/>
      <c r="C208" s="1850"/>
      <c r="D208" s="1850"/>
      <c r="E208" s="1850"/>
      <c r="F208" s="1850"/>
      <c r="G208" s="1850"/>
      <c r="H208" s="494"/>
      <c r="I208" s="494"/>
      <c r="J208" s="494"/>
      <c r="K208" s="1827"/>
      <c r="L208" s="1827"/>
      <c r="M208" s="1827"/>
      <c r="N208" s="482">
        <v>255</v>
      </c>
      <c r="O208" s="1850"/>
      <c r="P208" s="1850"/>
      <c r="Q208" s="1850"/>
      <c r="R208" s="1850"/>
      <c r="S208" s="1850"/>
      <c r="T208" s="1850"/>
      <c r="U208" s="494"/>
      <c r="V208" s="494"/>
      <c r="W208" s="494"/>
      <c r="X208" s="1827"/>
      <c r="Y208" s="1827"/>
      <c r="Z208" s="18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716">
        <v>196</v>
      </c>
      <c r="BB208" s="717">
        <f t="shared" si="55"/>
        <v>0</v>
      </c>
      <c r="BC208" s="520">
        <f t="shared" si="56"/>
        <v>0</v>
      </c>
      <c r="BD208" s="702">
        <f t="shared" si="54"/>
        <v>0</v>
      </c>
      <c r="BE208" s="702">
        <f t="shared" si="54"/>
        <v>0</v>
      </c>
      <c r="BF208" s="713">
        <v>225</v>
      </c>
      <c r="BG208" s="520">
        <f t="shared" si="57"/>
        <v>0</v>
      </c>
      <c r="BH208" s="520">
        <f t="shared" si="58"/>
        <v>0</v>
      </c>
      <c r="BI208" s="520" t="b">
        <v>0</v>
      </c>
      <c r="BJ208" s="713">
        <v>255</v>
      </c>
      <c r="BM208" s="520" t="b">
        <v>0</v>
      </c>
    </row>
    <row r="209" spans="1:65" ht="24.95" customHeight="1">
      <c r="A209" s="482">
        <v>226</v>
      </c>
      <c r="B209" s="1850"/>
      <c r="C209" s="1850"/>
      <c r="D209" s="1850"/>
      <c r="E209" s="1850"/>
      <c r="F209" s="1850"/>
      <c r="G209" s="1850"/>
      <c r="H209" s="494"/>
      <c r="I209" s="494"/>
      <c r="J209" s="494"/>
      <c r="K209" s="1827"/>
      <c r="L209" s="1827"/>
      <c r="M209" s="1827"/>
      <c r="N209" s="482">
        <v>256</v>
      </c>
      <c r="O209" s="1850"/>
      <c r="P209" s="1850"/>
      <c r="Q209" s="1850"/>
      <c r="R209" s="1850"/>
      <c r="S209" s="1850"/>
      <c r="T209" s="1850"/>
      <c r="U209" s="494"/>
      <c r="V209" s="494"/>
      <c r="W209" s="494"/>
      <c r="X209" s="1827"/>
      <c r="Y209" s="1827"/>
      <c r="Z209" s="18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716">
        <v>197</v>
      </c>
      <c r="BB209" s="717">
        <f t="shared" si="55"/>
        <v>0</v>
      </c>
      <c r="BC209" s="520">
        <f t="shared" si="56"/>
        <v>0</v>
      </c>
      <c r="BD209" s="702">
        <f t="shared" si="54"/>
        <v>0</v>
      </c>
      <c r="BE209" s="702">
        <f t="shared" si="54"/>
        <v>0</v>
      </c>
      <c r="BF209" s="713">
        <v>226</v>
      </c>
      <c r="BG209" s="520">
        <f t="shared" si="57"/>
        <v>0</v>
      </c>
      <c r="BH209" s="520">
        <f t="shared" si="58"/>
        <v>0</v>
      </c>
      <c r="BI209" s="520" t="b">
        <v>0</v>
      </c>
      <c r="BJ209" s="713">
        <v>256</v>
      </c>
      <c r="BM209" s="520" t="b">
        <v>0</v>
      </c>
    </row>
    <row r="210" spans="1:65" ht="24.95" customHeight="1">
      <c r="A210" s="482">
        <v>227</v>
      </c>
      <c r="B210" s="1850"/>
      <c r="C210" s="1850"/>
      <c r="D210" s="1850"/>
      <c r="E210" s="1850"/>
      <c r="F210" s="1850"/>
      <c r="G210" s="1850"/>
      <c r="H210" s="494"/>
      <c r="I210" s="494"/>
      <c r="J210" s="494"/>
      <c r="K210" s="1827"/>
      <c r="L210" s="1827"/>
      <c r="M210" s="1827"/>
      <c r="N210" s="482">
        <v>257</v>
      </c>
      <c r="O210" s="1850"/>
      <c r="P210" s="1850"/>
      <c r="Q210" s="1850"/>
      <c r="R210" s="1850"/>
      <c r="S210" s="1850"/>
      <c r="T210" s="1850"/>
      <c r="U210" s="494"/>
      <c r="V210" s="494"/>
      <c r="W210" s="494"/>
      <c r="X210" s="1827"/>
      <c r="Y210" s="1827"/>
      <c r="Z210" s="18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716">
        <v>198</v>
      </c>
      <c r="BB210" s="717">
        <f t="shared" si="55"/>
        <v>0</v>
      </c>
      <c r="BC210" s="520">
        <f t="shared" si="56"/>
        <v>0</v>
      </c>
      <c r="BD210" s="702">
        <f t="shared" si="54"/>
        <v>0</v>
      </c>
      <c r="BE210" s="702">
        <f t="shared" si="54"/>
        <v>0</v>
      </c>
      <c r="BF210" s="713">
        <v>227</v>
      </c>
      <c r="BG210" s="520">
        <f t="shared" si="57"/>
        <v>0</v>
      </c>
      <c r="BH210" s="520">
        <f t="shared" si="58"/>
        <v>0</v>
      </c>
      <c r="BI210" s="520" t="b">
        <v>0</v>
      </c>
      <c r="BJ210" s="713">
        <v>257</v>
      </c>
      <c r="BM210" s="520" t="b">
        <v>0</v>
      </c>
    </row>
    <row r="211" spans="1:65" ht="24.95" customHeight="1">
      <c r="A211" s="482">
        <v>228</v>
      </c>
      <c r="B211" s="1850"/>
      <c r="C211" s="1850"/>
      <c r="D211" s="1850"/>
      <c r="E211" s="1850"/>
      <c r="F211" s="1850"/>
      <c r="G211" s="1850"/>
      <c r="H211" s="494"/>
      <c r="I211" s="494"/>
      <c r="J211" s="494"/>
      <c r="K211" s="1827"/>
      <c r="L211" s="1827"/>
      <c r="M211" s="1827"/>
      <c r="N211" s="482">
        <v>258</v>
      </c>
      <c r="O211" s="1850"/>
      <c r="P211" s="1850"/>
      <c r="Q211" s="1850"/>
      <c r="R211" s="1850"/>
      <c r="S211" s="1850"/>
      <c r="T211" s="1850"/>
      <c r="U211" s="494"/>
      <c r="V211" s="494"/>
      <c r="W211" s="494"/>
      <c r="X211" s="1827"/>
      <c r="Y211" s="1827"/>
      <c r="Z211" s="18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716">
        <v>199</v>
      </c>
      <c r="BB211" s="717">
        <f t="shared" si="55"/>
        <v>0</v>
      </c>
      <c r="BC211" s="520">
        <f t="shared" si="56"/>
        <v>0</v>
      </c>
      <c r="BD211" s="702">
        <f t="shared" si="54"/>
        <v>0</v>
      </c>
      <c r="BE211" s="702">
        <f t="shared" si="54"/>
        <v>0</v>
      </c>
      <c r="BF211" s="713">
        <v>228</v>
      </c>
      <c r="BG211" s="520">
        <f t="shared" si="57"/>
        <v>0</v>
      </c>
      <c r="BH211" s="520">
        <f t="shared" si="58"/>
        <v>0</v>
      </c>
      <c r="BI211" s="520" t="b">
        <v>0</v>
      </c>
      <c r="BJ211" s="713">
        <v>258</v>
      </c>
      <c r="BM211" s="520" t="b">
        <v>0</v>
      </c>
    </row>
    <row r="212" spans="1:65" ht="24.95" customHeight="1">
      <c r="A212" s="482">
        <v>229</v>
      </c>
      <c r="B212" s="1850"/>
      <c r="C212" s="1850"/>
      <c r="D212" s="1850"/>
      <c r="E212" s="1850"/>
      <c r="F212" s="1850"/>
      <c r="G212" s="1850"/>
      <c r="H212" s="494"/>
      <c r="I212" s="494"/>
      <c r="J212" s="494"/>
      <c r="K212" s="1827"/>
      <c r="L212" s="1827"/>
      <c r="M212" s="1827"/>
      <c r="N212" s="482">
        <v>259</v>
      </c>
      <c r="O212" s="1850"/>
      <c r="P212" s="1850"/>
      <c r="Q212" s="1850"/>
      <c r="R212" s="1850"/>
      <c r="S212" s="1850"/>
      <c r="T212" s="1850"/>
      <c r="U212" s="494"/>
      <c r="V212" s="494"/>
      <c r="W212" s="494"/>
      <c r="X212" s="1827"/>
      <c r="Y212" s="1827"/>
      <c r="Z212" s="18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716">
        <v>200</v>
      </c>
      <c r="BB212" s="717">
        <f t="shared" si="55"/>
        <v>0</v>
      </c>
      <c r="BC212" s="520">
        <f t="shared" si="56"/>
        <v>0</v>
      </c>
      <c r="BD212" s="702">
        <f t="shared" si="54"/>
        <v>0</v>
      </c>
      <c r="BE212" s="702">
        <f t="shared" si="54"/>
        <v>0</v>
      </c>
      <c r="BF212" s="713">
        <v>229</v>
      </c>
      <c r="BG212" s="520">
        <f t="shared" si="57"/>
        <v>0</v>
      </c>
      <c r="BH212" s="520">
        <f t="shared" si="58"/>
        <v>0</v>
      </c>
      <c r="BI212" s="520" t="b">
        <v>0</v>
      </c>
      <c r="BJ212" s="713">
        <v>259</v>
      </c>
      <c r="BM212" s="520" t="b">
        <v>0</v>
      </c>
    </row>
    <row r="213" spans="1:65" ht="24.95" customHeight="1">
      <c r="A213" s="482">
        <v>230</v>
      </c>
      <c r="B213" s="1850"/>
      <c r="C213" s="1850"/>
      <c r="D213" s="1850"/>
      <c r="E213" s="1850"/>
      <c r="F213" s="1850"/>
      <c r="G213" s="1850"/>
      <c r="H213" s="494"/>
      <c r="I213" s="494"/>
      <c r="J213" s="494"/>
      <c r="K213" s="1827"/>
      <c r="L213" s="1827"/>
      <c r="M213" s="1827"/>
      <c r="N213" s="482">
        <v>260</v>
      </c>
      <c r="O213" s="1850"/>
      <c r="P213" s="1850"/>
      <c r="Q213" s="1850"/>
      <c r="R213" s="1850"/>
      <c r="S213" s="1850"/>
      <c r="T213" s="1850"/>
      <c r="U213" s="494"/>
      <c r="V213" s="494"/>
      <c r="W213" s="494"/>
      <c r="X213" s="1827"/>
      <c r="Y213" s="1827"/>
      <c r="Z213" s="18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716">
        <v>201</v>
      </c>
      <c r="BB213" s="717">
        <f>COUNTA(H184:I184)</f>
        <v>0</v>
      </c>
      <c r="BC213" s="520">
        <f>COUNTA(X184)</f>
        <v>0</v>
      </c>
      <c r="BD213" s="702">
        <f t="shared" ref="BD213:BE242" si="59">BB213-COUNTA(H184)</f>
        <v>0</v>
      </c>
      <c r="BE213" s="702">
        <f t="shared" si="59"/>
        <v>0</v>
      </c>
      <c r="BF213" s="713">
        <v>230</v>
      </c>
      <c r="BG213" s="520">
        <f t="shared" si="57"/>
        <v>0</v>
      </c>
      <c r="BH213" s="520">
        <f t="shared" si="58"/>
        <v>0</v>
      </c>
      <c r="BI213" s="520" t="b">
        <v>0</v>
      </c>
      <c r="BJ213" s="713">
        <v>260</v>
      </c>
      <c r="BM213" s="520" t="b">
        <v>0</v>
      </c>
    </row>
    <row r="214" spans="1:65" ht="24.95" customHeight="1">
      <c r="A214" s="482"/>
      <c r="B214" s="489"/>
      <c r="C214" s="489"/>
      <c r="D214" s="489"/>
      <c r="E214" s="489"/>
      <c r="F214" s="489"/>
      <c r="G214" s="489"/>
      <c r="H214" s="490"/>
      <c r="I214" s="490"/>
      <c r="J214" s="490"/>
      <c r="K214" s="490"/>
      <c r="L214" s="491"/>
      <c r="M214" s="491"/>
      <c r="N214" s="482"/>
      <c r="O214" s="489"/>
      <c r="P214" s="489"/>
      <c r="Q214" s="489"/>
      <c r="R214" s="489"/>
      <c r="S214" s="489"/>
      <c r="T214" s="489"/>
      <c r="U214" s="490"/>
      <c r="V214" s="490"/>
      <c r="W214" s="490"/>
      <c r="X214" s="490"/>
      <c r="Y214" s="491"/>
      <c r="Z214" s="491"/>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716">
        <v>202</v>
      </c>
      <c r="BB214" s="717">
        <f t="shared" ref="BB214:BB242" si="60">COUNTA(H185:I185)</f>
        <v>0</v>
      </c>
      <c r="BC214" s="520">
        <f t="shared" ref="BC214:BC242" si="61">COUNTA(X185)</f>
        <v>0</v>
      </c>
      <c r="BD214" s="702">
        <f t="shared" si="59"/>
        <v>0</v>
      </c>
      <c r="BE214" s="702">
        <f t="shared" si="59"/>
        <v>0</v>
      </c>
    </row>
    <row r="215" spans="1:65" ht="23.25">
      <c r="A215" s="1830" t="s">
        <v>327</v>
      </c>
      <c r="B215" s="1830"/>
      <c r="C215" s="1830"/>
      <c r="D215" s="1830"/>
      <c r="E215" s="1830"/>
      <c r="F215" s="1830"/>
      <c r="G215" s="1830"/>
      <c r="H215" s="1830"/>
      <c r="I215" s="1830"/>
      <c r="J215" s="1830"/>
      <c r="K215" s="1830"/>
      <c r="L215" s="1830"/>
      <c r="M215" s="1830"/>
      <c r="N215" s="1830"/>
      <c r="O215" s="1830"/>
      <c r="P215" s="1830"/>
      <c r="Q215" s="1830"/>
      <c r="R215" s="1830"/>
      <c r="S215" s="1830"/>
      <c r="T215" s="1830"/>
      <c r="U215" s="1830"/>
      <c r="V215" s="1830"/>
      <c r="W215" s="1830"/>
      <c r="X215" s="1830"/>
      <c r="Y215" s="1830"/>
      <c r="Z215" s="1830"/>
      <c r="AA215" s="492"/>
      <c r="AB215" s="492"/>
      <c r="AC215" s="492"/>
      <c r="AD215" s="492"/>
      <c r="AE215" s="492"/>
      <c r="AF215" s="492"/>
      <c r="AG215" s="492"/>
      <c r="AH215" s="492"/>
      <c r="AI215" s="492"/>
      <c r="AJ215" s="492"/>
      <c r="AK215" s="492"/>
      <c r="AL215" s="492"/>
      <c r="AM215" s="492"/>
      <c r="AN215" s="492"/>
      <c r="AO215" s="492"/>
      <c r="AP215" s="492"/>
      <c r="AQ215" s="492"/>
      <c r="AR215" s="492"/>
      <c r="AS215" s="492"/>
      <c r="AT215" s="492"/>
      <c r="AU215" s="492"/>
      <c r="AV215" s="492"/>
      <c r="AW215" s="492"/>
      <c r="AX215" s="492"/>
      <c r="AY215" s="492"/>
      <c r="AZ215" s="492"/>
      <c r="BA215" s="716">
        <v>203</v>
      </c>
      <c r="BB215" s="717">
        <f t="shared" si="60"/>
        <v>0</v>
      </c>
      <c r="BC215" s="520">
        <f t="shared" si="61"/>
        <v>0</v>
      </c>
      <c r="BD215" s="702">
        <f t="shared" si="59"/>
        <v>0</v>
      </c>
      <c r="BE215" s="702">
        <f t="shared" si="59"/>
        <v>0</v>
      </c>
    </row>
    <row r="216" spans="1:65" ht="23.25">
      <c r="A216" s="482">
        <f>COUNTIFS(K227:K256,"a",H227:H256,"&gt;0")</f>
        <v>0</v>
      </c>
      <c r="B216" s="482">
        <f>COUNTIFS(X227:X256,"a",U227:U256,"&gt;0")</f>
        <v>0</v>
      </c>
      <c r="C216" s="482">
        <f>COUNTIFS(K227:K256,"b",H227:H256,"&gt;0")</f>
        <v>0</v>
      </c>
      <c r="D216" s="482">
        <f>COUNTIFS(X227:X256,"b",U227:U256,"&gt;0")</f>
        <v>0</v>
      </c>
      <c r="E216" s="482">
        <f>COUNTIFS(K227:K256,"c",H227:H256,"&gt;0")</f>
        <v>0</v>
      </c>
      <c r="F216" s="482">
        <f>COUNTIFS(X227:X256,"c",U227:U256,"&gt;0")</f>
        <v>0</v>
      </c>
      <c r="G216" s="482">
        <f>COUNTIFS(K227:K256,"d",H227:H256,"&gt;0")</f>
        <v>0</v>
      </c>
      <c r="H216" s="482">
        <f>COUNTIFS(X227:X256,"d",U227:U256,"&gt;0")</f>
        <v>0</v>
      </c>
      <c r="I216" s="482">
        <f>COUNTIFS(K227:K256,"e",H227:H256,"&gt;0")</f>
        <v>0</v>
      </c>
      <c r="J216" s="482">
        <f>COUNTIFS(X227:X256,"e",U227:U256,"&gt;0")</f>
        <v>0</v>
      </c>
      <c r="K216" s="482">
        <f>COUNTIFS(K227:K256,"f",H227:H256,"&gt;0")</f>
        <v>0</v>
      </c>
      <c r="L216" s="482">
        <f>COUNTIFS(X227:X256,"f",U227:U256,"&gt;0")</f>
        <v>0</v>
      </c>
      <c r="M216" s="482">
        <f>COUNTIFS(K227:K256,"g",H227:H256,"&gt;0")</f>
        <v>0</v>
      </c>
      <c r="N216" s="482">
        <f>COUNTIFS(X227:X256,"g",U227:U256,"&gt;0")</f>
        <v>0</v>
      </c>
      <c r="O216" s="482">
        <f>COUNTIFS(K227:K256,"h",H227:H256,"&gt;0")</f>
        <v>0</v>
      </c>
      <c r="P216" s="482">
        <f>COUNTIFS(X227:X256,"h",U227:U256,"&gt;0")</f>
        <v>0</v>
      </c>
      <c r="Q216" s="482">
        <f>COUNTIFS(K227:K256,"i",H227:H256,"&gt;0")</f>
        <v>0</v>
      </c>
      <c r="R216" s="482">
        <f>COUNTIFS(X227:X256,"i",U227:U256,"&gt;0")</f>
        <v>0</v>
      </c>
      <c r="S216" s="483">
        <f>SUM(A216:R216)</f>
        <v>0</v>
      </c>
      <c r="T216" s="483"/>
      <c r="U216" s="483"/>
      <c r="V216" s="483"/>
      <c r="W216" s="1830" t="s">
        <v>328</v>
      </c>
      <c r="X216" s="1830"/>
      <c r="Y216" s="1830">
        <v>6</v>
      </c>
      <c r="Z216" s="1830"/>
      <c r="AA216" s="492"/>
      <c r="AB216" s="492"/>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2"/>
      <c r="AY216" s="492"/>
      <c r="AZ216" s="492"/>
      <c r="BA216" s="716">
        <v>204</v>
      </c>
      <c r="BB216" s="717">
        <f t="shared" si="60"/>
        <v>0</v>
      </c>
      <c r="BC216" s="520">
        <f t="shared" si="61"/>
        <v>0</v>
      </c>
      <c r="BD216" s="702">
        <f t="shared" si="59"/>
        <v>0</v>
      </c>
      <c r="BE216" s="702">
        <f t="shared" si="59"/>
        <v>0</v>
      </c>
    </row>
    <row r="217" spans="1:65" ht="23.25">
      <c r="A217" s="482">
        <f>COUNTIFS(K227:K256,"a",I227:I256,"&gt;0")</f>
        <v>0</v>
      </c>
      <c r="B217" s="482">
        <f>COUNTIFS(X227:X256,"a",V227:V256,"&gt;0")</f>
        <v>0</v>
      </c>
      <c r="C217" s="482">
        <f>COUNTIFS(K227:K256,"b",I227:I256,"&gt;0")</f>
        <v>0</v>
      </c>
      <c r="D217" s="482">
        <f>COUNTIFS(X227:X256,"b",V227:V256,"&gt;0")</f>
        <v>0</v>
      </c>
      <c r="E217" s="482">
        <f>COUNTIFS(K227:K256,"c",I227:I256,"&gt;0")</f>
        <v>0</v>
      </c>
      <c r="F217" s="482">
        <f>COUNTIFS(X227:X256,"c",V227:V256,"&gt;0")</f>
        <v>0</v>
      </c>
      <c r="G217" s="482">
        <f>COUNTIFS(K227:K256,"d",I227:I256,"&gt;0")</f>
        <v>0</v>
      </c>
      <c r="H217" s="482">
        <f>COUNTIFS(X227:X256,"d",V227:V256,"&gt;0")</f>
        <v>0</v>
      </c>
      <c r="I217" s="482">
        <f>COUNTIFS(K227:K256,"e",I227:I256,"&gt;0")</f>
        <v>0</v>
      </c>
      <c r="J217" s="482">
        <f>COUNTIFS(X227:X256,"e",V227:V256,"&gt;0")</f>
        <v>0</v>
      </c>
      <c r="K217" s="482">
        <f>COUNTIFS(K227:K256,"f",I227:I256,"&gt;0")</f>
        <v>0</v>
      </c>
      <c r="L217" s="482">
        <f>COUNTIFS(X227:X256,"f",V227:V256,"&gt;0")</f>
        <v>0</v>
      </c>
      <c r="M217" s="482">
        <f>COUNTIFS(K227:K256,"g",I227:I256,"&gt;0")</f>
        <v>0</v>
      </c>
      <c r="N217" s="482">
        <f>COUNTIFS(X227:X256,"g",V227:V256,"&gt;0")</f>
        <v>0</v>
      </c>
      <c r="O217" s="482">
        <f>COUNTIFS(K227:K256,"h",I227:I256,"&gt;0")</f>
        <v>0</v>
      </c>
      <c r="P217" s="482">
        <f>COUNTIFS(X227:X256,"h",V227:V256,"&gt;0")</f>
        <v>0</v>
      </c>
      <c r="Q217" s="482">
        <f>COUNTIFS(K227:K256,"i",I227:I256,"&gt;0")</f>
        <v>0</v>
      </c>
      <c r="R217" s="482">
        <f>COUNTIFS(X227:X256,"i",V227:V256,"&gt;0")</f>
        <v>0</v>
      </c>
      <c r="S217" s="483">
        <f>SUM(A217:R217)</f>
        <v>0</v>
      </c>
      <c r="T217" s="483"/>
      <c r="U217" s="483"/>
      <c r="V217" s="483"/>
      <c r="W217" s="484"/>
      <c r="X217" s="484"/>
      <c r="Y217" s="484"/>
      <c r="Z217" s="484"/>
      <c r="AA217" s="492"/>
      <c r="AB217" s="492"/>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2"/>
      <c r="AY217" s="492"/>
      <c r="AZ217" s="492"/>
      <c r="BA217" s="716">
        <v>205</v>
      </c>
      <c r="BB217" s="717">
        <f t="shared" si="60"/>
        <v>0</v>
      </c>
      <c r="BC217" s="520">
        <f t="shared" si="61"/>
        <v>0</v>
      </c>
      <c r="BD217" s="702">
        <f t="shared" si="59"/>
        <v>0</v>
      </c>
      <c r="BE217" s="702">
        <f t="shared" si="59"/>
        <v>0</v>
      </c>
    </row>
    <row r="218" spans="1:65" ht="36" customHeight="1">
      <c r="A218" s="1831" t="s">
        <v>71</v>
      </c>
      <c r="B218" s="1831"/>
      <c r="C218" s="1852">
        <f>C175</f>
        <v>0</v>
      </c>
      <c r="D218" s="1852"/>
      <c r="E218" s="1852"/>
      <c r="F218" s="1852"/>
      <c r="G218" s="1852"/>
      <c r="H218" s="1852"/>
      <c r="I218" s="1852"/>
      <c r="J218" s="1852"/>
      <c r="K218" s="1852"/>
      <c r="L218" s="1852"/>
      <c r="M218" s="1852"/>
      <c r="N218" s="1852"/>
      <c r="O218" s="1852"/>
      <c r="P218" s="1852"/>
      <c r="Q218" s="1852"/>
      <c r="R218" s="1852"/>
      <c r="S218" s="1852"/>
      <c r="T218" s="1852"/>
      <c r="U218" s="485"/>
      <c r="V218" s="485"/>
      <c r="W218" s="485"/>
      <c r="X218" s="485"/>
      <c r="Y218" s="485"/>
      <c r="Z218" s="485"/>
      <c r="AA218" s="492"/>
      <c r="AB218" s="492"/>
      <c r="AC218" s="492"/>
      <c r="AD218" s="492"/>
      <c r="AE218" s="492"/>
      <c r="AF218" s="492"/>
      <c r="AG218" s="492"/>
      <c r="AH218" s="492"/>
      <c r="AI218" s="492"/>
      <c r="AJ218" s="492"/>
      <c r="AK218" s="492"/>
      <c r="AL218" s="492"/>
      <c r="AM218" s="492"/>
      <c r="AN218" s="492"/>
      <c r="AO218" s="492"/>
      <c r="AP218" s="492"/>
      <c r="AQ218" s="492"/>
      <c r="AR218" s="492"/>
      <c r="AS218" s="492"/>
      <c r="AT218" s="492"/>
      <c r="AU218" s="492"/>
      <c r="AV218" s="492"/>
      <c r="AW218" s="492"/>
      <c r="AX218" s="492"/>
      <c r="AY218" s="492"/>
      <c r="AZ218" s="492"/>
      <c r="BA218" s="716">
        <v>206</v>
      </c>
      <c r="BB218" s="717">
        <f t="shared" si="60"/>
        <v>0</v>
      </c>
      <c r="BC218" s="520">
        <f t="shared" si="61"/>
        <v>0</v>
      </c>
      <c r="BD218" s="702">
        <f t="shared" si="59"/>
        <v>0</v>
      </c>
      <c r="BE218" s="702">
        <f t="shared" si="59"/>
        <v>0</v>
      </c>
    </row>
    <row r="219" spans="1:65" ht="15" customHeight="1">
      <c r="A219" s="1831" t="s">
        <v>69</v>
      </c>
      <c r="B219" s="1831"/>
      <c r="C219" s="1852" t="str">
        <f>C176</f>
        <v>令和</v>
      </c>
      <c r="D219" s="1852"/>
      <c r="E219" s="1861" t="s">
        <v>14</v>
      </c>
      <c r="F219" s="1852">
        <f>F176</f>
        <v>0</v>
      </c>
      <c r="G219" s="1861" t="s">
        <v>13</v>
      </c>
      <c r="H219" s="1852">
        <f>H176</f>
        <v>0</v>
      </c>
      <c r="I219" s="1861" t="s">
        <v>12</v>
      </c>
      <c r="J219" s="1861" t="s">
        <v>325</v>
      </c>
      <c r="K219" s="1852">
        <f>K176</f>
        <v>0</v>
      </c>
      <c r="L219" s="1861" t="s">
        <v>321</v>
      </c>
      <c r="M219" s="1861" t="s">
        <v>27</v>
      </c>
      <c r="N219" s="1852">
        <f>N176</f>
        <v>0</v>
      </c>
      <c r="O219" s="1861" t="s">
        <v>13</v>
      </c>
      <c r="P219" s="1852">
        <f>P176</f>
        <v>0</v>
      </c>
      <c r="Q219" s="1861" t="s">
        <v>12</v>
      </c>
      <c r="R219" s="1861" t="s">
        <v>325</v>
      </c>
      <c r="S219" s="1852">
        <f>S176</f>
        <v>0</v>
      </c>
      <c r="T219" s="1861" t="s">
        <v>329</v>
      </c>
      <c r="U219" s="1861"/>
      <c r="V219" s="1861"/>
      <c r="W219" s="486">
        <f>W176</f>
        <v>0</v>
      </c>
      <c r="X219" s="482" t="s">
        <v>38</v>
      </c>
      <c r="Y219" s="486">
        <f>Y176</f>
        <v>0</v>
      </c>
      <c r="Z219" s="482" t="s">
        <v>12</v>
      </c>
      <c r="AA219" s="493"/>
      <c r="AB219" s="493"/>
      <c r="AC219" s="493"/>
      <c r="AD219" s="493"/>
      <c r="AE219" s="493"/>
      <c r="AF219" s="493"/>
      <c r="AG219" s="493"/>
      <c r="AH219" s="493"/>
      <c r="AI219" s="493"/>
      <c r="AJ219" s="493"/>
      <c r="AK219" s="493"/>
      <c r="AL219" s="493"/>
      <c r="AM219" s="493"/>
      <c r="AN219" s="493"/>
      <c r="AO219" s="493"/>
      <c r="AP219" s="493"/>
      <c r="AQ219" s="493"/>
      <c r="AR219" s="493"/>
      <c r="AS219" s="493"/>
      <c r="AT219" s="493"/>
      <c r="AU219" s="493"/>
      <c r="AV219" s="493"/>
      <c r="AW219" s="493"/>
      <c r="AX219" s="493"/>
      <c r="AY219" s="493"/>
      <c r="AZ219" s="493"/>
      <c r="BA219" s="716">
        <v>207</v>
      </c>
      <c r="BB219" s="717">
        <f t="shared" si="60"/>
        <v>0</v>
      </c>
      <c r="BC219" s="520">
        <f t="shared" si="61"/>
        <v>0</v>
      </c>
      <c r="BD219" s="702">
        <f t="shared" si="59"/>
        <v>0</v>
      </c>
      <c r="BE219" s="702">
        <f t="shared" si="59"/>
        <v>0</v>
      </c>
    </row>
    <row r="220" spans="1:65" ht="15" customHeight="1">
      <c r="A220" s="1831"/>
      <c r="B220" s="1831"/>
      <c r="C220" s="1852"/>
      <c r="D220" s="1852"/>
      <c r="E220" s="1861"/>
      <c r="F220" s="1852"/>
      <c r="G220" s="1861"/>
      <c r="H220" s="1852"/>
      <c r="I220" s="1861"/>
      <c r="J220" s="1861"/>
      <c r="K220" s="1852"/>
      <c r="L220" s="1861"/>
      <c r="M220" s="1861"/>
      <c r="N220" s="1852"/>
      <c r="O220" s="1861"/>
      <c r="P220" s="1852"/>
      <c r="Q220" s="1861"/>
      <c r="R220" s="1861"/>
      <c r="S220" s="1852"/>
      <c r="T220" s="1861"/>
      <c r="U220" s="1861"/>
      <c r="V220" s="1861"/>
      <c r="W220" s="1861" t="s">
        <v>39</v>
      </c>
      <c r="X220" s="1861"/>
      <c r="Y220" s="487" t="str">
        <f>Y177</f>
        <v/>
      </c>
      <c r="Z220" s="482" t="s">
        <v>12</v>
      </c>
      <c r="AA220" s="493"/>
      <c r="AB220" s="493"/>
      <c r="AC220" s="493"/>
      <c r="AD220" s="493"/>
      <c r="AE220" s="493"/>
      <c r="AF220" s="493"/>
      <c r="AG220" s="493"/>
      <c r="AH220" s="493"/>
      <c r="AI220" s="493"/>
      <c r="AJ220" s="493"/>
      <c r="AK220" s="493"/>
      <c r="AL220" s="493"/>
      <c r="AM220" s="493"/>
      <c r="AN220" s="493"/>
      <c r="AO220" s="493"/>
      <c r="AP220" s="493"/>
      <c r="AQ220" s="493"/>
      <c r="AR220" s="493"/>
      <c r="AS220" s="493"/>
      <c r="AT220" s="493"/>
      <c r="AU220" s="493"/>
      <c r="AV220" s="493"/>
      <c r="AW220" s="493"/>
      <c r="AX220" s="493"/>
      <c r="AY220" s="493"/>
      <c r="AZ220" s="493"/>
      <c r="BA220" s="716">
        <v>208</v>
      </c>
      <c r="BB220" s="717">
        <f t="shared" si="60"/>
        <v>0</v>
      </c>
      <c r="BC220" s="520">
        <f t="shared" si="61"/>
        <v>0</v>
      </c>
      <c r="BD220" s="702">
        <f t="shared" si="59"/>
        <v>0</v>
      </c>
      <c r="BE220" s="702">
        <f t="shared" si="59"/>
        <v>0</v>
      </c>
    </row>
    <row r="221" spans="1:65" ht="24.95" customHeight="1">
      <c r="A221" s="1862"/>
      <c r="B221" s="1862"/>
      <c r="C221" s="1862"/>
      <c r="D221" s="1862"/>
      <c r="E221" s="1862"/>
      <c r="F221" s="1862"/>
      <c r="G221" s="1862"/>
      <c r="H221" s="1862"/>
      <c r="I221" s="1862"/>
      <c r="J221" s="1862"/>
      <c r="K221" s="1862"/>
      <c r="L221" s="1862"/>
      <c r="M221" s="1862"/>
      <c r="N221" s="1862"/>
      <c r="O221" s="1862"/>
      <c r="P221" s="1862"/>
      <c r="Q221" s="1862"/>
      <c r="R221" s="1862"/>
      <c r="S221" s="1862"/>
      <c r="T221" s="1862"/>
      <c r="U221" s="1862"/>
      <c r="V221" s="1862"/>
      <c r="W221" s="1862"/>
      <c r="X221" s="1862"/>
      <c r="Y221" s="1862"/>
      <c r="Z221" s="1862"/>
      <c r="AA221" s="493"/>
      <c r="AB221" s="493"/>
      <c r="AC221" s="493"/>
      <c r="AD221" s="493"/>
      <c r="AE221" s="493"/>
      <c r="AF221" s="493"/>
      <c r="AG221" s="493"/>
      <c r="AH221" s="493"/>
      <c r="AI221" s="493"/>
      <c r="AJ221" s="493"/>
      <c r="AK221" s="493"/>
      <c r="AL221" s="493"/>
      <c r="AM221" s="493"/>
      <c r="AN221" s="493"/>
      <c r="AO221" s="493"/>
      <c r="AP221" s="493"/>
      <c r="AQ221" s="493"/>
      <c r="AR221" s="493"/>
      <c r="AS221" s="493"/>
      <c r="AT221" s="493"/>
      <c r="AU221" s="493"/>
      <c r="AV221" s="493"/>
      <c r="AW221" s="493"/>
      <c r="AX221" s="493"/>
      <c r="AY221" s="493"/>
      <c r="AZ221" s="493"/>
      <c r="BA221" s="716">
        <v>209</v>
      </c>
      <c r="BB221" s="717">
        <f t="shared" si="60"/>
        <v>0</v>
      </c>
      <c r="BC221" s="520">
        <f t="shared" si="61"/>
        <v>0</v>
      </c>
      <c r="BD221" s="702">
        <f t="shared" si="59"/>
        <v>0</v>
      </c>
      <c r="BE221" s="702">
        <f t="shared" si="59"/>
        <v>0</v>
      </c>
    </row>
    <row r="222" spans="1:65" ht="13.5" customHeight="1">
      <c r="A222" s="1861" t="s">
        <v>319</v>
      </c>
      <c r="B222" s="1828" t="s">
        <v>108</v>
      </c>
      <c r="C222" s="1828"/>
      <c r="D222" s="1828"/>
      <c r="E222" s="1828"/>
      <c r="F222" s="1828"/>
      <c r="G222" s="1828"/>
      <c r="H222" s="1863" t="s">
        <v>109</v>
      </c>
      <c r="I222" s="1828"/>
      <c r="J222" s="1828" t="s">
        <v>110</v>
      </c>
      <c r="K222" s="1828"/>
      <c r="L222" s="1828"/>
      <c r="M222" s="1828"/>
      <c r="N222" s="1861" t="s">
        <v>330</v>
      </c>
      <c r="O222" s="1828" t="s">
        <v>108</v>
      </c>
      <c r="P222" s="1828"/>
      <c r="Q222" s="1828"/>
      <c r="R222" s="1828"/>
      <c r="S222" s="1828"/>
      <c r="T222" s="1828"/>
      <c r="U222" s="1863" t="s">
        <v>109</v>
      </c>
      <c r="V222" s="1828"/>
      <c r="W222" s="1828" t="s">
        <v>110</v>
      </c>
      <c r="X222" s="1828"/>
      <c r="Y222" s="1828"/>
      <c r="Z222" s="1828"/>
      <c r="AA222" s="493"/>
      <c r="AB222" s="493"/>
      <c r="AC222" s="493"/>
      <c r="AD222" s="493"/>
      <c r="AE222" s="493"/>
      <c r="AF222" s="493"/>
      <c r="AG222" s="493"/>
      <c r="AH222" s="493"/>
      <c r="AI222" s="493"/>
      <c r="AJ222" s="493"/>
      <c r="AK222" s="493"/>
      <c r="AL222" s="493"/>
      <c r="AM222" s="493"/>
      <c r="AN222" s="493"/>
      <c r="AO222" s="493"/>
      <c r="AP222" s="493"/>
      <c r="AQ222" s="493"/>
      <c r="AR222" s="493"/>
      <c r="AS222" s="493"/>
      <c r="AT222" s="493"/>
      <c r="AU222" s="493"/>
      <c r="AV222" s="493"/>
      <c r="AW222" s="493"/>
      <c r="AX222" s="493"/>
      <c r="AY222" s="493"/>
      <c r="AZ222" s="493"/>
      <c r="BA222" s="716">
        <v>210</v>
      </c>
      <c r="BB222" s="717">
        <f t="shared" si="60"/>
        <v>0</v>
      </c>
      <c r="BC222" s="520">
        <f t="shared" si="61"/>
        <v>0</v>
      </c>
      <c r="BD222" s="702">
        <f t="shared" si="59"/>
        <v>0</v>
      </c>
      <c r="BE222" s="702">
        <f t="shared" si="59"/>
        <v>0</v>
      </c>
    </row>
    <row r="223" spans="1:65">
      <c r="A223" s="1861"/>
      <c r="B223" s="1828"/>
      <c r="C223" s="1828"/>
      <c r="D223" s="1828"/>
      <c r="E223" s="1828"/>
      <c r="F223" s="1828"/>
      <c r="G223" s="1828"/>
      <c r="H223" s="1828"/>
      <c r="I223" s="1828"/>
      <c r="J223" s="1828"/>
      <c r="K223" s="1828"/>
      <c r="L223" s="1828"/>
      <c r="M223" s="1828"/>
      <c r="N223" s="1861"/>
      <c r="O223" s="1828"/>
      <c r="P223" s="1828"/>
      <c r="Q223" s="1828"/>
      <c r="R223" s="1828"/>
      <c r="S223" s="1828"/>
      <c r="T223" s="1828"/>
      <c r="U223" s="1828"/>
      <c r="V223" s="1828"/>
      <c r="W223" s="1828"/>
      <c r="X223" s="1828"/>
      <c r="Y223" s="1828"/>
      <c r="Z223" s="1828"/>
      <c r="AA223" s="493"/>
      <c r="AB223" s="493"/>
      <c r="AC223" s="493"/>
      <c r="AD223" s="493"/>
      <c r="AE223" s="493"/>
      <c r="AF223" s="493"/>
      <c r="AG223" s="493"/>
      <c r="AH223" s="493"/>
      <c r="AI223" s="493"/>
      <c r="AJ223" s="493"/>
      <c r="AK223" s="493"/>
      <c r="AL223" s="493"/>
      <c r="AM223" s="493"/>
      <c r="AN223" s="493"/>
      <c r="AO223" s="493"/>
      <c r="AP223" s="493"/>
      <c r="AQ223" s="493"/>
      <c r="AR223" s="493"/>
      <c r="AS223" s="493"/>
      <c r="AT223" s="493"/>
      <c r="AU223" s="493"/>
      <c r="AV223" s="493"/>
      <c r="AW223" s="493"/>
      <c r="AX223" s="493"/>
      <c r="AY223" s="493"/>
      <c r="AZ223" s="493"/>
      <c r="BA223" s="716">
        <v>211</v>
      </c>
      <c r="BB223" s="717">
        <f t="shared" si="60"/>
        <v>0</v>
      </c>
      <c r="BC223" s="520">
        <f t="shared" si="61"/>
        <v>0</v>
      </c>
      <c r="BD223" s="702">
        <f t="shared" si="59"/>
        <v>0</v>
      </c>
      <c r="BE223" s="702">
        <f t="shared" si="59"/>
        <v>0</v>
      </c>
    </row>
    <row r="224" spans="1:65" ht="26.1" customHeight="1">
      <c r="A224" s="1861"/>
      <c r="B224" s="1828"/>
      <c r="C224" s="1828"/>
      <c r="D224" s="1828"/>
      <c r="E224" s="1828"/>
      <c r="F224" s="1828"/>
      <c r="G224" s="1828"/>
      <c r="H224" s="1829" t="s">
        <v>40</v>
      </c>
      <c r="I224" s="1829" t="s">
        <v>39</v>
      </c>
      <c r="J224" s="1829" t="s">
        <v>375</v>
      </c>
      <c r="K224" s="1829" t="s">
        <v>374</v>
      </c>
      <c r="L224" s="1829"/>
      <c r="M224" s="1829"/>
      <c r="N224" s="1861"/>
      <c r="O224" s="1828"/>
      <c r="P224" s="1828"/>
      <c r="Q224" s="1828"/>
      <c r="R224" s="1828"/>
      <c r="S224" s="1828"/>
      <c r="T224" s="1828"/>
      <c r="U224" s="1829" t="s">
        <v>40</v>
      </c>
      <c r="V224" s="1829" t="s">
        <v>39</v>
      </c>
      <c r="W224" s="1829" t="s">
        <v>375</v>
      </c>
      <c r="X224" s="1829" t="s">
        <v>374</v>
      </c>
      <c r="Y224" s="1829"/>
      <c r="Z224" s="1829"/>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716">
        <v>212</v>
      </c>
      <c r="BB224" s="717">
        <f t="shared" si="60"/>
        <v>0</v>
      </c>
      <c r="BC224" s="520">
        <f t="shared" si="61"/>
        <v>0</v>
      </c>
      <c r="BD224" s="702">
        <f t="shared" si="59"/>
        <v>0</v>
      </c>
      <c r="BE224" s="702">
        <f t="shared" si="59"/>
        <v>0</v>
      </c>
    </row>
    <row r="225" spans="1:65" ht="26.1" customHeight="1">
      <c r="A225" s="1861"/>
      <c r="B225" s="1828"/>
      <c r="C225" s="1828"/>
      <c r="D225" s="1828"/>
      <c r="E225" s="1828"/>
      <c r="F225" s="1828"/>
      <c r="G225" s="1828"/>
      <c r="H225" s="1829"/>
      <c r="I225" s="1829"/>
      <c r="J225" s="1829"/>
      <c r="K225" s="1829"/>
      <c r="L225" s="1829"/>
      <c r="M225" s="1829"/>
      <c r="N225" s="1861"/>
      <c r="O225" s="1828"/>
      <c r="P225" s="1828"/>
      <c r="Q225" s="1828"/>
      <c r="R225" s="1828"/>
      <c r="S225" s="1828"/>
      <c r="T225" s="1828"/>
      <c r="U225" s="1829"/>
      <c r="V225" s="1829"/>
      <c r="W225" s="1829"/>
      <c r="X225" s="1829"/>
      <c r="Y225" s="1829"/>
      <c r="Z225" s="1829"/>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716">
        <v>213</v>
      </c>
      <c r="BB225" s="717">
        <f t="shared" si="60"/>
        <v>0</v>
      </c>
      <c r="BC225" s="520">
        <f t="shared" si="61"/>
        <v>0</v>
      </c>
      <c r="BD225" s="702">
        <f t="shared" si="59"/>
        <v>0</v>
      </c>
      <c r="BE225" s="702">
        <f t="shared" si="59"/>
        <v>0</v>
      </c>
    </row>
    <row r="226" spans="1:65" ht="26.1" customHeight="1">
      <c r="A226" s="1861"/>
      <c r="B226" s="1828"/>
      <c r="C226" s="1828"/>
      <c r="D226" s="1828"/>
      <c r="E226" s="1828"/>
      <c r="F226" s="1828"/>
      <c r="G226" s="1828"/>
      <c r="H226" s="1829"/>
      <c r="I226" s="1829"/>
      <c r="J226" s="1829"/>
      <c r="K226" s="1829"/>
      <c r="L226" s="1829"/>
      <c r="M226" s="1829"/>
      <c r="N226" s="1861"/>
      <c r="O226" s="1828"/>
      <c r="P226" s="1828"/>
      <c r="Q226" s="1828"/>
      <c r="R226" s="1828"/>
      <c r="S226" s="1828"/>
      <c r="T226" s="1828"/>
      <c r="U226" s="1829"/>
      <c r="V226" s="1829"/>
      <c r="W226" s="1829"/>
      <c r="X226" s="1829"/>
      <c r="Y226" s="1829"/>
      <c r="Z226" s="1829"/>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716">
        <v>214</v>
      </c>
      <c r="BB226" s="717">
        <f t="shared" si="60"/>
        <v>0</v>
      </c>
      <c r="BC226" s="520">
        <f t="shared" si="61"/>
        <v>0</v>
      </c>
      <c r="BD226" s="702">
        <f t="shared" si="59"/>
        <v>0</v>
      </c>
      <c r="BE226" s="702">
        <f t="shared" si="59"/>
        <v>0</v>
      </c>
      <c r="BF226" s="713" t="s">
        <v>1207</v>
      </c>
      <c r="BG226" s="695" t="s">
        <v>1208</v>
      </c>
      <c r="BH226" s="695" t="s">
        <v>1209</v>
      </c>
      <c r="BI226" s="695" t="s">
        <v>1206</v>
      </c>
      <c r="BJ226" s="713" t="s">
        <v>1207</v>
      </c>
      <c r="BK226" s="695" t="s">
        <v>1208</v>
      </c>
      <c r="BL226" s="695" t="s">
        <v>1209</v>
      </c>
      <c r="BM226" s="695" t="s">
        <v>1206</v>
      </c>
    </row>
    <row r="227" spans="1:65" ht="24.95" customHeight="1">
      <c r="A227" s="482">
        <v>261</v>
      </c>
      <c r="B227" s="1850"/>
      <c r="C227" s="1850"/>
      <c r="D227" s="1850"/>
      <c r="E227" s="1850"/>
      <c r="F227" s="1850"/>
      <c r="G227" s="1850"/>
      <c r="H227" s="494"/>
      <c r="I227" s="494"/>
      <c r="J227" s="494"/>
      <c r="K227" s="1827"/>
      <c r="L227" s="1827"/>
      <c r="M227" s="1827"/>
      <c r="N227" s="482">
        <v>291</v>
      </c>
      <c r="O227" s="1850"/>
      <c r="P227" s="1850"/>
      <c r="Q227" s="1850"/>
      <c r="R227" s="1850"/>
      <c r="S227" s="1850"/>
      <c r="T227" s="1850"/>
      <c r="U227" s="494"/>
      <c r="V227" s="494"/>
      <c r="W227" s="494"/>
      <c r="X227" s="1827"/>
      <c r="Y227" s="1827"/>
      <c r="Z227" s="18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716">
        <v>215</v>
      </c>
      <c r="BB227" s="717">
        <f t="shared" si="60"/>
        <v>0</v>
      </c>
      <c r="BC227" s="520">
        <f t="shared" si="61"/>
        <v>0</v>
      </c>
      <c r="BD227" s="702">
        <f t="shared" si="59"/>
        <v>0</v>
      </c>
      <c r="BE227" s="702">
        <f t="shared" si="59"/>
        <v>0</v>
      </c>
      <c r="BF227" s="713">
        <v>261</v>
      </c>
      <c r="BG227" s="520">
        <f>H227</f>
        <v>0</v>
      </c>
      <c r="BH227" s="520">
        <f>I227</f>
        <v>0</v>
      </c>
      <c r="BI227" s="520" t="b">
        <v>0</v>
      </c>
      <c r="BJ227" s="713">
        <v>291</v>
      </c>
      <c r="BK227" s="520">
        <f>U227</f>
        <v>0</v>
      </c>
      <c r="BL227" s="520">
        <f>V227</f>
        <v>0</v>
      </c>
      <c r="BM227" s="520" t="b">
        <v>0</v>
      </c>
    </row>
    <row r="228" spans="1:65" ht="24.95" customHeight="1">
      <c r="A228" s="482">
        <v>262</v>
      </c>
      <c r="B228" s="1850"/>
      <c r="C228" s="1850"/>
      <c r="D228" s="1850"/>
      <c r="E228" s="1850"/>
      <c r="F228" s="1850"/>
      <c r="G228" s="1850"/>
      <c r="H228" s="494"/>
      <c r="I228" s="494"/>
      <c r="J228" s="494"/>
      <c r="K228" s="1827"/>
      <c r="L228" s="1827"/>
      <c r="M228" s="1827"/>
      <c r="N228" s="482">
        <v>292</v>
      </c>
      <c r="O228" s="1850"/>
      <c r="P228" s="1850"/>
      <c r="Q228" s="1850"/>
      <c r="R228" s="1850"/>
      <c r="S228" s="1850"/>
      <c r="T228" s="1850"/>
      <c r="U228" s="494"/>
      <c r="V228" s="494"/>
      <c r="W228" s="494"/>
      <c r="X228" s="1827"/>
      <c r="Y228" s="1827"/>
      <c r="Z228" s="18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716">
        <v>216</v>
      </c>
      <c r="BB228" s="717">
        <f t="shared" si="60"/>
        <v>0</v>
      </c>
      <c r="BC228" s="520">
        <f t="shared" si="61"/>
        <v>0</v>
      </c>
      <c r="BD228" s="702">
        <f t="shared" si="59"/>
        <v>0</v>
      </c>
      <c r="BE228" s="702">
        <f t="shared" si="59"/>
        <v>0</v>
      </c>
      <c r="BF228" s="713">
        <v>262</v>
      </c>
      <c r="BG228" s="520">
        <f t="shared" ref="BG228:BG256" si="62">H228</f>
        <v>0</v>
      </c>
      <c r="BH228" s="520">
        <f t="shared" ref="BH228:BH256" si="63">I228</f>
        <v>0</v>
      </c>
      <c r="BI228" s="520" t="b">
        <v>0</v>
      </c>
      <c r="BJ228" s="713">
        <v>292</v>
      </c>
      <c r="BK228" s="520">
        <f t="shared" ref="BK228:BK256" si="64">U228</f>
        <v>0</v>
      </c>
      <c r="BL228" s="520">
        <f t="shared" ref="BL228:BL256" si="65">V228</f>
        <v>0</v>
      </c>
      <c r="BM228" s="520" t="b">
        <v>0</v>
      </c>
    </row>
    <row r="229" spans="1:65" ht="24.95" customHeight="1">
      <c r="A229" s="482">
        <v>263</v>
      </c>
      <c r="B229" s="1850"/>
      <c r="C229" s="1850"/>
      <c r="D229" s="1850"/>
      <c r="E229" s="1850"/>
      <c r="F229" s="1850"/>
      <c r="G229" s="1850"/>
      <c r="H229" s="494"/>
      <c r="I229" s="494"/>
      <c r="J229" s="494"/>
      <c r="K229" s="1827"/>
      <c r="L229" s="1827"/>
      <c r="M229" s="1827"/>
      <c r="N229" s="482">
        <v>293</v>
      </c>
      <c r="O229" s="1850"/>
      <c r="P229" s="1850"/>
      <c r="Q229" s="1850"/>
      <c r="R229" s="1850"/>
      <c r="S229" s="1850"/>
      <c r="T229" s="1850"/>
      <c r="U229" s="494"/>
      <c r="V229" s="494"/>
      <c r="W229" s="494"/>
      <c r="X229" s="1827"/>
      <c r="Y229" s="1827"/>
      <c r="Z229" s="18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716">
        <v>217</v>
      </c>
      <c r="BB229" s="717">
        <f t="shared" si="60"/>
        <v>0</v>
      </c>
      <c r="BC229" s="520">
        <f t="shared" si="61"/>
        <v>0</v>
      </c>
      <c r="BD229" s="702">
        <f t="shared" si="59"/>
        <v>0</v>
      </c>
      <c r="BE229" s="702">
        <f t="shared" si="59"/>
        <v>0</v>
      </c>
      <c r="BF229" s="713">
        <v>263</v>
      </c>
      <c r="BG229" s="520">
        <f t="shared" si="62"/>
        <v>0</v>
      </c>
      <c r="BH229" s="520">
        <f t="shared" si="63"/>
        <v>0</v>
      </c>
      <c r="BI229" s="520" t="b">
        <v>0</v>
      </c>
      <c r="BJ229" s="713">
        <v>293</v>
      </c>
      <c r="BK229" s="520">
        <f t="shared" si="64"/>
        <v>0</v>
      </c>
      <c r="BL229" s="520">
        <f t="shared" si="65"/>
        <v>0</v>
      </c>
      <c r="BM229" s="520" t="b">
        <v>0</v>
      </c>
    </row>
    <row r="230" spans="1:65" ht="24.95" customHeight="1">
      <c r="A230" s="482">
        <v>264</v>
      </c>
      <c r="B230" s="1850"/>
      <c r="C230" s="1850"/>
      <c r="D230" s="1850"/>
      <c r="E230" s="1850"/>
      <c r="F230" s="1850"/>
      <c r="G230" s="1850"/>
      <c r="H230" s="494"/>
      <c r="I230" s="494"/>
      <c r="J230" s="494"/>
      <c r="K230" s="1827"/>
      <c r="L230" s="1827"/>
      <c r="M230" s="1827"/>
      <c r="N230" s="482">
        <v>294</v>
      </c>
      <c r="O230" s="1850"/>
      <c r="P230" s="1850"/>
      <c r="Q230" s="1850"/>
      <c r="R230" s="1850"/>
      <c r="S230" s="1850"/>
      <c r="T230" s="1850"/>
      <c r="U230" s="494"/>
      <c r="V230" s="494"/>
      <c r="W230" s="494"/>
      <c r="X230" s="1827"/>
      <c r="Y230" s="1827"/>
      <c r="Z230" s="18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716">
        <v>218</v>
      </c>
      <c r="BB230" s="717">
        <f t="shared" si="60"/>
        <v>0</v>
      </c>
      <c r="BC230" s="520">
        <f t="shared" si="61"/>
        <v>0</v>
      </c>
      <c r="BD230" s="702">
        <f t="shared" si="59"/>
        <v>0</v>
      </c>
      <c r="BE230" s="702">
        <f t="shared" si="59"/>
        <v>0</v>
      </c>
      <c r="BF230" s="713">
        <v>264</v>
      </c>
      <c r="BG230" s="520">
        <f t="shared" si="62"/>
        <v>0</v>
      </c>
      <c r="BH230" s="520">
        <f t="shared" si="63"/>
        <v>0</v>
      </c>
      <c r="BI230" s="520" t="b">
        <v>0</v>
      </c>
      <c r="BJ230" s="713">
        <v>294</v>
      </c>
      <c r="BK230" s="520">
        <f t="shared" si="64"/>
        <v>0</v>
      </c>
      <c r="BL230" s="520">
        <f t="shared" si="65"/>
        <v>0</v>
      </c>
      <c r="BM230" s="520" t="b">
        <v>0</v>
      </c>
    </row>
    <row r="231" spans="1:65" ht="24.95" customHeight="1">
      <c r="A231" s="482">
        <v>265</v>
      </c>
      <c r="B231" s="1850"/>
      <c r="C231" s="1850"/>
      <c r="D231" s="1850"/>
      <c r="E231" s="1850"/>
      <c r="F231" s="1850"/>
      <c r="G231" s="1850"/>
      <c r="H231" s="494"/>
      <c r="I231" s="494"/>
      <c r="J231" s="494"/>
      <c r="K231" s="1827"/>
      <c r="L231" s="1827"/>
      <c r="M231" s="1827"/>
      <c r="N231" s="482">
        <v>295</v>
      </c>
      <c r="O231" s="1850"/>
      <c r="P231" s="1850"/>
      <c r="Q231" s="1850"/>
      <c r="R231" s="1850"/>
      <c r="S231" s="1850"/>
      <c r="T231" s="1850"/>
      <c r="U231" s="494"/>
      <c r="V231" s="494"/>
      <c r="W231" s="494"/>
      <c r="X231" s="1827"/>
      <c r="Y231" s="1827"/>
      <c r="Z231" s="18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716">
        <v>219</v>
      </c>
      <c r="BB231" s="717">
        <f t="shared" si="60"/>
        <v>0</v>
      </c>
      <c r="BC231" s="520">
        <f t="shared" si="61"/>
        <v>0</v>
      </c>
      <c r="BD231" s="702">
        <f t="shared" si="59"/>
        <v>0</v>
      </c>
      <c r="BE231" s="702">
        <f t="shared" si="59"/>
        <v>0</v>
      </c>
      <c r="BF231" s="713">
        <v>265</v>
      </c>
      <c r="BG231" s="520">
        <f t="shared" si="62"/>
        <v>0</v>
      </c>
      <c r="BH231" s="520">
        <f t="shared" si="63"/>
        <v>0</v>
      </c>
      <c r="BI231" s="520" t="b">
        <v>0</v>
      </c>
      <c r="BJ231" s="713">
        <v>295</v>
      </c>
      <c r="BK231" s="520">
        <f t="shared" si="64"/>
        <v>0</v>
      </c>
      <c r="BL231" s="520">
        <f t="shared" si="65"/>
        <v>0</v>
      </c>
      <c r="BM231" s="520" t="b">
        <v>0</v>
      </c>
    </row>
    <row r="232" spans="1:65" ht="24.95" customHeight="1">
      <c r="A232" s="482">
        <v>266</v>
      </c>
      <c r="B232" s="1850"/>
      <c r="C232" s="1850"/>
      <c r="D232" s="1850"/>
      <c r="E232" s="1850"/>
      <c r="F232" s="1850"/>
      <c r="G232" s="1850"/>
      <c r="H232" s="494"/>
      <c r="I232" s="494"/>
      <c r="J232" s="494"/>
      <c r="K232" s="1827"/>
      <c r="L232" s="1827"/>
      <c r="M232" s="1827"/>
      <c r="N232" s="482">
        <v>296</v>
      </c>
      <c r="O232" s="1850"/>
      <c r="P232" s="1850"/>
      <c r="Q232" s="1850"/>
      <c r="R232" s="1850"/>
      <c r="S232" s="1850"/>
      <c r="T232" s="1850"/>
      <c r="U232" s="494"/>
      <c r="V232" s="494"/>
      <c r="W232" s="494"/>
      <c r="X232" s="1827"/>
      <c r="Y232" s="1827"/>
      <c r="Z232" s="18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716">
        <v>220</v>
      </c>
      <c r="BB232" s="717">
        <f t="shared" si="60"/>
        <v>0</v>
      </c>
      <c r="BC232" s="520">
        <f t="shared" si="61"/>
        <v>0</v>
      </c>
      <c r="BD232" s="702">
        <f t="shared" si="59"/>
        <v>0</v>
      </c>
      <c r="BE232" s="702">
        <f t="shared" si="59"/>
        <v>0</v>
      </c>
      <c r="BF232" s="713">
        <v>266</v>
      </c>
      <c r="BG232" s="520">
        <f t="shared" si="62"/>
        <v>0</v>
      </c>
      <c r="BH232" s="520">
        <f t="shared" si="63"/>
        <v>0</v>
      </c>
      <c r="BI232" s="520" t="b">
        <v>0</v>
      </c>
      <c r="BJ232" s="713">
        <v>296</v>
      </c>
      <c r="BK232" s="520">
        <f t="shared" si="64"/>
        <v>0</v>
      </c>
      <c r="BL232" s="520">
        <f t="shared" si="65"/>
        <v>0</v>
      </c>
      <c r="BM232" s="520" t="b">
        <v>0</v>
      </c>
    </row>
    <row r="233" spans="1:65" ht="24.95" customHeight="1">
      <c r="A233" s="482">
        <v>267</v>
      </c>
      <c r="B233" s="1850"/>
      <c r="C233" s="1850"/>
      <c r="D233" s="1850"/>
      <c r="E233" s="1850"/>
      <c r="F233" s="1850"/>
      <c r="G233" s="1850"/>
      <c r="H233" s="494"/>
      <c r="I233" s="494"/>
      <c r="J233" s="494"/>
      <c r="K233" s="1827"/>
      <c r="L233" s="1827"/>
      <c r="M233" s="1827"/>
      <c r="N233" s="482">
        <v>297</v>
      </c>
      <c r="O233" s="1850"/>
      <c r="P233" s="1850"/>
      <c r="Q233" s="1850"/>
      <c r="R233" s="1850"/>
      <c r="S233" s="1850"/>
      <c r="T233" s="1850"/>
      <c r="U233" s="494"/>
      <c r="V233" s="494"/>
      <c r="W233" s="494"/>
      <c r="X233" s="1827"/>
      <c r="Y233" s="1827"/>
      <c r="Z233" s="18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716">
        <v>221</v>
      </c>
      <c r="BB233" s="717">
        <f t="shared" si="60"/>
        <v>0</v>
      </c>
      <c r="BC233" s="520">
        <f t="shared" si="61"/>
        <v>0</v>
      </c>
      <c r="BD233" s="702">
        <f t="shared" si="59"/>
        <v>0</v>
      </c>
      <c r="BE233" s="702">
        <f t="shared" si="59"/>
        <v>0</v>
      </c>
      <c r="BF233" s="713">
        <v>267</v>
      </c>
      <c r="BG233" s="520">
        <f t="shared" si="62"/>
        <v>0</v>
      </c>
      <c r="BH233" s="520">
        <f t="shared" si="63"/>
        <v>0</v>
      </c>
      <c r="BI233" s="520" t="b">
        <v>0</v>
      </c>
      <c r="BJ233" s="713">
        <v>297</v>
      </c>
      <c r="BK233" s="520">
        <f t="shared" si="64"/>
        <v>0</v>
      </c>
      <c r="BL233" s="520">
        <f t="shared" si="65"/>
        <v>0</v>
      </c>
      <c r="BM233" s="520" t="b">
        <v>0</v>
      </c>
    </row>
    <row r="234" spans="1:65" ht="24.95" customHeight="1">
      <c r="A234" s="482">
        <v>268</v>
      </c>
      <c r="B234" s="1850"/>
      <c r="C234" s="1850"/>
      <c r="D234" s="1850"/>
      <c r="E234" s="1850"/>
      <c r="F234" s="1850"/>
      <c r="G234" s="1850"/>
      <c r="H234" s="494"/>
      <c r="I234" s="494"/>
      <c r="J234" s="494"/>
      <c r="K234" s="1827"/>
      <c r="L234" s="1827"/>
      <c r="M234" s="1827"/>
      <c r="N234" s="482">
        <v>298</v>
      </c>
      <c r="O234" s="1850"/>
      <c r="P234" s="1850"/>
      <c r="Q234" s="1850"/>
      <c r="R234" s="1850"/>
      <c r="S234" s="1850"/>
      <c r="T234" s="1850"/>
      <c r="U234" s="494"/>
      <c r="V234" s="494"/>
      <c r="W234" s="494"/>
      <c r="X234" s="1827"/>
      <c r="Y234" s="1827"/>
      <c r="Z234" s="18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716">
        <v>222</v>
      </c>
      <c r="BB234" s="717">
        <f t="shared" si="60"/>
        <v>0</v>
      </c>
      <c r="BC234" s="520">
        <f t="shared" si="61"/>
        <v>0</v>
      </c>
      <c r="BD234" s="702">
        <f t="shared" si="59"/>
        <v>0</v>
      </c>
      <c r="BE234" s="702">
        <f t="shared" si="59"/>
        <v>0</v>
      </c>
      <c r="BF234" s="713">
        <v>268</v>
      </c>
      <c r="BG234" s="520">
        <f t="shared" si="62"/>
        <v>0</v>
      </c>
      <c r="BH234" s="520">
        <f t="shared" si="63"/>
        <v>0</v>
      </c>
      <c r="BI234" s="520" t="b">
        <v>0</v>
      </c>
      <c r="BJ234" s="713">
        <v>298</v>
      </c>
      <c r="BK234" s="520">
        <f t="shared" si="64"/>
        <v>0</v>
      </c>
      <c r="BL234" s="520">
        <f t="shared" si="65"/>
        <v>0</v>
      </c>
      <c r="BM234" s="520" t="b">
        <v>0</v>
      </c>
    </row>
    <row r="235" spans="1:65" ht="24.95" customHeight="1">
      <c r="A235" s="482">
        <v>269</v>
      </c>
      <c r="B235" s="1850"/>
      <c r="C235" s="1850"/>
      <c r="D235" s="1850"/>
      <c r="E235" s="1850"/>
      <c r="F235" s="1850"/>
      <c r="G235" s="1850"/>
      <c r="H235" s="494"/>
      <c r="I235" s="494"/>
      <c r="J235" s="494"/>
      <c r="K235" s="1827"/>
      <c r="L235" s="1827"/>
      <c r="M235" s="1827"/>
      <c r="N235" s="482">
        <v>299</v>
      </c>
      <c r="O235" s="1850"/>
      <c r="P235" s="1850"/>
      <c r="Q235" s="1850"/>
      <c r="R235" s="1850"/>
      <c r="S235" s="1850"/>
      <c r="T235" s="1850"/>
      <c r="U235" s="494"/>
      <c r="V235" s="494"/>
      <c r="W235" s="494"/>
      <c r="X235" s="1827"/>
      <c r="Y235" s="1827"/>
      <c r="Z235" s="18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716">
        <v>223</v>
      </c>
      <c r="BB235" s="717">
        <f t="shared" si="60"/>
        <v>0</v>
      </c>
      <c r="BC235" s="520">
        <f t="shared" si="61"/>
        <v>0</v>
      </c>
      <c r="BD235" s="702">
        <f t="shared" si="59"/>
        <v>0</v>
      </c>
      <c r="BE235" s="702">
        <f t="shared" si="59"/>
        <v>0</v>
      </c>
      <c r="BF235" s="713">
        <v>269</v>
      </c>
      <c r="BG235" s="520">
        <f t="shared" si="62"/>
        <v>0</v>
      </c>
      <c r="BH235" s="520">
        <f t="shared" si="63"/>
        <v>0</v>
      </c>
      <c r="BI235" s="520" t="b">
        <v>0</v>
      </c>
      <c r="BJ235" s="713">
        <v>299</v>
      </c>
      <c r="BK235" s="520">
        <f t="shared" si="64"/>
        <v>0</v>
      </c>
      <c r="BL235" s="520">
        <f t="shared" si="65"/>
        <v>0</v>
      </c>
      <c r="BM235" s="520" t="b">
        <v>0</v>
      </c>
    </row>
    <row r="236" spans="1:65" ht="24.95" customHeight="1">
      <c r="A236" s="482">
        <v>270</v>
      </c>
      <c r="B236" s="1850"/>
      <c r="C236" s="1850"/>
      <c r="D236" s="1850"/>
      <c r="E236" s="1850"/>
      <c r="F236" s="1850"/>
      <c r="G236" s="1850"/>
      <c r="H236" s="494"/>
      <c r="I236" s="494"/>
      <c r="J236" s="494"/>
      <c r="K236" s="1827"/>
      <c r="L236" s="1827"/>
      <c r="M236" s="1827"/>
      <c r="N236" s="482">
        <v>300</v>
      </c>
      <c r="O236" s="1850"/>
      <c r="P236" s="1850"/>
      <c r="Q236" s="1850"/>
      <c r="R236" s="1850"/>
      <c r="S236" s="1850"/>
      <c r="T236" s="1850"/>
      <c r="U236" s="494"/>
      <c r="V236" s="494"/>
      <c r="W236" s="494"/>
      <c r="X236" s="1827"/>
      <c r="Y236" s="1827"/>
      <c r="Z236" s="18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716">
        <v>224</v>
      </c>
      <c r="BB236" s="717">
        <f t="shared" si="60"/>
        <v>0</v>
      </c>
      <c r="BC236" s="520">
        <f t="shared" si="61"/>
        <v>0</v>
      </c>
      <c r="BD236" s="702">
        <f t="shared" si="59"/>
        <v>0</v>
      </c>
      <c r="BE236" s="702">
        <f t="shared" si="59"/>
        <v>0</v>
      </c>
      <c r="BF236" s="713">
        <v>270</v>
      </c>
      <c r="BG236" s="520">
        <f t="shared" si="62"/>
        <v>0</v>
      </c>
      <c r="BH236" s="520">
        <f t="shared" si="63"/>
        <v>0</v>
      </c>
      <c r="BI236" s="520" t="b">
        <v>0</v>
      </c>
      <c r="BJ236" s="713">
        <v>300</v>
      </c>
      <c r="BK236" s="520">
        <f t="shared" si="64"/>
        <v>0</v>
      </c>
      <c r="BL236" s="520">
        <f t="shared" si="65"/>
        <v>0</v>
      </c>
      <c r="BM236" s="520" t="b">
        <v>0</v>
      </c>
    </row>
    <row r="237" spans="1:65" ht="24.95" customHeight="1">
      <c r="A237" s="482">
        <v>271</v>
      </c>
      <c r="B237" s="1850"/>
      <c r="C237" s="1850"/>
      <c r="D237" s="1850"/>
      <c r="E237" s="1850"/>
      <c r="F237" s="1850"/>
      <c r="G237" s="1850"/>
      <c r="H237" s="494"/>
      <c r="I237" s="494"/>
      <c r="J237" s="494"/>
      <c r="K237" s="1827"/>
      <c r="L237" s="1827"/>
      <c r="M237" s="1827"/>
      <c r="N237" s="482">
        <v>301</v>
      </c>
      <c r="O237" s="1850"/>
      <c r="P237" s="1850"/>
      <c r="Q237" s="1850"/>
      <c r="R237" s="1850"/>
      <c r="S237" s="1850"/>
      <c r="T237" s="1850"/>
      <c r="U237" s="494"/>
      <c r="V237" s="494"/>
      <c r="W237" s="494"/>
      <c r="X237" s="1827"/>
      <c r="Y237" s="1827"/>
      <c r="Z237" s="18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716">
        <v>225</v>
      </c>
      <c r="BB237" s="717">
        <f t="shared" si="60"/>
        <v>0</v>
      </c>
      <c r="BC237" s="520">
        <f t="shared" si="61"/>
        <v>0</v>
      </c>
      <c r="BD237" s="702">
        <f t="shared" si="59"/>
        <v>0</v>
      </c>
      <c r="BE237" s="702">
        <f t="shared" si="59"/>
        <v>0</v>
      </c>
      <c r="BF237" s="713">
        <v>271</v>
      </c>
      <c r="BG237" s="520">
        <f t="shared" si="62"/>
        <v>0</v>
      </c>
      <c r="BH237" s="520">
        <f t="shared" si="63"/>
        <v>0</v>
      </c>
      <c r="BI237" s="520" t="b">
        <v>0</v>
      </c>
      <c r="BJ237" s="713">
        <v>301</v>
      </c>
      <c r="BK237" s="520">
        <f t="shared" si="64"/>
        <v>0</v>
      </c>
      <c r="BL237" s="520">
        <f t="shared" si="65"/>
        <v>0</v>
      </c>
      <c r="BM237" s="520" t="b">
        <v>0</v>
      </c>
    </row>
    <row r="238" spans="1:65" ht="24.95" customHeight="1">
      <c r="A238" s="482">
        <v>272</v>
      </c>
      <c r="B238" s="1850"/>
      <c r="C238" s="1850"/>
      <c r="D238" s="1850"/>
      <c r="E238" s="1850"/>
      <c r="F238" s="1850"/>
      <c r="G238" s="1850"/>
      <c r="H238" s="494"/>
      <c r="I238" s="494"/>
      <c r="J238" s="494"/>
      <c r="K238" s="1827"/>
      <c r="L238" s="1827"/>
      <c r="M238" s="1827"/>
      <c r="N238" s="482">
        <v>302</v>
      </c>
      <c r="O238" s="1850"/>
      <c r="P238" s="1850"/>
      <c r="Q238" s="1850"/>
      <c r="R238" s="1850"/>
      <c r="S238" s="1850"/>
      <c r="T238" s="1850"/>
      <c r="U238" s="494"/>
      <c r="V238" s="494"/>
      <c r="W238" s="494"/>
      <c r="X238" s="1827"/>
      <c r="Y238" s="1827"/>
      <c r="Z238" s="18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716">
        <v>226</v>
      </c>
      <c r="BB238" s="717">
        <f t="shared" si="60"/>
        <v>0</v>
      </c>
      <c r="BC238" s="520">
        <f t="shared" si="61"/>
        <v>0</v>
      </c>
      <c r="BD238" s="702">
        <f t="shared" si="59"/>
        <v>0</v>
      </c>
      <c r="BE238" s="702">
        <f t="shared" si="59"/>
        <v>0</v>
      </c>
      <c r="BF238" s="713">
        <v>272</v>
      </c>
      <c r="BG238" s="520">
        <f t="shared" si="62"/>
        <v>0</v>
      </c>
      <c r="BH238" s="520">
        <f t="shared" si="63"/>
        <v>0</v>
      </c>
      <c r="BI238" s="520" t="b">
        <v>0</v>
      </c>
      <c r="BJ238" s="713">
        <v>302</v>
      </c>
      <c r="BK238" s="520">
        <f t="shared" si="64"/>
        <v>0</v>
      </c>
      <c r="BL238" s="520">
        <f t="shared" si="65"/>
        <v>0</v>
      </c>
      <c r="BM238" s="520" t="b">
        <v>0</v>
      </c>
    </row>
    <row r="239" spans="1:65" ht="24.95" customHeight="1">
      <c r="A239" s="482">
        <v>273</v>
      </c>
      <c r="B239" s="1850"/>
      <c r="C239" s="1850"/>
      <c r="D239" s="1850"/>
      <c r="E239" s="1850"/>
      <c r="F239" s="1850"/>
      <c r="G239" s="1850"/>
      <c r="H239" s="494"/>
      <c r="I239" s="494"/>
      <c r="J239" s="494"/>
      <c r="K239" s="1827"/>
      <c r="L239" s="1827"/>
      <c r="M239" s="1827"/>
      <c r="N239" s="482">
        <v>303</v>
      </c>
      <c r="O239" s="1850"/>
      <c r="P239" s="1850"/>
      <c r="Q239" s="1850"/>
      <c r="R239" s="1850"/>
      <c r="S239" s="1850"/>
      <c r="T239" s="1850"/>
      <c r="U239" s="494"/>
      <c r="V239" s="494"/>
      <c r="W239" s="494"/>
      <c r="X239" s="1827"/>
      <c r="Y239" s="1827"/>
      <c r="Z239" s="18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716">
        <v>227</v>
      </c>
      <c r="BB239" s="717">
        <f t="shared" si="60"/>
        <v>0</v>
      </c>
      <c r="BC239" s="520">
        <f t="shared" si="61"/>
        <v>0</v>
      </c>
      <c r="BD239" s="702">
        <f t="shared" si="59"/>
        <v>0</v>
      </c>
      <c r="BE239" s="702">
        <f t="shared" si="59"/>
        <v>0</v>
      </c>
      <c r="BF239" s="713">
        <v>273</v>
      </c>
      <c r="BG239" s="520">
        <f t="shared" si="62"/>
        <v>0</v>
      </c>
      <c r="BH239" s="520">
        <f t="shared" si="63"/>
        <v>0</v>
      </c>
      <c r="BI239" s="520" t="b">
        <v>0</v>
      </c>
      <c r="BJ239" s="713">
        <v>303</v>
      </c>
      <c r="BK239" s="520">
        <f t="shared" si="64"/>
        <v>0</v>
      </c>
      <c r="BL239" s="520">
        <f t="shared" si="65"/>
        <v>0</v>
      </c>
      <c r="BM239" s="520" t="b">
        <v>0</v>
      </c>
    </row>
    <row r="240" spans="1:65" ht="24.95" customHeight="1">
      <c r="A240" s="482">
        <v>274</v>
      </c>
      <c r="B240" s="1850"/>
      <c r="C240" s="1850"/>
      <c r="D240" s="1850"/>
      <c r="E240" s="1850"/>
      <c r="F240" s="1850"/>
      <c r="G240" s="1850"/>
      <c r="H240" s="494"/>
      <c r="I240" s="494"/>
      <c r="J240" s="494"/>
      <c r="K240" s="1827"/>
      <c r="L240" s="1827"/>
      <c r="M240" s="1827"/>
      <c r="N240" s="482">
        <v>304</v>
      </c>
      <c r="O240" s="1850"/>
      <c r="P240" s="1850"/>
      <c r="Q240" s="1850"/>
      <c r="R240" s="1850"/>
      <c r="S240" s="1850"/>
      <c r="T240" s="1850"/>
      <c r="U240" s="494"/>
      <c r="V240" s="494"/>
      <c r="W240" s="494"/>
      <c r="X240" s="1827"/>
      <c r="Y240" s="1827"/>
      <c r="Z240" s="18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716">
        <v>228</v>
      </c>
      <c r="BB240" s="717">
        <f t="shared" si="60"/>
        <v>0</v>
      </c>
      <c r="BC240" s="520">
        <f t="shared" si="61"/>
        <v>0</v>
      </c>
      <c r="BD240" s="702">
        <f t="shared" si="59"/>
        <v>0</v>
      </c>
      <c r="BE240" s="702">
        <f t="shared" si="59"/>
        <v>0</v>
      </c>
      <c r="BF240" s="713">
        <v>274</v>
      </c>
      <c r="BG240" s="520">
        <f t="shared" si="62"/>
        <v>0</v>
      </c>
      <c r="BH240" s="520">
        <f t="shared" si="63"/>
        <v>0</v>
      </c>
      <c r="BI240" s="520" t="b">
        <v>0</v>
      </c>
      <c r="BJ240" s="713">
        <v>304</v>
      </c>
      <c r="BK240" s="520">
        <f t="shared" si="64"/>
        <v>0</v>
      </c>
      <c r="BL240" s="520">
        <f t="shared" si="65"/>
        <v>0</v>
      </c>
      <c r="BM240" s="520" t="b">
        <v>0</v>
      </c>
    </row>
    <row r="241" spans="1:65" ht="24.95" customHeight="1">
      <c r="A241" s="482">
        <v>275</v>
      </c>
      <c r="B241" s="1850"/>
      <c r="C241" s="1850"/>
      <c r="D241" s="1850"/>
      <c r="E241" s="1850"/>
      <c r="F241" s="1850"/>
      <c r="G241" s="1850"/>
      <c r="H241" s="494"/>
      <c r="I241" s="494"/>
      <c r="J241" s="494"/>
      <c r="K241" s="1827"/>
      <c r="L241" s="1827"/>
      <c r="M241" s="1827"/>
      <c r="N241" s="482">
        <v>305</v>
      </c>
      <c r="O241" s="1850"/>
      <c r="P241" s="1850"/>
      <c r="Q241" s="1850"/>
      <c r="R241" s="1850"/>
      <c r="S241" s="1850"/>
      <c r="T241" s="1850"/>
      <c r="U241" s="494"/>
      <c r="V241" s="494"/>
      <c r="W241" s="494"/>
      <c r="X241" s="1827"/>
      <c r="Y241" s="1827"/>
      <c r="Z241" s="18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716">
        <v>229</v>
      </c>
      <c r="BB241" s="717">
        <f t="shared" si="60"/>
        <v>0</v>
      </c>
      <c r="BC241" s="520">
        <f t="shared" si="61"/>
        <v>0</v>
      </c>
      <c r="BD241" s="702">
        <f t="shared" si="59"/>
        <v>0</v>
      </c>
      <c r="BE241" s="702">
        <f t="shared" si="59"/>
        <v>0</v>
      </c>
      <c r="BF241" s="713">
        <v>275</v>
      </c>
      <c r="BG241" s="520">
        <f t="shared" si="62"/>
        <v>0</v>
      </c>
      <c r="BH241" s="520">
        <f t="shared" si="63"/>
        <v>0</v>
      </c>
      <c r="BI241" s="520" t="b">
        <v>0</v>
      </c>
      <c r="BJ241" s="713">
        <v>305</v>
      </c>
      <c r="BK241" s="520">
        <f t="shared" si="64"/>
        <v>0</v>
      </c>
      <c r="BL241" s="520">
        <f t="shared" si="65"/>
        <v>0</v>
      </c>
      <c r="BM241" s="520" t="b">
        <v>0</v>
      </c>
    </row>
    <row r="242" spans="1:65" ht="24.95" customHeight="1">
      <c r="A242" s="482">
        <v>276</v>
      </c>
      <c r="B242" s="1850"/>
      <c r="C242" s="1850"/>
      <c r="D242" s="1850"/>
      <c r="E242" s="1850"/>
      <c r="F242" s="1850"/>
      <c r="G242" s="1850"/>
      <c r="H242" s="494"/>
      <c r="I242" s="494"/>
      <c r="J242" s="494"/>
      <c r="K242" s="1827"/>
      <c r="L242" s="1827"/>
      <c r="M242" s="1827"/>
      <c r="N242" s="482">
        <v>306</v>
      </c>
      <c r="O242" s="1850"/>
      <c r="P242" s="1850"/>
      <c r="Q242" s="1850"/>
      <c r="R242" s="1850"/>
      <c r="S242" s="1850"/>
      <c r="T242" s="1850"/>
      <c r="U242" s="494"/>
      <c r="V242" s="494"/>
      <c r="W242" s="494"/>
      <c r="X242" s="1827"/>
      <c r="Y242" s="1827"/>
      <c r="Z242" s="18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716">
        <v>230</v>
      </c>
      <c r="BB242" s="717">
        <f t="shared" si="60"/>
        <v>0</v>
      </c>
      <c r="BC242" s="520">
        <f t="shared" si="61"/>
        <v>0</v>
      </c>
      <c r="BD242" s="702">
        <f t="shared" si="59"/>
        <v>0</v>
      </c>
      <c r="BE242" s="702">
        <f t="shared" si="59"/>
        <v>0</v>
      </c>
      <c r="BF242" s="713">
        <v>276</v>
      </c>
      <c r="BG242" s="520">
        <f t="shared" si="62"/>
        <v>0</v>
      </c>
      <c r="BH242" s="520">
        <f t="shared" si="63"/>
        <v>0</v>
      </c>
      <c r="BI242" s="520" t="b">
        <v>0</v>
      </c>
      <c r="BJ242" s="713">
        <v>306</v>
      </c>
      <c r="BK242" s="520">
        <f t="shared" si="64"/>
        <v>0</v>
      </c>
      <c r="BL242" s="520">
        <f t="shared" si="65"/>
        <v>0</v>
      </c>
      <c r="BM242" s="520" t="b">
        <v>0</v>
      </c>
    </row>
    <row r="243" spans="1:65" ht="24.95" customHeight="1">
      <c r="A243" s="482">
        <v>277</v>
      </c>
      <c r="B243" s="1850"/>
      <c r="C243" s="1850"/>
      <c r="D243" s="1850"/>
      <c r="E243" s="1850"/>
      <c r="F243" s="1850"/>
      <c r="G243" s="1850"/>
      <c r="H243" s="494"/>
      <c r="I243" s="494"/>
      <c r="J243" s="494"/>
      <c r="K243" s="1827"/>
      <c r="L243" s="1827"/>
      <c r="M243" s="1827"/>
      <c r="N243" s="482">
        <v>307</v>
      </c>
      <c r="O243" s="1850"/>
      <c r="P243" s="1850"/>
      <c r="Q243" s="1850"/>
      <c r="R243" s="1850"/>
      <c r="S243" s="1850"/>
      <c r="T243" s="1850"/>
      <c r="U243" s="494"/>
      <c r="V243" s="494"/>
      <c r="W243" s="494"/>
      <c r="X243" s="1827"/>
      <c r="Y243" s="1827"/>
      <c r="Z243" s="18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716">
        <v>231</v>
      </c>
      <c r="BB243" s="717">
        <f t="shared" ref="BB243:BB272" si="66">COUNTA(U184:V184)</f>
        <v>0</v>
      </c>
      <c r="BC243" s="520">
        <f t="shared" ref="BC243:BC272" si="67">COUNTA(X184)</f>
        <v>0</v>
      </c>
      <c r="BD243" s="702">
        <f t="shared" ref="BD243:BE258" si="68">BB243-COUNTA(H184)</f>
        <v>0</v>
      </c>
      <c r="BE243" s="702">
        <f t="shared" si="68"/>
        <v>0</v>
      </c>
      <c r="BF243" s="713">
        <v>277</v>
      </c>
      <c r="BG243" s="520">
        <f t="shared" si="62"/>
        <v>0</v>
      </c>
      <c r="BH243" s="520">
        <f t="shared" si="63"/>
        <v>0</v>
      </c>
      <c r="BI243" s="520" t="b">
        <v>0</v>
      </c>
      <c r="BJ243" s="713">
        <v>307</v>
      </c>
      <c r="BK243" s="520">
        <f t="shared" si="64"/>
        <v>0</v>
      </c>
      <c r="BL243" s="520">
        <f t="shared" si="65"/>
        <v>0</v>
      </c>
      <c r="BM243" s="520" t="b">
        <v>0</v>
      </c>
    </row>
    <row r="244" spans="1:65" ht="24.95" customHeight="1">
      <c r="A244" s="482">
        <v>278</v>
      </c>
      <c r="B244" s="1850"/>
      <c r="C244" s="1850"/>
      <c r="D244" s="1850"/>
      <c r="E244" s="1850"/>
      <c r="F244" s="1850"/>
      <c r="G244" s="1850"/>
      <c r="H244" s="494"/>
      <c r="I244" s="494"/>
      <c r="J244" s="494"/>
      <c r="K244" s="1827"/>
      <c r="L244" s="1827"/>
      <c r="M244" s="1827"/>
      <c r="N244" s="482">
        <v>308</v>
      </c>
      <c r="O244" s="1850"/>
      <c r="P244" s="1850"/>
      <c r="Q244" s="1850"/>
      <c r="R244" s="1850"/>
      <c r="S244" s="1850"/>
      <c r="T244" s="1850"/>
      <c r="U244" s="494"/>
      <c r="V244" s="494"/>
      <c r="W244" s="494"/>
      <c r="X244" s="1827"/>
      <c r="Y244" s="1827"/>
      <c r="Z244" s="18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716">
        <v>232</v>
      </c>
      <c r="BB244" s="717">
        <f t="shared" si="66"/>
        <v>0</v>
      </c>
      <c r="BC244" s="520">
        <f t="shared" si="67"/>
        <v>0</v>
      </c>
      <c r="BD244" s="702">
        <f t="shared" si="68"/>
        <v>0</v>
      </c>
      <c r="BE244" s="702">
        <f t="shared" si="68"/>
        <v>0</v>
      </c>
      <c r="BF244" s="713">
        <v>278</v>
      </c>
      <c r="BG244" s="520">
        <f t="shared" si="62"/>
        <v>0</v>
      </c>
      <c r="BH244" s="520">
        <f t="shared" si="63"/>
        <v>0</v>
      </c>
      <c r="BI244" s="520" t="b">
        <v>0</v>
      </c>
      <c r="BJ244" s="713">
        <v>308</v>
      </c>
      <c r="BK244" s="520">
        <f t="shared" si="64"/>
        <v>0</v>
      </c>
      <c r="BL244" s="520">
        <f t="shared" si="65"/>
        <v>0</v>
      </c>
      <c r="BM244" s="520" t="b">
        <v>0</v>
      </c>
    </row>
    <row r="245" spans="1:65" ht="24.95" customHeight="1">
      <c r="A245" s="482">
        <v>279</v>
      </c>
      <c r="B245" s="1850"/>
      <c r="C245" s="1850"/>
      <c r="D245" s="1850"/>
      <c r="E245" s="1850"/>
      <c r="F245" s="1850"/>
      <c r="G245" s="1850"/>
      <c r="H245" s="494"/>
      <c r="I245" s="494"/>
      <c r="J245" s="494"/>
      <c r="K245" s="1827"/>
      <c r="L245" s="1827"/>
      <c r="M245" s="1827"/>
      <c r="N245" s="482">
        <v>309</v>
      </c>
      <c r="O245" s="1850"/>
      <c r="P245" s="1850"/>
      <c r="Q245" s="1850"/>
      <c r="R245" s="1850"/>
      <c r="S245" s="1850"/>
      <c r="T245" s="1850"/>
      <c r="U245" s="494"/>
      <c r="V245" s="494"/>
      <c r="W245" s="494"/>
      <c r="X245" s="1827"/>
      <c r="Y245" s="1827"/>
      <c r="Z245" s="18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716">
        <v>233</v>
      </c>
      <c r="BB245" s="717">
        <f t="shared" si="66"/>
        <v>0</v>
      </c>
      <c r="BC245" s="520">
        <f t="shared" si="67"/>
        <v>0</v>
      </c>
      <c r="BD245" s="702">
        <f t="shared" si="68"/>
        <v>0</v>
      </c>
      <c r="BE245" s="702">
        <f t="shared" si="68"/>
        <v>0</v>
      </c>
      <c r="BF245" s="713">
        <v>279</v>
      </c>
      <c r="BG245" s="520">
        <f t="shared" si="62"/>
        <v>0</v>
      </c>
      <c r="BH245" s="520">
        <f t="shared" si="63"/>
        <v>0</v>
      </c>
      <c r="BI245" s="520" t="b">
        <v>0</v>
      </c>
      <c r="BJ245" s="713">
        <v>309</v>
      </c>
      <c r="BK245" s="520">
        <f t="shared" si="64"/>
        <v>0</v>
      </c>
      <c r="BL245" s="520">
        <f t="shared" si="65"/>
        <v>0</v>
      </c>
      <c r="BM245" s="520" t="b">
        <v>0</v>
      </c>
    </row>
    <row r="246" spans="1:65" ht="24.95" customHeight="1">
      <c r="A246" s="482">
        <v>280</v>
      </c>
      <c r="B246" s="1850"/>
      <c r="C246" s="1850"/>
      <c r="D246" s="1850"/>
      <c r="E246" s="1850"/>
      <c r="F246" s="1850"/>
      <c r="G246" s="1850"/>
      <c r="H246" s="494"/>
      <c r="I246" s="494"/>
      <c r="J246" s="494"/>
      <c r="K246" s="1827"/>
      <c r="L246" s="1827"/>
      <c r="M246" s="1827"/>
      <c r="N246" s="482">
        <v>310</v>
      </c>
      <c r="O246" s="1850"/>
      <c r="P246" s="1850"/>
      <c r="Q246" s="1850"/>
      <c r="R246" s="1850"/>
      <c r="S246" s="1850"/>
      <c r="T246" s="1850"/>
      <c r="U246" s="494"/>
      <c r="V246" s="494"/>
      <c r="W246" s="494"/>
      <c r="X246" s="1827"/>
      <c r="Y246" s="1827"/>
      <c r="Z246" s="18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716">
        <v>234</v>
      </c>
      <c r="BB246" s="717">
        <f t="shared" si="66"/>
        <v>0</v>
      </c>
      <c r="BC246" s="520">
        <f t="shared" si="67"/>
        <v>0</v>
      </c>
      <c r="BD246" s="702">
        <f t="shared" si="68"/>
        <v>0</v>
      </c>
      <c r="BE246" s="702">
        <f t="shared" si="68"/>
        <v>0</v>
      </c>
      <c r="BF246" s="713">
        <v>280</v>
      </c>
      <c r="BG246" s="520">
        <f t="shared" si="62"/>
        <v>0</v>
      </c>
      <c r="BH246" s="520">
        <f t="shared" si="63"/>
        <v>0</v>
      </c>
      <c r="BI246" s="520" t="b">
        <v>0</v>
      </c>
      <c r="BJ246" s="713">
        <v>310</v>
      </c>
      <c r="BK246" s="520">
        <f t="shared" si="64"/>
        <v>0</v>
      </c>
      <c r="BL246" s="520">
        <f t="shared" si="65"/>
        <v>0</v>
      </c>
      <c r="BM246" s="520" t="b">
        <v>0</v>
      </c>
    </row>
    <row r="247" spans="1:65" ht="24.95" customHeight="1">
      <c r="A247" s="482">
        <v>281</v>
      </c>
      <c r="B247" s="1850"/>
      <c r="C247" s="1850"/>
      <c r="D247" s="1850"/>
      <c r="E247" s="1850"/>
      <c r="F247" s="1850"/>
      <c r="G247" s="1850"/>
      <c r="H247" s="494"/>
      <c r="I247" s="494"/>
      <c r="J247" s="494"/>
      <c r="K247" s="1827"/>
      <c r="L247" s="1827"/>
      <c r="M247" s="1827"/>
      <c r="N247" s="482">
        <v>311</v>
      </c>
      <c r="O247" s="1850"/>
      <c r="P247" s="1850"/>
      <c r="Q247" s="1850"/>
      <c r="R247" s="1850"/>
      <c r="S247" s="1850"/>
      <c r="T247" s="1850"/>
      <c r="U247" s="494"/>
      <c r="V247" s="494"/>
      <c r="W247" s="494"/>
      <c r="X247" s="1827"/>
      <c r="Y247" s="1827"/>
      <c r="Z247" s="18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716">
        <v>235</v>
      </c>
      <c r="BB247" s="717">
        <f t="shared" si="66"/>
        <v>0</v>
      </c>
      <c r="BC247" s="520">
        <f t="shared" si="67"/>
        <v>0</v>
      </c>
      <c r="BD247" s="702">
        <f t="shared" si="68"/>
        <v>0</v>
      </c>
      <c r="BE247" s="702">
        <f t="shared" si="68"/>
        <v>0</v>
      </c>
      <c r="BF247" s="713">
        <v>281</v>
      </c>
      <c r="BG247" s="520">
        <f t="shared" si="62"/>
        <v>0</v>
      </c>
      <c r="BH247" s="520">
        <f t="shared" si="63"/>
        <v>0</v>
      </c>
      <c r="BI247" s="520" t="b">
        <v>0</v>
      </c>
      <c r="BJ247" s="713">
        <v>311</v>
      </c>
      <c r="BK247" s="520">
        <f t="shared" si="64"/>
        <v>0</v>
      </c>
      <c r="BL247" s="520">
        <f t="shared" si="65"/>
        <v>0</v>
      </c>
      <c r="BM247" s="520" t="b">
        <v>0</v>
      </c>
    </row>
    <row r="248" spans="1:65" ht="24.95" customHeight="1">
      <c r="A248" s="482">
        <v>282</v>
      </c>
      <c r="B248" s="1850"/>
      <c r="C248" s="1850"/>
      <c r="D248" s="1850"/>
      <c r="E248" s="1850"/>
      <c r="F248" s="1850"/>
      <c r="G248" s="1850"/>
      <c r="H248" s="494"/>
      <c r="I248" s="494"/>
      <c r="J248" s="494"/>
      <c r="K248" s="1827"/>
      <c r="L248" s="1827"/>
      <c r="M248" s="1827"/>
      <c r="N248" s="482">
        <v>312</v>
      </c>
      <c r="O248" s="1850"/>
      <c r="P248" s="1850"/>
      <c r="Q248" s="1850"/>
      <c r="R248" s="1850"/>
      <c r="S248" s="1850"/>
      <c r="T248" s="1850"/>
      <c r="U248" s="494"/>
      <c r="V248" s="494"/>
      <c r="W248" s="494"/>
      <c r="X248" s="1827"/>
      <c r="Y248" s="1827"/>
      <c r="Z248" s="18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716">
        <v>236</v>
      </c>
      <c r="BB248" s="717">
        <f t="shared" si="66"/>
        <v>0</v>
      </c>
      <c r="BC248" s="520">
        <f t="shared" si="67"/>
        <v>0</v>
      </c>
      <c r="BD248" s="702">
        <f t="shared" si="68"/>
        <v>0</v>
      </c>
      <c r="BE248" s="702">
        <f t="shared" si="68"/>
        <v>0</v>
      </c>
      <c r="BF248" s="713">
        <v>282</v>
      </c>
      <c r="BG248" s="520">
        <f t="shared" si="62"/>
        <v>0</v>
      </c>
      <c r="BH248" s="520">
        <f t="shared" si="63"/>
        <v>0</v>
      </c>
      <c r="BI248" s="520" t="b">
        <v>0</v>
      </c>
      <c r="BJ248" s="713">
        <v>312</v>
      </c>
      <c r="BK248" s="520">
        <f t="shared" si="64"/>
        <v>0</v>
      </c>
      <c r="BL248" s="520">
        <f t="shared" si="65"/>
        <v>0</v>
      </c>
      <c r="BM248" s="520" t="b">
        <v>0</v>
      </c>
    </row>
    <row r="249" spans="1:65" ht="24.95" customHeight="1">
      <c r="A249" s="482">
        <v>283</v>
      </c>
      <c r="B249" s="1850"/>
      <c r="C249" s="1850"/>
      <c r="D249" s="1850"/>
      <c r="E249" s="1850"/>
      <c r="F249" s="1850"/>
      <c r="G249" s="1850"/>
      <c r="H249" s="494"/>
      <c r="I249" s="494"/>
      <c r="J249" s="494"/>
      <c r="K249" s="1827"/>
      <c r="L249" s="1827"/>
      <c r="M249" s="1827"/>
      <c r="N249" s="482">
        <v>313</v>
      </c>
      <c r="O249" s="1850"/>
      <c r="P249" s="1850"/>
      <c r="Q249" s="1850"/>
      <c r="R249" s="1850"/>
      <c r="S249" s="1850"/>
      <c r="T249" s="1850"/>
      <c r="U249" s="494"/>
      <c r="V249" s="494"/>
      <c r="W249" s="494"/>
      <c r="X249" s="1827"/>
      <c r="Y249" s="1827"/>
      <c r="Z249" s="18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716">
        <v>237</v>
      </c>
      <c r="BB249" s="717">
        <f t="shared" si="66"/>
        <v>0</v>
      </c>
      <c r="BC249" s="520">
        <f t="shared" si="67"/>
        <v>0</v>
      </c>
      <c r="BD249" s="702">
        <f t="shared" si="68"/>
        <v>0</v>
      </c>
      <c r="BE249" s="702">
        <f t="shared" si="68"/>
        <v>0</v>
      </c>
      <c r="BF249" s="713">
        <v>283</v>
      </c>
      <c r="BG249" s="520">
        <f t="shared" si="62"/>
        <v>0</v>
      </c>
      <c r="BH249" s="520">
        <f t="shared" si="63"/>
        <v>0</v>
      </c>
      <c r="BI249" s="520" t="b">
        <v>0</v>
      </c>
      <c r="BJ249" s="713">
        <v>313</v>
      </c>
      <c r="BK249" s="520">
        <f t="shared" si="64"/>
        <v>0</v>
      </c>
      <c r="BL249" s="520">
        <f t="shared" si="65"/>
        <v>0</v>
      </c>
      <c r="BM249" s="520" t="b">
        <v>0</v>
      </c>
    </row>
    <row r="250" spans="1:65" ht="24.95" customHeight="1">
      <c r="A250" s="482">
        <v>284</v>
      </c>
      <c r="B250" s="1850"/>
      <c r="C250" s="1850"/>
      <c r="D250" s="1850"/>
      <c r="E250" s="1850"/>
      <c r="F250" s="1850"/>
      <c r="G250" s="1850"/>
      <c r="H250" s="494"/>
      <c r="I250" s="494"/>
      <c r="J250" s="494"/>
      <c r="K250" s="1827"/>
      <c r="L250" s="1827"/>
      <c r="M250" s="1827"/>
      <c r="N250" s="482">
        <v>314</v>
      </c>
      <c r="O250" s="1850"/>
      <c r="P250" s="1850"/>
      <c r="Q250" s="1850"/>
      <c r="R250" s="1850"/>
      <c r="S250" s="1850"/>
      <c r="T250" s="1850"/>
      <c r="U250" s="494"/>
      <c r="V250" s="494"/>
      <c r="W250" s="494"/>
      <c r="X250" s="1827"/>
      <c r="Y250" s="1827"/>
      <c r="Z250" s="18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716">
        <v>238</v>
      </c>
      <c r="BB250" s="717">
        <f t="shared" si="66"/>
        <v>0</v>
      </c>
      <c r="BC250" s="520">
        <f t="shared" si="67"/>
        <v>0</v>
      </c>
      <c r="BD250" s="702">
        <f t="shared" si="68"/>
        <v>0</v>
      </c>
      <c r="BE250" s="702">
        <f t="shared" si="68"/>
        <v>0</v>
      </c>
      <c r="BF250" s="713">
        <v>284</v>
      </c>
      <c r="BG250" s="520">
        <f t="shared" si="62"/>
        <v>0</v>
      </c>
      <c r="BH250" s="520">
        <f t="shared" si="63"/>
        <v>0</v>
      </c>
      <c r="BI250" s="520" t="b">
        <v>0</v>
      </c>
      <c r="BJ250" s="713">
        <v>314</v>
      </c>
      <c r="BK250" s="520">
        <f t="shared" si="64"/>
        <v>0</v>
      </c>
      <c r="BL250" s="520">
        <f t="shared" si="65"/>
        <v>0</v>
      </c>
      <c r="BM250" s="520" t="b">
        <v>0</v>
      </c>
    </row>
    <row r="251" spans="1:65" ht="24.95" customHeight="1">
      <c r="A251" s="482">
        <v>285</v>
      </c>
      <c r="B251" s="1850"/>
      <c r="C251" s="1850"/>
      <c r="D251" s="1850"/>
      <c r="E251" s="1850"/>
      <c r="F251" s="1850"/>
      <c r="G251" s="1850"/>
      <c r="H251" s="494"/>
      <c r="I251" s="494"/>
      <c r="J251" s="494"/>
      <c r="K251" s="1827"/>
      <c r="L251" s="1827"/>
      <c r="M251" s="1827"/>
      <c r="N251" s="482">
        <v>315</v>
      </c>
      <c r="O251" s="1850"/>
      <c r="P251" s="1850"/>
      <c r="Q251" s="1850"/>
      <c r="R251" s="1850"/>
      <c r="S251" s="1850"/>
      <c r="T251" s="1850"/>
      <c r="U251" s="494"/>
      <c r="V251" s="494"/>
      <c r="W251" s="494"/>
      <c r="X251" s="1827"/>
      <c r="Y251" s="1827"/>
      <c r="Z251" s="18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716">
        <v>239</v>
      </c>
      <c r="BB251" s="717">
        <f t="shared" si="66"/>
        <v>0</v>
      </c>
      <c r="BC251" s="520">
        <f t="shared" si="67"/>
        <v>0</v>
      </c>
      <c r="BD251" s="702">
        <f t="shared" si="68"/>
        <v>0</v>
      </c>
      <c r="BE251" s="702">
        <f t="shared" si="68"/>
        <v>0</v>
      </c>
      <c r="BF251" s="713">
        <v>285</v>
      </c>
      <c r="BG251" s="520">
        <f t="shared" si="62"/>
        <v>0</v>
      </c>
      <c r="BH251" s="520">
        <f t="shared" si="63"/>
        <v>0</v>
      </c>
      <c r="BI251" s="520" t="b">
        <v>0</v>
      </c>
      <c r="BJ251" s="713">
        <v>315</v>
      </c>
      <c r="BK251" s="520">
        <f t="shared" si="64"/>
        <v>0</v>
      </c>
      <c r="BL251" s="520">
        <f t="shared" si="65"/>
        <v>0</v>
      </c>
      <c r="BM251" s="520" t="b">
        <v>0</v>
      </c>
    </row>
    <row r="252" spans="1:65" ht="24.95" customHeight="1">
      <c r="A252" s="482">
        <v>286</v>
      </c>
      <c r="B252" s="1850"/>
      <c r="C252" s="1850"/>
      <c r="D252" s="1850"/>
      <c r="E252" s="1850"/>
      <c r="F252" s="1850"/>
      <c r="G252" s="1850"/>
      <c r="H252" s="494"/>
      <c r="I252" s="494"/>
      <c r="J252" s="494"/>
      <c r="K252" s="1827"/>
      <c r="L252" s="1827"/>
      <c r="M252" s="1827"/>
      <c r="N252" s="482">
        <v>316</v>
      </c>
      <c r="O252" s="1850"/>
      <c r="P252" s="1850"/>
      <c r="Q252" s="1850"/>
      <c r="R252" s="1850"/>
      <c r="S252" s="1850"/>
      <c r="T252" s="1850"/>
      <c r="U252" s="494"/>
      <c r="V252" s="494"/>
      <c r="W252" s="494"/>
      <c r="X252" s="1827"/>
      <c r="Y252" s="1827"/>
      <c r="Z252" s="18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716">
        <v>240</v>
      </c>
      <c r="BB252" s="717">
        <f t="shared" si="66"/>
        <v>0</v>
      </c>
      <c r="BC252" s="520">
        <f t="shared" si="67"/>
        <v>0</v>
      </c>
      <c r="BD252" s="702">
        <f t="shared" si="68"/>
        <v>0</v>
      </c>
      <c r="BE252" s="702">
        <f t="shared" si="68"/>
        <v>0</v>
      </c>
      <c r="BF252" s="713">
        <v>286</v>
      </c>
      <c r="BG252" s="520">
        <f t="shared" si="62"/>
        <v>0</v>
      </c>
      <c r="BH252" s="520">
        <f t="shared" si="63"/>
        <v>0</v>
      </c>
      <c r="BI252" s="520" t="b">
        <v>0</v>
      </c>
      <c r="BJ252" s="713">
        <v>316</v>
      </c>
      <c r="BK252" s="520">
        <f t="shared" si="64"/>
        <v>0</v>
      </c>
      <c r="BL252" s="520">
        <f t="shared" si="65"/>
        <v>0</v>
      </c>
      <c r="BM252" s="520" t="b">
        <v>0</v>
      </c>
    </row>
    <row r="253" spans="1:65" ht="24.95" customHeight="1">
      <c r="A253" s="482">
        <v>287</v>
      </c>
      <c r="B253" s="1850"/>
      <c r="C253" s="1850"/>
      <c r="D253" s="1850"/>
      <c r="E253" s="1850"/>
      <c r="F253" s="1850"/>
      <c r="G253" s="1850"/>
      <c r="H253" s="494"/>
      <c r="I253" s="494"/>
      <c r="J253" s="494"/>
      <c r="K253" s="1827"/>
      <c r="L253" s="1827"/>
      <c r="M253" s="1827"/>
      <c r="N253" s="482">
        <v>317</v>
      </c>
      <c r="O253" s="1850"/>
      <c r="P253" s="1850"/>
      <c r="Q253" s="1850"/>
      <c r="R253" s="1850"/>
      <c r="S253" s="1850"/>
      <c r="T253" s="1850"/>
      <c r="U253" s="494"/>
      <c r="V253" s="494"/>
      <c r="W253" s="494"/>
      <c r="X253" s="1827"/>
      <c r="Y253" s="1827"/>
      <c r="Z253" s="18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716">
        <v>241</v>
      </c>
      <c r="BB253" s="717">
        <f t="shared" si="66"/>
        <v>0</v>
      </c>
      <c r="BC253" s="520">
        <f t="shared" si="67"/>
        <v>0</v>
      </c>
      <c r="BD253" s="702">
        <f t="shared" si="68"/>
        <v>0</v>
      </c>
      <c r="BE253" s="702">
        <f t="shared" si="68"/>
        <v>0</v>
      </c>
      <c r="BF253" s="713">
        <v>287</v>
      </c>
      <c r="BG253" s="520">
        <f t="shared" si="62"/>
        <v>0</v>
      </c>
      <c r="BH253" s="520">
        <f t="shared" si="63"/>
        <v>0</v>
      </c>
      <c r="BI253" s="520" t="b">
        <v>0</v>
      </c>
      <c r="BJ253" s="713">
        <v>317</v>
      </c>
      <c r="BK253" s="520">
        <f t="shared" si="64"/>
        <v>0</v>
      </c>
      <c r="BL253" s="520">
        <f t="shared" si="65"/>
        <v>0</v>
      </c>
      <c r="BM253" s="520" t="b">
        <v>0</v>
      </c>
    </row>
    <row r="254" spans="1:65" ht="24.95" customHeight="1">
      <c r="A254" s="482">
        <v>288</v>
      </c>
      <c r="B254" s="1850"/>
      <c r="C254" s="1850"/>
      <c r="D254" s="1850"/>
      <c r="E254" s="1850"/>
      <c r="F254" s="1850"/>
      <c r="G254" s="1850"/>
      <c r="H254" s="494"/>
      <c r="I254" s="494"/>
      <c r="J254" s="494"/>
      <c r="K254" s="1827"/>
      <c r="L254" s="1827"/>
      <c r="M254" s="1827"/>
      <c r="N254" s="482">
        <v>318</v>
      </c>
      <c r="O254" s="1850"/>
      <c r="P254" s="1850"/>
      <c r="Q254" s="1850"/>
      <c r="R254" s="1850"/>
      <c r="S254" s="1850"/>
      <c r="T254" s="1850"/>
      <c r="U254" s="494"/>
      <c r="V254" s="494"/>
      <c r="W254" s="494"/>
      <c r="X254" s="1827"/>
      <c r="Y254" s="1827"/>
      <c r="Z254" s="18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716">
        <v>242</v>
      </c>
      <c r="BB254" s="717">
        <f t="shared" si="66"/>
        <v>0</v>
      </c>
      <c r="BC254" s="520">
        <f t="shared" si="67"/>
        <v>0</v>
      </c>
      <c r="BD254" s="702">
        <f t="shared" si="68"/>
        <v>0</v>
      </c>
      <c r="BE254" s="702">
        <f t="shared" si="68"/>
        <v>0</v>
      </c>
      <c r="BF254" s="713">
        <v>288</v>
      </c>
      <c r="BG254" s="520">
        <f t="shared" si="62"/>
        <v>0</v>
      </c>
      <c r="BH254" s="520">
        <f t="shared" si="63"/>
        <v>0</v>
      </c>
      <c r="BI254" s="520" t="b">
        <v>0</v>
      </c>
      <c r="BJ254" s="713">
        <v>318</v>
      </c>
      <c r="BK254" s="520">
        <f t="shared" si="64"/>
        <v>0</v>
      </c>
      <c r="BL254" s="520">
        <f t="shared" si="65"/>
        <v>0</v>
      </c>
      <c r="BM254" s="520" t="b">
        <v>0</v>
      </c>
    </row>
    <row r="255" spans="1:65" ht="24.95" customHeight="1">
      <c r="A255" s="482">
        <v>289</v>
      </c>
      <c r="B255" s="1850"/>
      <c r="C255" s="1850"/>
      <c r="D255" s="1850"/>
      <c r="E255" s="1850"/>
      <c r="F255" s="1850"/>
      <c r="G255" s="1850"/>
      <c r="H255" s="494"/>
      <c r="I255" s="494"/>
      <c r="J255" s="494"/>
      <c r="K255" s="1827"/>
      <c r="L255" s="1827"/>
      <c r="M255" s="1827"/>
      <c r="N255" s="482">
        <v>319</v>
      </c>
      <c r="O255" s="1850"/>
      <c r="P255" s="1850"/>
      <c r="Q255" s="1850"/>
      <c r="R255" s="1850"/>
      <c r="S255" s="1850"/>
      <c r="T255" s="1850"/>
      <c r="U255" s="494"/>
      <c r="V255" s="494"/>
      <c r="W255" s="494"/>
      <c r="X255" s="1827"/>
      <c r="Y255" s="1827"/>
      <c r="Z255" s="18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716">
        <v>243</v>
      </c>
      <c r="BB255" s="717">
        <f t="shared" si="66"/>
        <v>0</v>
      </c>
      <c r="BC255" s="520">
        <f t="shared" si="67"/>
        <v>0</v>
      </c>
      <c r="BD255" s="702">
        <f t="shared" si="68"/>
        <v>0</v>
      </c>
      <c r="BE255" s="702">
        <f t="shared" si="68"/>
        <v>0</v>
      </c>
      <c r="BF255" s="713">
        <v>289</v>
      </c>
      <c r="BG255" s="520">
        <f t="shared" si="62"/>
        <v>0</v>
      </c>
      <c r="BH255" s="520">
        <f t="shared" si="63"/>
        <v>0</v>
      </c>
      <c r="BI255" s="520" t="b">
        <v>0</v>
      </c>
      <c r="BJ255" s="713">
        <v>319</v>
      </c>
      <c r="BK255" s="520">
        <f t="shared" si="64"/>
        <v>0</v>
      </c>
      <c r="BL255" s="520">
        <f t="shared" si="65"/>
        <v>0</v>
      </c>
      <c r="BM255" s="520" t="b">
        <v>0</v>
      </c>
    </row>
    <row r="256" spans="1:65" ht="24.95" customHeight="1">
      <c r="A256" s="482">
        <v>290</v>
      </c>
      <c r="B256" s="1850"/>
      <c r="C256" s="1850"/>
      <c r="D256" s="1850"/>
      <c r="E256" s="1850"/>
      <c r="F256" s="1850"/>
      <c r="G256" s="1850"/>
      <c r="H256" s="494"/>
      <c r="I256" s="494"/>
      <c r="J256" s="494"/>
      <c r="K256" s="1827"/>
      <c r="L256" s="1827"/>
      <c r="M256" s="1827"/>
      <c r="N256" s="482">
        <v>320</v>
      </c>
      <c r="O256" s="1850"/>
      <c r="P256" s="1850"/>
      <c r="Q256" s="1850"/>
      <c r="R256" s="1850"/>
      <c r="S256" s="1850"/>
      <c r="T256" s="1850"/>
      <c r="U256" s="494"/>
      <c r="V256" s="494"/>
      <c r="W256" s="494"/>
      <c r="X256" s="1827"/>
      <c r="Y256" s="1827"/>
      <c r="Z256" s="18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716">
        <v>244</v>
      </c>
      <c r="BB256" s="717">
        <f t="shared" si="66"/>
        <v>0</v>
      </c>
      <c r="BC256" s="520">
        <f t="shared" si="67"/>
        <v>0</v>
      </c>
      <c r="BD256" s="702">
        <f t="shared" si="68"/>
        <v>0</v>
      </c>
      <c r="BE256" s="702">
        <f t="shared" si="68"/>
        <v>0</v>
      </c>
      <c r="BF256" s="713">
        <v>290</v>
      </c>
      <c r="BG256" s="520">
        <f t="shared" si="62"/>
        <v>0</v>
      </c>
      <c r="BH256" s="520">
        <f t="shared" si="63"/>
        <v>0</v>
      </c>
      <c r="BI256" s="520" t="b">
        <v>0</v>
      </c>
      <c r="BJ256" s="713">
        <v>320</v>
      </c>
      <c r="BK256" s="520">
        <f t="shared" si="64"/>
        <v>0</v>
      </c>
      <c r="BL256" s="520">
        <f t="shared" si="65"/>
        <v>0</v>
      </c>
      <c r="BM256" s="520" t="b">
        <v>0</v>
      </c>
    </row>
    <row r="257" spans="1:57" ht="24.9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716">
        <v>245</v>
      </c>
      <c r="BB257" s="717">
        <f t="shared" si="66"/>
        <v>0</v>
      </c>
      <c r="BC257" s="520">
        <f t="shared" si="67"/>
        <v>0</v>
      </c>
      <c r="BD257" s="702">
        <f t="shared" si="68"/>
        <v>0</v>
      </c>
      <c r="BE257" s="702">
        <f t="shared" si="68"/>
        <v>0</v>
      </c>
    </row>
    <row r="258" spans="1:57">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716">
        <v>246</v>
      </c>
      <c r="BB258" s="717">
        <f t="shared" si="66"/>
        <v>0</v>
      </c>
      <c r="BC258" s="520">
        <f t="shared" si="67"/>
        <v>0</v>
      </c>
      <c r="BD258" s="702">
        <f t="shared" si="68"/>
        <v>0</v>
      </c>
      <c r="BE258" s="702">
        <f t="shared" si="68"/>
        <v>0</v>
      </c>
    </row>
    <row r="259" spans="1:57">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716">
        <v>247</v>
      </c>
      <c r="BB259" s="717">
        <f t="shared" si="66"/>
        <v>0</v>
      </c>
      <c r="BC259" s="520">
        <f t="shared" si="67"/>
        <v>0</v>
      </c>
      <c r="BD259" s="702">
        <f t="shared" ref="BD259:BE272" si="69">BB259-COUNTA(H200)</f>
        <v>0</v>
      </c>
      <c r="BE259" s="702">
        <f t="shared" si="69"/>
        <v>0</v>
      </c>
    </row>
    <row r="260" spans="1:57">
      <c r="A260" s="492" t="s">
        <v>381</v>
      </c>
      <c r="B260" s="492" t="s">
        <v>380</v>
      </c>
      <c r="C260" s="481" t="s">
        <v>379</v>
      </c>
      <c r="D260" s="27" t="s">
        <v>2719</v>
      </c>
      <c r="E260" s="492"/>
      <c r="F260" s="492"/>
      <c r="G260" s="27"/>
      <c r="H260" s="27"/>
      <c r="I260" s="492"/>
      <c r="J260" s="492"/>
      <c r="K260" s="492"/>
      <c r="L260" s="492"/>
      <c r="M260" s="492"/>
      <c r="N260" s="492"/>
      <c r="O260" s="492"/>
      <c r="P260" s="492"/>
      <c r="Q260" s="492"/>
      <c r="R260" s="492"/>
      <c r="S260" s="492"/>
      <c r="T260" s="492"/>
      <c r="U260" s="492"/>
      <c r="V260" s="492"/>
      <c r="W260" s="492"/>
      <c r="X260" s="492"/>
      <c r="Y260" s="492"/>
      <c r="Z260" s="492"/>
      <c r="AA260" s="27"/>
      <c r="AB260" s="1888"/>
      <c r="AC260" s="1888"/>
      <c r="AD260" s="1888"/>
      <c r="AE260" s="1888"/>
      <c r="AF260" s="1888"/>
      <c r="AG260" s="1888"/>
      <c r="AH260" s="1888"/>
      <c r="AI260" s="1888"/>
      <c r="AJ260" s="1888"/>
      <c r="AK260" s="1888"/>
      <c r="AL260" s="1888"/>
      <c r="AM260" s="1888"/>
      <c r="AN260" s="1888"/>
      <c r="AO260" s="1888"/>
      <c r="AP260" s="1888"/>
      <c r="AQ260" s="1888"/>
      <c r="AR260" s="1888"/>
      <c r="AS260" s="1888"/>
      <c r="AT260" s="1888"/>
      <c r="AU260" s="1888"/>
      <c r="AV260" s="1888"/>
      <c r="AW260" s="1888"/>
      <c r="AX260" s="1888"/>
      <c r="AY260" s="1888"/>
      <c r="AZ260" s="1888"/>
      <c r="BA260" s="716">
        <v>248</v>
      </c>
      <c r="BB260" s="717">
        <f t="shared" si="66"/>
        <v>0</v>
      </c>
      <c r="BC260" s="520">
        <f t="shared" si="67"/>
        <v>0</v>
      </c>
      <c r="BD260" s="702">
        <f t="shared" si="69"/>
        <v>0</v>
      </c>
      <c r="BE260" s="702">
        <f t="shared" si="69"/>
        <v>0</v>
      </c>
    </row>
    <row r="261" spans="1:57">
      <c r="A261" s="479" t="s">
        <v>344</v>
      </c>
      <c r="B261" s="479" t="s">
        <v>344</v>
      </c>
      <c r="C261" s="480" t="s">
        <v>382</v>
      </c>
      <c r="D261" s="27" t="s">
        <v>2722</v>
      </c>
      <c r="E261" s="28"/>
      <c r="F261" s="28"/>
      <c r="G261" s="27"/>
      <c r="H261" s="27"/>
      <c r="I261" s="28"/>
      <c r="J261" s="28"/>
      <c r="K261" s="28"/>
      <c r="L261" s="28"/>
      <c r="M261" s="478"/>
      <c r="N261" s="478"/>
      <c r="O261" s="478"/>
      <c r="P261" s="478"/>
      <c r="Q261" s="478"/>
      <c r="R261" s="478"/>
      <c r="S261" s="478"/>
      <c r="T261" s="478"/>
      <c r="U261" s="478"/>
      <c r="V261" s="478"/>
      <c r="W261" s="478"/>
      <c r="X261" s="478"/>
      <c r="Y261" s="478"/>
      <c r="Z261" s="478"/>
      <c r="AA261" s="27"/>
      <c r="AB261" s="479"/>
      <c r="AC261" s="479"/>
      <c r="AD261" s="28"/>
      <c r="AE261" s="28"/>
      <c r="AF261" s="28"/>
      <c r="AG261" s="479"/>
      <c r="AH261" s="28"/>
      <c r="AI261" s="28"/>
      <c r="AJ261" s="28"/>
      <c r="AK261" s="28"/>
      <c r="AL261" s="28"/>
      <c r="AM261" s="478"/>
      <c r="AN261" s="478"/>
      <c r="AO261" s="478"/>
      <c r="AP261" s="478"/>
      <c r="AQ261" s="478"/>
      <c r="AR261" s="478"/>
      <c r="AS261" s="478"/>
      <c r="AT261" s="478"/>
      <c r="AU261" s="478"/>
      <c r="AV261" s="478"/>
      <c r="AW261" s="478"/>
      <c r="AX261" s="478"/>
      <c r="AY261" s="478"/>
      <c r="AZ261" s="478"/>
      <c r="BA261" s="716">
        <v>249</v>
      </c>
      <c r="BB261" s="717">
        <f t="shared" si="66"/>
        <v>0</v>
      </c>
      <c r="BC261" s="520">
        <f t="shared" si="67"/>
        <v>0</v>
      </c>
      <c r="BD261" s="702">
        <f t="shared" si="69"/>
        <v>0</v>
      </c>
      <c r="BE261" s="702">
        <f t="shared" si="69"/>
        <v>0</v>
      </c>
    </row>
    <row r="262" spans="1:57">
      <c r="A262" s="479" t="s">
        <v>345</v>
      </c>
      <c r="B262" s="479" t="s">
        <v>345</v>
      </c>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716">
        <v>250</v>
      </c>
      <c r="BB262" s="717">
        <f t="shared" si="66"/>
        <v>0</v>
      </c>
      <c r="BC262" s="520">
        <f t="shared" si="67"/>
        <v>0</v>
      </c>
      <c r="BD262" s="702">
        <f t="shared" si="69"/>
        <v>0</v>
      </c>
      <c r="BE262" s="702">
        <f t="shared" si="69"/>
        <v>0</v>
      </c>
    </row>
    <row r="263" spans="1:57">
      <c r="A263" s="28" t="s">
        <v>346</v>
      </c>
      <c r="B263" s="28" t="s">
        <v>346</v>
      </c>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716">
        <v>251</v>
      </c>
      <c r="BB263" s="717">
        <f t="shared" si="66"/>
        <v>0</v>
      </c>
      <c r="BC263" s="520">
        <f t="shared" si="67"/>
        <v>0</v>
      </c>
      <c r="BD263" s="702">
        <f t="shared" si="69"/>
        <v>0</v>
      </c>
      <c r="BE263" s="702">
        <f t="shared" si="69"/>
        <v>0</v>
      </c>
    </row>
    <row r="264" spans="1:57">
      <c r="A264" s="28" t="s">
        <v>347</v>
      </c>
      <c r="B264" s="28" t="s">
        <v>347</v>
      </c>
      <c r="C264" s="27"/>
      <c r="D264" s="27"/>
      <c r="E264" s="27"/>
      <c r="F264" s="27"/>
      <c r="G264" s="27"/>
      <c r="H264" s="27"/>
      <c r="I264" s="27" t="s">
        <v>2720</v>
      </c>
      <c r="J264" s="27"/>
      <c r="K264" s="1888" t="s">
        <v>380</v>
      </c>
      <c r="L264" s="1888"/>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716">
        <v>252</v>
      </c>
      <c r="BB264" s="717">
        <f t="shared" si="66"/>
        <v>0</v>
      </c>
      <c r="BC264" s="520">
        <f t="shared" si="67"/>
        <v>0</v>
      </c>
      <c r="BD264" s="702">
        <f t="shared" si="69"/>
        <v>0</v>
      </c>
      <c r="BE264" s="702">
        <f t="shared" si="69"/>
        <v>0</v>
      </c>
    </row>
    <row r="265" spans="1:57">
      <c r="A265" s="28" t="s">
        <v>348</v>
      </c>
      <c r="B265" s="28" t="s">
        <v>348</v>
      </c>
      <c r="C265" s="27"/>
      <c r="D265" s="27"/>
      <c r="E265" s="27"/>
      <c r="F265" s="27"/>
      <c r="G265" s="27"/>
      <c r="H265" s="27"/>
      <c r="I265" s="27" t="s">
        <v>2721</v>
      </c>
      <c r="J265" s="27"/>
      <c r="K265" s="1888"/>
      <c r="L265" s="1888"/>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716">
        <v>253</v>
      </c>
      <c r="BB265" s="717">
        <f t="shared" si="66"/>
        <v>0</v>
      </c>
      <c r="BC265" s="520">
        <f t="shared" si="67"/>
        <v>0</v>
      </c>
      <c r="BD265" s="702">
        <f t="shared" si="69"/>
        <v>0</v>
      </c>
      <c r="BE265" s="702">
        <f t="shared" si="69"/>
        <v>0</v>
      </c>
    </row>
    <row r="266" spans="1:57">
      <c r="A266" s="479" t="s">
        <v>355</v>
      </c>
      <c r="B266" s="479" t="s">
        <v>355</v>
      </c>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716">
        <v>254</v>
      </c>
      <c r="BB266" s="717">
        <f t="shared" si="66"/>
        <v>0</v>
      </c>
      <c r="BC266" s="520">
        <f t="shared" si="67"/>
        <v>0</v>
      </c>
      <c r="BD266" s="702">
        <f t="shared" si="69"/>
        <v>0</v>
      </c>
      <c r="BE266" s="702">
        <f t="shared" si="69"/>
        <v>0</v>
      </c>
    </row>
    <row r="267" spans="1:57">
      <c r="A267" s="28" t="s">
        <v>356</v>
      </c>
      <c r="B267" s="28" t="s">
        <v>356</v>
      </c>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716">
        <v>255</v>
      </c>
      <c r="BB267" s="717">
        <f t="shared" si="66"/>
        <v>0</v>
      </c>
      <c r="BC267" s="520">
        <f t="shared" si="67"/>
        <v>0</v>
      </c>
      <c r="BD267" s="702">
        <f t="shared" si="69"/>
        <v>0</v>
      </c>
      <c r="BE267" s="702">
        <f t="shared" si="69"/>
        <v>0</v>
      </c>
    </row>
    <row r="268" spans="1:57">
      <c r="A268" s="28" t="s">
        <v>357</v>
      </c>
      <c r="B268" s="28" t="s">
        <v>357</v>
      </c>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716">
        <v>256</v>
      </c>
      <c r="BB268" s="717">
        <f t="shared" si="66"/>
        <v>0</v>
      </c>
      <c r="BC268" s="520">
        <f t="shared" si="67"/>
        <v>0</v>
      </c>
      <c r="BD268" s="702">
        <f t="shared" si="69"/>
        <v>0</v>
      </c>
      <c r="BE268" s="702">
        <f t="shared" si="69"/>
        <v>0</v>
      </c>
    </row>
    <row r="269" spans="1:57">
      <c r="A269" s="28" t="s">
        <v>358</v>
      </c>
      <c r="B269" s="28" t="s">
        <v>358</v>
      </c>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716">
        <v>257</v>
      </c>
      <c r="BB269" s="717">
        <f t="shared" si="66"/>
        <v>0</v>
      </c>
      <c r="BC269" s="520">
        <f t="shared" si="67"/>
        <v>0</v>
      </c>
      <c r="BD269" s="702">
        <f t="shared" si="69"/>
        <v>0</v>
      </c>
      <c r="BE269" s="702">
        <f t="shared" si="69"/>
        <v>0</v>
      </c>
    </row>
    <row r="270" spans="1:57">
      <c r="A270" s="28" t="s">
        <v>359</v>
      </c>
      <c r="B270" s="28" t="s">
        <v>359</v>
      </c>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716">
        <v>258</v>
      </c>
      <c r="BB270" s="717">
        <f t="shared" si="66"/>
        <v>0</v>
      </c>
      <c r="BC270" s="520">
        <f t="shared" si="67"/>
        <v>0</v>
      </c>
      <c r="BD270" s="702">
        <f t="shared" si="69"/>
        <v>0</v>
      </c>
      <c r="BE270" s="702">
        <f t="shared" si="69"/>
        <v>0</v>
      </c>
    </row>
    <row r="271" spans="1:57">
      <c r="A271" s="28" t="s">
        <v>360</v>
      </c>
      <c r="B271" s="28" t="s">
        <v>360</v>
      </c>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716">
        <v>259</v>
      </c>
      <c r="BB271" s="717">
        <f t="shared" si="66"/>
        <v>0</v>
      </c>
      <c r="BC271" s="520">
        <f t="shared" si="67"/>
        <v>0</v>
      </c>
      <c r="BD271" s="702">
        <f t="shared" si="69"/>
        <v>0</v>
      </c>
      <c r="BE271" s="702">
        <f t="shared" si="69"/>
        <v>0</v>
      </c>
    </row>
    <row r="272" spans="1:57">
      <c r="A272" s="478" t="s">
        <v>361</v>
      </c>
      <c r="B272" s="478" t="s">
        <v>361</v>
      </c>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716">
        <v>260</v>
      </c>
      <c r="BB272" s="717">
        <f t="shared" si="66"/>
        <v>0</v>
      </c>
      <c r="BC272" s="520">
        <f t="shared" si="67"/>
        <v>0</v>
      </c>
      <c r="BD272" s="702">
        <f t="shared" si="69"/>
        <v>0</v>
      </c>
      <c r="BE272" s="702">
        <f t="shared" si="69"/>
        <v>0</v>
      </c>
    </row>
    <row r="273" spans="1:57">
      <c r="A273" s="478" t="s">
        <v>362</v>
      </c>
      <c r="B273" s="478" t="s">
        <v>362</v>
      </c>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716">
        <v>261</v>
      </c>
      <c r="BB273" s="717">
        <f>COUNTA(H227:I227)</f>
        <v>0</v>
      </c>
      <c r="BC273" s="520">
        <f>COUNTA(X227)</f>
        <v>0</v>
      </c>
      <c r="BD273" s="702">
        <f t="shared" ref="BD273:BE302" si="70">BB273-COUNTA(H227)</f>
        <v>0</v>
      </c>
      <c r="BE273" s="702">
        <f t="shared" si="70"/>
        <v>0</v>
      </c>
    </row>
    <row r="274" spans="1:57">
      <c r="A274" s="478" t="s">
        <v>363</v>
      </c>
      <c r="B274" s="478" t="s">
        <v>363</v>
      </c>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716">
        <v>262</v>
      </c>
      <c r="BB274" s="717">
        <f t="shared" ref="BB274:BB302" si="71">COUNTA(H228:I228)</f>
        <v>0</v>
      </c>
      <c r="BC274" s="520">
        <f t="shared" ref="BC274:BC302" si="72">COUNTA(X228)</f>
        <v>0</v>
      </c>
      <c r="BD274" s="702">
        <f t="shared" si="70"/>
        <v>0</v>
      </c>
      <c r="BE274" s="702">
        <f t="shared" si="70"/>
        <v>0</v>
      </c>
    </row>
    <row r="275" spans="1:57">
      <c r="A275" s="478" t="s">
        <v>364</v>
      </c>
      <c r="B275" s="478" t="s">
        <v>364</v>
      </c>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716">
        <v>263</v>
      </c>
      <c r="BB275" s="717">
        <f t="shared" si="71"/>
        <v>0</v>
      </c>
      <c r="BC275" s="520">
        <f t="shared" si="72"/>
        <v>0</v>
      </c>
      <c r="BD275" s="702">
        <f t="shared" si="70"/>
        <v>0</v>
      </c>
      <c r="BE275" s="702">
        <f t="shared" si="70"/>
        <v>0</v>
      </c>
    </row>
    <row r="276" spans="1:57">
      <c r="A276" s="478" t="s">
        <v>365</v>
      </c>
      <c r="B276" s="478" t="s">
        <v>365</v>
      </c>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716">
        <v>264</v>
      </c>
      <c r="BB276" s="717">
        <f t="shared" si="71"/>
        <v>0</v>
      </c>
      <c r="BC276" s="520">
        <f t="shared" si="72"/>
        <v>0</v>
      </c>
      <c r="BD276" s="702">
        <f t="shared" si="70"/>
        <v>0</v>
      </c>
      <c r="BE276" s="702">
        <f t="shared" si="70"/>
        <v>0</v>
      </c>
    </row>
    <row r="277" spans="1:57">
      <c r="A277" s="478" t="s">
        <v>366</v>
      </c>
      <c r="B277" s="478" t="s">
        <v>366</v>
      </c>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716">
        <v>265</v>
      </c>
      <c r="BB277" s="717">
        <f t="shared" si="71"/>
        <v>0</v>
      </c>
      <c r="BC277" s="520">
        <f t="shared" si="72"/>
        <v>0</v>
      </c>
      <c r="BD277" s="702">
        <f t="shared" si="70"/>
        <v>0</v>
      </c>
      <c r="BE277" s="702">
        <f t="shared" si="70"/>
        <v>0</v>
      </c>
    </row>
    <row r="278" spans="1:57">
      <c r="A278" s="478" t="s">
        <v>367</v>
      </c>
      <c r="B278" s="478" t="s">
        <v>367</v>
      </c>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716">
        <v>266</v>
      </c>
      <c r="BB278" s="717">
        <f t="shared" si="71"/>
        <v>0</v>
      </c>
      <c r="BC278" s="520">
        <f t="shared" si="72"/>
        <v>0</v>
      </c>
      <c r="BD278" s="702">
        <f t="shared" si="70"/>
        <v>0</v>
      </c>
      <c r="BE278" s="702">
        <f t="shared" si="70"/>
        <v>0</v>
      </c>
    </row>
    <row r="279" spans="1:57">
      <c r="A279" s="478" t="s">
        <v>368</v>
      </c>
      <c r="B279" s="478" t="s">
        <v>368</v>
      </c>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716">
        <v>267</v>
      </c>
      <c r="BB279" s="717">
        <f t="shared" si="71"/>
        <v>0</v>
      </c>
      <c r="BC279" s="520">
        <f t="shared" si="72"/>
        <v>0</v>
      </c>
      <c r="BD279" s="702">
        <f t="shared" si="70"/>
        <v>0</v>
      </c>
      <c r="BE279" s="702">
        <f t="shared" si="70"/>
        <v>0</v>
      </c>
    </row>
    <row r="280" spans="1:57">
      <c r="A280" s="478" t="s">
        <v>369</v>
      </c>
      <c r="B280" s="478" t="s">
        <v>369</v>
      </c>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716">
        <v>268</v>
      </c>
      <c r="BB280" s="717">
        <f t="shared" si="71"/>
        <v>0</v>
      </c>
      <c r="BC280" s="520">
        <f t="shared" si="72"/>
        <v>0</v>
      </c>
      <c r="BD280" s="702">
        <f t="shared" si="70"/>
        <v>0</v>
      </c>
      <c r="BE280" s="702">
        <f t="shared" si="70"/>
        <v>0</v>
      </c>
    </row>
    <row r="281" spans="1:57">
      <c r="A281" s="478" t="s">
        <v>370</v>
      </c>
      <c r="B281" s="478" t="s">
        <v>370</v>
      </c>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716">
        <v>269</v>
      </c>
      <c r="BB281" s="717">
        <f t="shared" si="71"/>
        <v>0</v>
      </c>
      <c r="BC281" s="520">
        <f t="shared" si="72"/>
        <v>0</v>
      </c>
      <c r="BD281" s="702">
        <f t="shared" si="70"/>
        <v>0</v>
      </c>
      <c r="BE281" s="702">
        <f t="shared" si="70"/>
        <v>0</v>
      </c>
    </row>
    <row r="282" spans="1:57">
      <c r="A282" s="478" t="s">
        <v>371</v>
      </c>
      <c r="B282" s="478" t="s">
        <v>371</v>
      </c>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716">
        <v>270</v>
      </c>
      <c r="BB282" s="717">
        <f t="shared" si="71"/>
        <v>0</v>
      </c>
      <c r="BC282" s="520">
        <f t="shared" si="72"/>
        <v>0</v>
      </c>
      <c r="BD282" s="702">
        <f t="shared" si="70"/>
        <v>0</v>
      </c>
      <c r="BE282" s="702">
        <f t="shared" si="70"/>
        <v>0</v>
      </c>
    </row>
    <row r="283" spans="1:57">
      <c r="A283" s="478" t="s">
        <v>372</v>
      </c>
      <c r="B283" s="478" t="s">
        <v>372</v>
      </c>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716">
        <v>271</v>
      </c>
      <c r="BB283" s="717">
        <f t="shared" si="71"/>
        <v>0</v>
      </c>
      <c r="BC283" s="520">
        <f t="shared" si="72"/>
        <v>0</v>
      </c>
      <c r="BD283" s="702">
        <f t="shared" si="70"/>
        <v>0</v>
      </c>
      <c r="BE283" s="702">
        <f t="shared" si="70"/>
        <v>0</v>
      </c>
    </row>
    <row r="284" spans="1:57">
      <c r="A284" s="478" t="s">
        <v>373</v>
      </c>
      <c r="B284" s="478" t="s">
        <v>373</v>
      </c>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716">
        <v>272</v>
      </c>
      <c r="BB284" s="717">
        <f t="shared" si="71"/>
        <v>0</v>
      </c>
      <c r="BC284" s="520">
        <f t="shared" si="72"/>
        <v>0</v>
      </c>
      <c r="BD284" s="702">
        <f t="shared" si="70"/>
        <v>0</v>
      </c>
      <c r="BE284" s="702">
        <f t="shared" si="70"/>
        <v>0</v>
      </c>
    </row>
    <row r="285" spans="1:57">
      <c r="A285" s="478" t="s">
        <v>390</v>
      </c>
      <c r="B285" s="478" t="s">
        <v>390</v>
      </c>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716">
        <v>273</v>
      </c>
      <c r="BB285" s="717">
        <f t="shared" si="71"/>
        <v>0</v>
      </c>
      <c r="BC285" s="520">
        <f t="shared" si="72"/>
        <v>0</v>
      </c>
      <c r="BD285" s="702">
        <f t="shared" si="70"/>
        <v>0</v>
      </c>
      <c r="BE285" s="702">
        <f t="shared" si="70"/>
        <v>0</v>
      </c>
    </row>
    <row r="286" spans="1:57">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716">
        <v>274</v>
      </c>
      <c r="BB286" s="717">
        <f t="shared" si="71"/>
        <v>0</v>
      </c>
      <c r="BC286" s="520">
        <f t="shared" si="72"/>
        <v>0</v>
      </c>
      <c r="BD286" s="702">
        <f t="shared" si="70"/>
        <v>0</v>
      </c>
      <c r="BE286" s="702">
        <f t="shared" si="70"/>
        <v>0</v>
      </c>
    </row>
    <row r="287" spans="1:57">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716">
        <v>275</v>
      </c>
      <c r="BB287" s="717">
        <f t="shared" si="71"/>
        <v>0</v>
      </c>
      <c r="BC287" s="520">
        <f t="shared" si="72"/>
        <v>0</v>
      </c>
      <c r="BD287" s="702">
        <f t="shared" si="70"/>
        <v>0</v>
      </c>
      <c r="BE287" s="702">
        <f t="shared" si="70"/>
        <v>0</v>
      </c>
    </row>
    <row r="288" spans="1:57">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716">
        <v>276</v>
      </c>
      <c r="BB288" s="717">
        <f t="shared" si="71"/>
        <v>0</v>
      </c>
      <c r="BC288" s="520">
        <f t="shared" si="72"/>
        <v>0</v>
      </c>
      <c r="BD288" s="702">
        <f t="shared" si="70"/>
        <v>0</v>
      </c>
      <c r="BE288" s="702">
        <f t="shared" si="70"/>
        <v>0</v>
      </c>
    </row>
    <row r="289" spans="1:57">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716">
        <v>277</v>
      </c>
      <c r="BB289" s="717">
        <f t="shared" si="71"/>
        <v>0</v>
      </c>
      <c r="BC289" s="520">
        <f t="shared" si="72"/>
        <v>0</v>
      </c>
      <c r="BD289" s="702">
        <f t="shared" si="70"/>
        <v>0</v>
      </c>
      <c r="BE289" s="702">
        <f t="shared" si="70"/>
        <v>0</v>
      </c>
    </row>
    <row r="290" spans="1:57">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716">
        <v>278</v>
      </c>
      <c r="BB290" s="717">
        <f t="shared" si="71"/>
        <v>0</v>
      </c>
      <c r="BC290" s="520">
        <f t="shared" si="72"/>
        <v>0</v>
      </c>
      <c r="BD290" s="702">
        <f t="shared" si="70"/>
        <v>0</v>
      </c>
      <c r="BE290" s="702">
        <f t="shared" si="70"/>
        <v>0</v>
      </c>
    </row>
    <row r="291" spans="1:57">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716">
        <v>279</v>
      </c>
      <c r="BB291" s="717">
        <f t="shared" si="71"/>
        <v>0</v>
      </c>
      <c r="BC291" s="520">
        <f t="shared" si="72"/>
        <v>0</v>
      </c>
      <c r="BD291" s="702">
        <f t="shared" si="70"/>
        <v>0</v>
      </c>
      <c r="BE291" s="702">
        <f t="shared" si="70"/>
        <v>0</v>
      </c>
    </row>
    <row r="292" spans="1:57">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716">
        <v>280</v>
      </c>
      <c r="BB292" s="717">
        <f t="shared" si="71"/>
        <v>0</v>
      </c>
      <c r="BC292" s="520">
        <f t="shared" si="72"/>
        <v>0</v>
      </c>
      <c r="BD292" s="702">
        <f t="shared" si="70"/>
        <v>0</v>
      </c>
      <c r="BE292" s="702">
        <f t="shared" si="70"/>
        <v>0</v>
      </c>
    </row>
    <row r="293" spans="1:57">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716">
        <v>281</v>
      </c>
      <c r="BB293" s="717">
        <f t="shared" si="71"/>
        <v>0</v>
      </c>
      <c r="BC293" s="520">
        <f t="shared" si="72"/>
        <v>0</v>
      </c>
      <c r="BD293" s="702">
        <f t="shared" si="70"/>
        <v>0</v>
      </c>
      <c r="BE293" s="702">
        <f t="shared" si="70"/>
        <v>0</v>
      </c>
    </row>
    <row r="294" spans="1:57">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716">
        <v>282</v>
      </c>
      <c r="BB294" s="717">
        <f t="shared" si="71"/>
        <v>0</v>
      </c>
      <c r="BC294" s="520">
        <f t="shared" si="72"/>
        <v>0</v>
      </c>
      <c r="BD294" s="702">
        <f t="shared" si="70"/>
        <v>0</v>
      </c>
      <c r="BE294" s="702">
        <f t="shared" si="70"/>
        <v>0</v>
      </c>
    </row>
    <row r="295" spans="1:57">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716">
        <v>283</v>
      </c>
      <c r="BB295" s="717">
        <f t="shared" si="71"/>
        <v>0</v>
      </c>
      <c r="BC295" s="520">
        <f t="shared" si="72"/>
        <v>0</v>
      </c>
      <c r="BD295" s="702">
        <f t="shared" si="70"/>
        <v>0</v>
      </c>
      <c r="BE295" s="702">
        <f t="shared" si="70"/>
        <v>0</v>
      </c>
    </row>
    <row r="296" spans="1:57">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716">
        <v>284</v>
      </c>
      <c r="BB296" s="717">
        <f t="shared" si="71"/>
        <v>0</v>
      </c>
      <c r="BC296" s="520">
        <f t="shared" si="72"/>
        <v>0</v>
      </c>
      <c r="BD296" s="702">
        <f t="shared" si="70"/>
        <v>0</v>
      </c>
      <c r="BE296" s="702">
        <f t="shared" si="70"/>
        <v>0</v>
      </c>
    </row>
    <row r="297" spans="1:57">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716">
        <v>285</v>
      </c>
      <c r="BB297" s="717">
        <f t="shared" si="71"/>
        <v>0</v>
      </c>
      <c r="BC297" s="520">
        <f t="shared" si="72"/>
        <v>0</v>
      </c>
      <c r="BD297" s="702">
        <f t="shared" si="70"/>
        <v>0</v>
      </c>
      <c r="BE297" s="702">
        <f t="shared" si="70"/>
        <v>0</v>
      </c>
    </row>
    <row r="298" spans="1:57">
      <c r="BA298" s="716">
        <v>286</v>
      </c>
      <c r="BB298" s="717">
        <f t="shared" si="71"/>
        <v>0</v>
      </c>
      <c r="BC298" s="520">
        <f t="shared" si="72"/>
        <v>0</v>
      </c>
      <c r="BD298" s="702">
        <f t="shared" si="70"/>
        <v>0</v>
      </c>
      <c r="BE298" s="702">
        <f t="shared" si="70"/>
        <v>0</v>
      </c>
    </row>
    <row r="299" spans="1:57">
      <c r="BA299" s="716">
        <v>287</v>
      </c>
      <c r="BB299" s="717">
        <f t="shared" si="71"/>
        <v>0</v>
      </c>
      <c r="BC299" s="520">
        <f t="shared" si="72"/>
        <v>0</v>
      </c>
      <c r="BD299" s="702">
        <f t="shared" si="70"/>
        <v>0</v>
      </c>
      <c r="BE299" s="702">
        <f t="shared" si="70"/>
        <v>0</v>
      </c>
    </row>
    <row r="300" spans="1:57">
      <c r="BA300" s="716">
        <v>288</v>
      </c>
      <c r="BB300" s="717">
        <f t="shared" si="71"/>
        <v>0</v>
      </c>
      <c r="BC300" s="520">
        <f t="shared" si="72"/>
        <v>0</v>
      </c>
      <c r="BD300" s="702">
        <f t="shared" si="70"/>
        <v>0</v>
      </c>
      <c r="BE300" s="702">
        <f t="shared" si="70"/>
        <v>0</v>
      </c>
    </row>
    <row r="301" spans="1:57">
      <c r="BA301" s="716">
        <v>289</v>
      </c>
      <c r="BB301" s="717">
        <f t="shared" si="71"/>
        <v>0</v>
      </c>
      <c r="BC301" s="520">
        <f t="shared" si="72"/>
        <v>0</v>
      </c>
      <c r="BD301" s="702">
        <f t="shared" si="70"/>
        <v>0</v>
      </c>
      <c r="BE301" s="702">
        <f t="shared" si="70"/>
        <v>0</v>
      </c>
    </row>
    <row r="302" spans="1:57">
      <c r="BA302" s="716">
        <v>290</v>
      </c>
      <c r="BB302" s="717">
        <f t="shared" si="71"/>
        <v>0</v>
      </c>
      <c r="BC302" s="520">
        <f t="shared" si="72"/>
        <v>0</v>
      </c>
      <c r="BD302" s="702">
        <f t="shared" si="70"/>
        <v>0</v>
      </c>
      <c r="BE302" s="702">
        <f t="shared" si="70"/>
        <v>0</v>
      </c>
    </row>
    <row r="303" spans="1:57">
      <c r="BA303" s="716">
        <v>291</v>
      </c>
      <c r="BB303" s="717">
        <f>COUNTA(H227:I227)</f>
        <v>0</v>
      </c>
      <c r="BC303" s="520">
        <f>COUNTA(X227)</f>
        <v>0</v>
      </c>
      <c r="BD303" s="702">
        <f t="shared" ref="BD303:BE332" si="73">BB303-COUNTA(H227)</f>
        <v>0</v>
      </c>
      <c r="BE303" s="702">
        <f t="shared" si="73"/>
        <v>0</v>
      </c>
    </row>
    <row r="304" spans="1:57">
      <c r="BA304" s="716">
        <v>292</v>
      </c>
      <c r="BB304" s="717">
        <f t="shared" ref="BB304:BB332" si="74">COUNTA(H228:I228)</f>
        <v>0</v>
      </c>
      <c r="BC304" s="520">
        <f t="shared" ref="BC304:BC332" si="75">COUNTA(X228)</f>
        <v>0</v>
      </c>
      <c r="BD304" s="702">
        <f t="shared" si="73"/>
        <v>0</v>
      </c>
      <c r="BE304" s="702">
        <f t="shared" si="73"/>
        <v>0</v>
      </c>
    </row>
    <row r="305" spans="53:57">
      <c r="BA305" s="716">
        <v>293</v>
      </c>
      <c r="BB305" s="717">
        <f t="shared" si="74"/>
        <v>0</v>
      </c>
      <c r="BC305" s="520">
        <f t="shared" si="75"/>
        <v>0</v>
      </c>
      <c r="BD305" s="702">
        <f t="shared" si="73"/>
        <v>0</v>
      </c>
      <c r="BE305" s="702">
        <f t="shared" si="73"/>
        <v>0</v>
      </c>
    </row>
    <row r="306" spans="53:57">
      <c r="BA306" s="716">
        <v>294</v>
      </c>
      <c r="BB306" s="717">
        <f t="shared" si="74"/>
        <v>0</v>
      </c>
      <c r="BC306" s="520">
        <f t="shared" si="75"/>
        <v>0</v>
      </c>
      <c r="BD306" s="702">
        <f t="shared" si="73"/>
        <v>0</v>
      </c>
      <c r="BE306" s="702">
        <f t="shared" si="73"/>
        <v>0</v>
      </c>
    </row>
    <row r="307" spans="53:57">
      <c r="BA307" s="716">
        <v>295</v>
      </c>
      <c r="BB307" s="717">
        <f t="shared" si="74"/>
        <v>0</v>
      </c>
      <c r="BC307" s="520">
        <f t="shared" si="75"/>
        <v>0</v>
      </c>
      <c r="BD307" s="702">
        <f t="shared" si="73"/>
        <v>0</v>
      </c>
      <c r="BE307" s="702">
        <f t="shared" si="73"/>
        <v>0</v>
      </c>
    </row>
    <row r="308" spans="53:57">
      <c r="BA308" s="716">
        <v>296</v>
      </c>
      <c r="BB308" s="717">
        <f t="shared" si="74"/>
        <v>0</v>
      </c>
      <c r="BC308" s="520">
        <f t="shared" si="75"/>
        <v>0</v>
      </c>
      <c r="BD308" s="702">
        <f t="shared" si="73"/>
        <v>0</v>
      </c>
      <c r="BE308" s="702">
        <f t="shared" si="73"/>
        <v>0</v>
      </c>
    </row>
    <row r="309" spans="53:57">
      <c r="BA309" s="716">
        <v>297</v>
      </c>
      <c r="BB309" s="717">
        <f t="shared" si="74"/>
        <v>0</v>
      </c>
      <c r="BC309" s="520">
        <f t="shared" si="75"/>
        <v>0</v>
      </c>
      <c r="BD309" s="702">
        <f t="shared" si="73"/>
        <v>0</v>
      </c>
      <c r="BE309" s="702">
        <f t="shared" si="73"/>
        <v>0</v>
      </c>
    </row>
    <row r="310" spans="53:57">
      <c r="BA310" s="716">
        <v>298</v>
      </c>
      <c r="BB310" s="717">
        <f t="shared" si="74"/>
        <v>0</v>
      </c>
      <c r="BC310" s="520">
        <f t="shared" si="75"/>
        <v>0</v>
      </c>
      <c r="BD310" s="702">
        <f t="shared" si="73"/>
        <v>0</v>
      </c>
      <c r="BE310" s="702">
        <f t="shared" si="73"/>
        <v>0</v>
      </c>
    </row>
    <row r="311" spans="53:57">
      <c r="BA311" s="716">
        <v>299</v>
      </c>
      <c r="BB311" s="717">
        <f t="shared" si="74"/>
        <v>0</v>
      </c>
      <c r="BC311" s="520">
        <f t="shared" si="75"/>
        <v>0</v>
      </c>
      <c r="BD311" s="702">
        <f t="shared" si="73"/>
        <v>0</v>
      </c>
      <c r="BE311" s="702">
        <f t="shared" si="73"/>
        <v>0</v>
      </c>
    </row>
    <row r="312" spans="53:57">
      <c r="BA312" s="716">
        <v>300</v>
      </c>
      <c r="BB312" s="717">
        <f t="shared" si="74"/>
        <v>0</v>
      </c>
      <c r="BC312" s="520">
        <f t="shared" si="75"/>
        <v>0</v>
      </c>
      <c r="BD312" s="702">
        <f t="shared" si="73"/>
        <v>0</v>
      </c>
      <c r="BE312" s="702">
        <f t="shared" si="73"/>
        <v>0</v>
      </c>
    </row>
    <row r="313" spans="53:57">
      <c r="BA313" s="716">
        <v>301</v>
      </c>
      <c r="BB313" s="717">
        <f t="shared" si="74"/>
        <v>0</v>
      </c>
      <c r="BC313" s="520">
        <f t="shared" si="75"/>
        <v>0</v>
      </c>
      <c r="BD313" s="702">
        <f t="shared" si="73"/>
        <v>0</v>
      </c>
      <c r="BE313" s="702">
        <f t="shared" si="73"/>
        <v>0</v>
      </c>
    </row>
    <row r="314" spans="53:57">
      <c r="BA314" s="716">
        <v>302</v>
      </c>
      <c r="BB314" s="717">
        <f t="shared" si="74"/>
        <v>0</v>
      </c>
      <c r="BC314" s="520">
        <f t="shared" si="75"/>
        <v>0</v>
      </c>
      <c r="BD314" s="702">
        <f t="shared" si="73"/>
        <v>0</v>
      </c>
      <c r="BE314" s="702">
        <f t="shared" si="73"/>
        <v>0</v>
      </c>
    </row>
    <row r="315" spans="53:57">
      <c r="BA315" s="716">
        <v>303</v>
      </c>
      <c r="BB315" s="717">
        <f t="shared" si="74"/>
        <v>0</v>
      </c>
      <c r="BC315" s="520">
        <f t="shared" si="75"/>
        <v>0</v>
      </c>
      <c r="BD315" s="702">
        <f t="shared" si="73"/>
        <v>0</v>
      </c>
      <c r="BE315" s="702">
        <f t="shared" si="73"/>
        <v>0</v>
      </c>
    </row>
    <row r="316" spans="53:57">
      <c r="BA316" s="716">
        <v>304</v>
      </c>
      <c r="BB316" s="717">
        <f t="shared" si="74"/>
        <v>0</v>
      </c>
      <c r="BC316" s="520">
        <f t="shared" si="75"/>
        <v>0</v>
      </c>
      <c r="BD316" s="702">
        <f t="shared" si="73"/>
        <v>0</v>
      </c>
      <c r="BE316" s="702">
        <f t="shared" si="73"/>
        <v>0</v>
      </c>
    </row>
    <row r="317" spans="53:57">
      <c r="BA317" s="716">
        <v>305</v>
      </c>
      <c r="BB317" s="717">
        <f t="shared" si="74"/>
        <v>0</v>
      </c>
      <c r="BC317" s="520">
        <f t="shared" si="75"/>
        <v>0</v>
      </c>
      <c r="BD317" s="702">
        <f t="shared" si="73"/>
        <v>0</v>
      </c>
      <c r="BE317" s="702">
        <f t="shared" si="73"/>
        <v>0</v>
      </c>
    </row>
    <row r="318" spans="53:57">
      <c r="BA318" s="716">
        <v>306</v>
      </c>
      <c r="BB318" s="717">
        <f t="shared" si="74"/>
        <v>0</v>
      </c>
      <c r="BC318" s="520">
        <f t="shared" si="75"/>
        <v>0</v>
      </c>
      <c r="BD318" s="702">
        <f t="shared" si="73"/>
        <v>0</v>
      </c>
      <c r="BE318" s="702">
        <f t="shared" si="73"/>
        <v>0</v>
      </c>
    </row>
    <row r="319" spans="53:57">
      <c r="BA319" s="716">
        <v>307</v>
      </c>
      <c r="BB319" s="717">
        <f t="shared" si="74"/>
        <v>0</v>
      </c>
      <c r="BC319" s="520">
        <f t="shared" si="75"/>
        <v>0</v>
      </c>
      <c r="BD319" s="702">
        <f t="shared" si="73"/>
        <v>0</v>
      </c>
      <c r="BE319" s="702">
        <f t="shared" si="73"/>
        <v>0</v>
      </c>
    </row>
    <row r="320" spans="53:57">
      <c r="BA320" s="716">
        <v>308</v>
      </c>
      <c r="BB320" s="717">
        <f t="shared" si="74"/>
        <v>0</v>
      </c>
      <c r="BC320" s="520">
        <f t="shared" si="75"/>
        <v>0</v>
      </c>
      <c r="BD320" s="702">
        <f t="shared" si="73"/>
        <v>0</v>
      </c>
      <c r="BE320" s="702">
        <f t="shared" si="73"/>
        <v>0</v>
      </c>
    </row>
    <row r="321" spans="53:57">
      <c r="BA321" s="716">
        <v>309</v>
      </c>
      <c r="BB321" s="717">
        <f t="shared" si="74"/>
        <v>0</v>
      </c>
      <c r="BC321" s="520">
        <f t="shared" si="75"/>
        <v>0</v>
      </c>
      <c r="BD321" s="702">
        <f t="shared" si="73"/>
        <v>0</v>
      </c>
      <c r="BE321" s="702">
        <f t="shared" si="73"/>
        <v>0</v>
      </c>
    </row>
    <row r="322" spans="53:57">
      <c r="BA322" s="716">
        <v>310</v>
      </c>
      <c r="BB322" s="717">
        <f t="shared" si="74"/>
        <v>0</v>
      </c>
      <c r="BC322" s="520">
        <f t="shared" si="75"/>
        <v>0</v>
      </c>
      <c r="BD322" s="702">
        <f t="shared" si="73"/>
        <v>0</v>
      </c>
      <c r="BE322" s="702">
        <f t="shared" si="73"/>
        <v>0</v>
      </c>
    </row>
    <row r="323" spans="53:57">
      <c r="BA323" s="716">
        <v>311</v>
      </c>
      <c r="BB323" s="717">
        <f t="shared" si="74"/>
        <v>0</v>
      </c>
      <c r="BC323" s="520">
        <f t="shared" si="75"/>
        <v>0</v>
      </c>
      <c r="BD323" s="702">
        <f t="shared" si="73"/>
        <v>0</v>
      </c>
      <c r="BE323" s="702">
        <f t="shared" si="73"/>
        <v>0</v>
      </c>
    </row>
    <row r="324" spans="53:57">
      <c r="BA324" s="716">
        <v>312</v>
      </c>
      <c r="BB324" s="717">
        <f t="shared" si="74"/>
        <v>0</v>
      </c>
      <c r="BC324" s="520">
        <f t="shared" si="75"/>
        <v>0</v>
      </c>
      <c r="BD324" s="702">
        <f t="shared" si="73"/>
        <v>0</v>
      </c>
      <c r="BE324" s="702">
        <f t="shared" si="73"/>
        <v>0</v>
      </c>
    </row>
    <row r="325" spans="53:57">
      <c r="BA325" s="716">
        <v>313</v>
      </c>
      <c r="BB325" s="717">
        <f t="shared" si="74"/>
        <v>0</v>
      </c>
      <c r="BC325" s="520">
        <f t="shared" si="75"/>
        <v>0</v>
      </c>
      <c r="BD325" s="702">
        <f t="shared" si="73"/>
        <v>0</v>
      </c>
      <c r="BE325" s="702">
        <f t="shared" si="73"/>
        <v>0</v>
      </c>
    </row>
    <row r="326" spans="53:57">
      <c r="BA326" s="716">
        <v>314</v>
      </c>
      <c r="BB326" s="717">
        <f t="shared" si="74"/>
        <v>0</v>
      </c>
      <c r="BC326" s="520">
        <f t="shared" si="75"/>
        <v>0</v>
      </c>
      <c r="BD326" s="702">
        <f t="shared" si="73"/>
        <v>0</v>
      </c>
      <c r="BE326" s="702">
        <f t="shared" si="73"/>
        <v>0</v>
      </c>
    </row>
    <row r="327" spans="53:57">
      <c r="BA327" s="716">
        <v>315</v>
      </c>
      <c r="BB327" s="717">
        <f t="shared" si="74"/>
        <v>0</v>
      </c>
      <c r="BC327" s="520">
        <f t="shared" si="75"/>
        <v>0</v>
      </c>
      <c r="BD327" s="702">
        <f t="shared" si="73"/>
        <v>0</v>
      </c>
      <c r="BE327" s="702">
        <f t="shared" si="73"/>
        <v>0</v>
      </c>
    </row>
    <row r="328" spans="53:57">
      <c r="BA328" s="716">
        <v>316</v>
      </c>
      <c r="BB328" s="717">
        <f t="shared" si="74"/>
        <v>0</v>
      </c>
      <c r="BC328" s="520">
        <f t="shared" si="75"/>
        <v>0</v>
      </c>
      <c r="BD328" s="702">
        <f t="shared" si="73"/>
        <v>0</v>
      </c>
      <c r="BE328" s="702">
        <f t="shared" si="73"/>
        <v>0</v>
      </c>
    </row>
    <row r="329" spans="53:57">
      <c r="BA329" s="716">
        <v>317</v>
      </c>
      <c r="BB329" s="717">
        <f t="shared" si="74"/>
        <v>0</v>
      </c>
      <c r="BC329" s="520">
        <f t="shared" si="75"/>
        <v>0</v>
      </c>
      <c r="BD329" s="702">
        <f t="shared" si="73"/>
        <v>0</v>
      </c>
      <c r="BE329" s="702">
        <f t="shared" si="73"/>
        <v>0</v>
      </c>
    </row>
    <row r="330" spans="53:57">
      <c r="BA330" s="716">
        <v>318</v>
      </c>
      <c r="BB330" s="717">
        <f t="shared" si="74"/>
        <v>0</v>
      </c>
      <c r="BC330" s="520">
        <f t="shared" si="75"/>
        <v>0</v>
      </c>
      <c r="BD330" s="702">
        <f t="shared" si="73"/>
        <v>0</v>
      </c>
      <c r="BE330" s="702">
        <f t="shared" si="73"/>
        <v>0</v>
      </c>
    </row>
    <row r="331" spans="53:57">
      <c r="BA331" s="716">
        <v>319</v>
      </c>
      <c r="BB331" s="717">
        <f t="shared" si="74"/>
        <v>0</v>
      </c>
      <c r="BC331" s="520">
        <f t="shared" si="75"/>
        <v>0</v>
      </c>
      <c r="BD331" s="702">
        <f t="shared" si="73"/>
        <v>0</v>
      </c>
      <c r="BE331" s="702">
        <f t="shared" si="73"/>
        <v>0</v>
      </c>
    </row>
    <row r="332" spans="53:57">
      <c r="BA332" s="716">
        <v>320</v>
      </c>
      <c r="BB332" s="717">
        <f t="shared" si="74"/>
        <v>0</v>
      </c>
      <c r="BC332" s="520">
        <f t="shared" si="75"/>
        <v>0</v>
      </c>
      <c r="BD332" s="702">
        <f t="shared" si="73"/>
        <v>0</v>
      </c>
      <c r="BE332" s="702">
        <f t="shared" si="73"/>
        <v>0</v>
      </c>
    </row>
  </sheetData>
  <sheetProtection algorithmName="SHA-512" hashValue="AYZ1nJfUWUEreLnivXaebqAEifdziJfIgVy/xpSSQwMWaR3o+JF64tAxg8WEm6y3zh2LnsRWcWgTaIuIkJWfEw==" saltValue="X9ZASUeendTxqnxKGFUm1Q==" spinCount="100000" sheet="1" selectLockedCells="1"/>
  <dataConsolidate/>
  <mergeCells count="1157">
    <mergeCell ref="AB260:AZ260"/>
    <mergeCell ref="K264:L264"/>
    <mergeCell ref="K265:L265"/>
    <mergeCell ref="BN7:BO7"/>
    <mergeCell ref="BN8:BO8"/>
    <mergeCell ref="B37:D37"/>
    <mergeCell ref="B38:D39"/>
    <mergeCell ref="E37:G37"/>
    <mergeCell ref="E38:G39"/>
    <mergeCell ref="H37:J37"/>
    <mergeCell ref="H38:J39"/>
    <mergeCell ref="U5:V5"/>
    <mergeCell ref="L5:L6"/>
    <mergeCell ref="AI5:AI6"/>
    <mergeCell ref="U6:V6"/>
    <mergeCell ref="W6:X6"/>
    <mergeCell ref="AE5:AE6"/>
    <mergeCell ref="BN9:BO9"/>
    <mergeCell ref="BN10:BO10"/>
    <mergeCell ref="AO16:AT16"/>
    <mergeCell ref="AB14:AG14"/>
    <mergeCell ref="K13:M13"/>
    <mergeCell ref="K14:M14"/>
    <mergeCell ref="A24:Z24"/>
    <mergeCell ref="A37:A39"/>
    <mergeCell ref="E34:F34"/>
    <mergeCell ref="B14:G14"/>
    <mergeCell ref="O14:T14"/>
    <mergeCell ref="AB18:AG18"/>
    <mergeCell ref="AO18:AT18"/>
    <mergeCell ref="B20:G20"/>
    <mergeCell ref="O20:T20"/>
    <mergeCell ref="A1:Z1"/>
    <mergeCell ref="AA1:AZ1"/>
    <mergeCell ref="W2:X2"/>
    <mergeCell ref="S5:S6"/>
    <mergeCell ref="Y2:Z2"/>
    <mergeCell ref="E5:E6"/>
    <mergeCell ref="AO5:AO6"/>
    <mergeCell ref="AP5:AP6"/>
    <mergeCell ref="AQ5:AQ6"/>
    <mergeCell ref="AJ5:AJ6"/>
    <mergeCell ref="AL5:AL6"/>
    <mergeCell ref="AM5:AM6"/>
    <mergeCell ref="AT5:AT6"/>
    <mergeCell ref="AU5:AV5"/>
    <mergeCell ref="AU6:AV6"/>
    <mergeCell ref="AN8:AN12"/>
    <mergeCell ref="AO8:AT12"/>
    <mergeCell ref="W10:W12"/>
    <mergeCell ref="O8:T12"/>
    <mergeCell ref="U8:V9"/>
    <mergeCell ref="N8:N12"/>
    <mergeCell ref="AA8:AA12"/>
    <mergeCell ref="AB8:AG12"/>
    <mergeCell ref="AW2:AX2"/>
    <mergeCell ref="AY2:AZ2"/>
    <mergeCell ref="A8:A12"/>
    <mergeCell ref="B8:G12"/>
    <mergeCell ref="H8:I9"/>
    <mergeCell ref="AN5:AN6"/>
    <mergeCell ref="W8:Z9"/>
    <mergeCell ref="X10:Z12"/>
    <mergeCell ref="AR5:AR6"/>
    <mergeCell ref="AB20:AG20"/>
    <mergeCell ref="A26:Z26"/>
    <mergeCell ref="AO20:AT20"/>
    <mergeCell ref="B19:G19"/>
    <mergeCell ref="O19:T19"/>
    <mergeCell ref="AB19:AG19"/>
    <mergeCell ref="AO17:AT17"/>
    <mergeCell ref="A25:Z25"/>
    <mergeCell ref="O16:T16"/>
    <mergeCell ref="AB16:AG16"/>
    <mergeCell ref="AA26:AZ26"/>
    <mergeCell ref="AX20:AZ20"/>
    <mergeCell ref="AX21:AZ21"/>
    <mergeCell ref="AX22:AZ22"/>
    <mergeCell ref="AA24:AZ24"/>
    <mergeCell ref="AA25:AZ25"/>
    <mergeCell ref="AO21:AT21"/>
    <mergeCell ref="AB21:AG21"/>
    <mergeCell ref="B18:G18"/>
    <mergeCell ref="O18:T18"/>
    <mergeCell ref="O17:T17"/>
    <mergeCell ref="X17:Z17"/>
    <mergeCell ref="X18:Z18"/>
    <mergeCell ref="X19:Z19"/>
    <mergeCell ref="X20:Z20"/>
    <mergeCell ref="X21:Z21"/>
    <mergeCell ref="AO14:AT14"/>
    <mergeCell ref="AO15:AT15"/>
    <mergeCell ref="AB15:AG15"/>
    <mergeCell ref="AO19:AT19"/>
    <mergeCell ref="AA4:AB4"/>
    <mergeCell ref="AC4:AT4"/>
    <mergeCell ref="AU8:AV9"/>
    <mergeCell ref="AJ10:AJ12"/>
    <mergeCell ref="AH10:AH12"/>
    <mergeCell ref="AI10:AI12"/>
    <mergeCell ref="U10:U12"/>
    <mergeCell ref="V10:V12"/>
    <mergeCell ref="AF5:AF6"/>
    <mergeCell ref="O13:T13"/>
    <mergeCell ref="H10:H12"/>
    <mergeCell ref="I10:I12"/>
    <mergeCell ref="J10:J12"/>
    <mergeCell ref="N5:N6"/>
    <mergeCell ref="O5:O6"/>
    <mergeCell ref="P5:P6"/>
    <mergeCell ref="Q5:Q6"/>
    <mergeCell ref="AK5:AK6"/>
    <mergeCell ref="AU10:AU12"/>
    <mergeCell ref="AV10:AV12"/>
    <mergeCell ref="T5:T6"/>
    <mergeCell ref="AA5:AB6"/>
    <mergeCell ref="AC5:AD6"/>
    <mergeCell ref="AB13:AG13"/>
    <mergeCell ref="AA7:AZ7"/>
    <mergeCell ref="AH8:AI9"/>
    <mergeCell ref="AH5:AH6"/>
    <mergeCell ref="AG5:AG6"/>
    <mergeCell ref="AW6:AX6"/>
    <mergeCell ref="AO13:AT13"/>
    <mergeCell ref="AW10:AW12"/>
    <mergeCell ref="B28:C29"/>
    <mergeCell ref="X28:Y29"/>
    <mergeCell ref="F5:F6"/>
    <mergeCell ref="G5:G6"/>
    <mergeCell ref="H5:H6"/>
    <mergeCell ref="I5:I6"/>
    <mergeCell ref="J5:J6"/>
    <mergeCell ref="K5:K6"/>
    <mergeCell ref="M5:M6"/>
    <mergeCell ref="O164:T164"/>
    <mergeCell ref="O254:T254"/>
    <mergeCell ref="O253:T253"/>
    <mergeCell ref="B252:G252"/>
    <mergeCell ref="O252:T252"/>
    <mergeCell ref="K250:M250"/>
    <mergeCell ref="K10:M12"/>
    <mergeCell ref="J8:M9"/>
    <mergeCell ref="B13:G13"/>
    <mergeCell ref="R5:R6"/>
    <mergeCell ref="F90:F91"/>
    <mergeCell ref="B16:G16"/>
    <mergeCell ref="I52:I54"/>
    <mergeCell ref="J50:M51"/>
    <mergeCell ref="K52:M54"/>
    <mergeCell ref="B55:G55"/>
    <mergeCell ref="J52:J54"/>
    <mergeCell ref="B61:G61"/>
    <mergeCell ref="O61:T61"/>
    <mergeCell ref="B17:G17"/>
    <mergeCell ref="AE33:AF33"/>
    <mergeCell ref="AG33:AH33"/>
    <mergeCell ref="AD30:AE31"/>
    <mergeCell ref="E42:G42"/>
    <mergeCell ref="AG35:AH35"/>
    <mergeCell ref="AI35:AJ35"/>
    <mergeCell ref="AK35:AL35"/>
    <mergeCell ref="AM35:AN35"/>
    <mergeCell ref="K37:M37"/>
    <mergeCell ref="A36:M36"/>
    <mergeCell ref="AK41:AM41"/>
    <mergeCell ref="AQ41:AS41"/>
    <mergeCell ref="J30:K31"/>
    <mergeCell ref="L30:M31"/>
    <mergeCell ref="E35:F35"/>
    <mergeCell ref="B33:D35"/>
    <mergeCell ref="E33:F33"/>
    <mergeCell ref="B30:C31"/>
    <mergeCell ref="AP30:AQ31"/>
    <mergeCell ref="P33:Q33"/>
    <mergeCell ref="P34:Q34"/>
    <mergeCell ref="T41:V41"/>
    <mergeCell ref="T42:V42"/>
    <mergeCell ref="D30:E31"/>
    <mergeCell ref="F30:G31"/>
    <mergeCell ref="AH41:AJ41"/>
    <mergeCell ref="X30:Y31"/>
    <mergeCell ref="B75:G75"/>
    <mergeCell ref="AB17:AG17"/>
    <mergeCell ref="AR28:AS29"/>
    <mergeCell ref="AT28:AU29"/>
    <mergeCell ref="AN41:AP41"/>
    <mergeCell ref="AE41:AG41"/>
    <mergeCell ref="Q41:S41"/>
    <mergeCell ref="B41:D41"/>
    <mergeCell ref="AA37:AA39"/>
    <mergeCell ref="K41:M41"/>
    <mergeCell ref="N41:P41"/>
    <mergeCell ref="D28:E29"/>
    <mergeCell ref="AP28:AQ29"/>
    <mergeCell ref="B22:G22"/>
    <mergeCell ref="O22:T22"/>
    <mergeCell ref="AB22:AG22"/>
    <mergeCell ref="AO22:AT22"/>
    <mergeCell ref="B21:G21"/>
    <mergeCell ref="O21:T21"/>
    <mergeCell ref="X22:Z22"/>
    <mergeCell ref="N28:O29"/>
    <mergeCell ref="P28:Q29"/>
    <mergeCell ref="R28:S29"/>
    <mergeCell ref="T28:U29"/>
    <mergeCell ref="V28:W29"/>
    <mergeCell ref="AB27:AY27"/>
    <mergeCell ref="AV30:AW31"/>
    <mergeCell ref="AX30:AY31"/>
    <mergeCell ref="AA47:AZ59"/>
    <mergeCell ref="W48:X48"/>
    <mergeCell ref="K38:M39"/>
    <mergeCell ref="I47:I48"/>
    <mergeCell ref="U47:V47"/>
    <mergeCell ref="K47:K48"/>
    <mergeCell ref="L47:L48"/>
    <mergeCell ref="U48:V48"/>
    <mergeCell ref="U50:V51"/>
    <mergeCell ref="O56:T56"/>
    <mergeCell ref="O57:T57"/>
    <mergeCell ref="K57:M57"/>
    <mergeCell ref="K58:M58"/>
    <mergeCell ref="M47:M48"/>
    <mergeCell ref="N47:N48"/>
    <mergeCell ref="W50:Z51"/>
    <mergeCell ref="AA41:AA42"/>
    <mergeCell ref="AB41:AD41"/>
    <mergeCell ref="AB42:AD42"/>
    <mergeCell ref="R38:T38"/>
    <mergeCell ref="P38:Q38"/>
    <mergeCell ref="Q42:S42"/>
    <mergeCell ref="Q47:Q48"/>
    <mergeCell ref="R47:R48"/>
    <mergeCell ref="S47:S48"/>
    <mergeCell ref="T47:T48"/>
    <mergeCell ref="O47:O48"/>
    <mergeCell ref="C46:T46"/>
    <mergeCell ref="X55:Z55"/>
    <mergeCell ref="X56:Z56"/>
    <mergeCell ref="X57:Z57"/>
    <mergeCell ref="W42:Y42"/>
    <mergeCell ref="P47:P48"/>
    <mergeCell ref="X59:Z59"/>
    <mergeCell ref="X52:Z54"/>
    <mergeCell ref="W52:W54"/>
    <mergeCell ref="O59:T59"/>
    <mergeCell ref="K59:M59"/>
    <mergeCell ref="N50:N54"/>
    <mergeCell ref="O50:T54"/>
    <mergeCell ref="H50:I51"/>
    <mergeCell ref="H52:H54"/>
    <mergeCell ref="H42:J42"/>
    <mergeCell ref="K42:M42"/>
    <mergeCell ref="B79:G79"/>
    <mergeCell ref="B80:G80"/>
    <mergeCell ref="B62:G62"/>
    <mergeCell ref="O62:T62"/>
    <mergeCell ref="B81:G81"/>
    <mergeCell ref="B83:G83"/>
    <mergeCell ref="B56:G56"/>
    <mergeCell ref="B60:G60"/>
    <mergeCell ref="O60:T60"/>
    <mergeCell ref="B57:G57"/>
    <mergeCell ref="B58:G58"/>
    <mergeCell ref="O58:T58"/>
    <mergeCell ref="Y44:Z44"/>
    <mergeCell ref="B59:G59"/>
    <mergeCell ref="A47:B48"/>
    <mergeCell ref="B42:D42"/>
    <mergeCell ref="A50:A54"/>
    <mergeCell ref="B50:G54"/>
    <mergeCell ref="C47:D48"/>
    <mergeCell ref="A41:A42"/>
    <mergeCell ref="N42:P42"/>
    <mergeCell ref="K80:M80"/>
    <mergeCell ref="X67:Z67"/>
    <mergeCell ref="O64:T64"/>
    <mergeCell ref="K63:M63"/>
    <mergeCell ref="K82:M82"/>
    <mergeCell ref="K83:M83"/>
    <mergeCell ref="B74:G74"/>
    <mergeCell ref="K65:M65"/>
    <mergeCell ref="K66:M66"/>
    <mergeCell ref="K67:M67"/>
    <mergeCell ref="O75:T75"/>
    <mergeCell ref="J95:J97"/>
    <mergeCell ref="A90:B91"/>
    <mergeCell ref="K98:M98"/>
    <mergeCell ref="U93:V94"/>
    <mergeCell ref="N93:N97"/>
    <mergeCell ref="O93:T97"/>
    <mergeCell ref="U95:U97"/>
    <mergeCell ref="V95:V97"/>
    <mergeCell ref="A93:A97"/>
    <mergeCell ref="B93:G97"/>
    <mergeCell ref="H93:I94"/>
    <mergeCell ref="B82:G82"/>
    <mergeCell ref="H95:H97"/>
    <mergeCell ref="I95:I97"/>
    <mergeCell ref="E90:E91"/>
    <mergeCell ref="I90:I91"/>
    <mergeCell ref="A86:Z86"/>
    <mergeCell ref="A89:B89"/>
    <mergeCell ref="U91:V91"/>
    <mergeCell ref="O84:T84"/>
    <mergeCell ref="Q90:Q91"/>
    <mergeCell ref="M90:M91"/>
    <mergeCell ref="G90:G91"/>
    <mergeCell ref="H90:H91"/>
    <mergeCell ref="B84:G84"/>
    <mergeCell ref="K90:K91"/>
    <mergeCell ref="B100:G100"/>
    <mergeCell ref="O100:T100"/>
    <mergeCell ref="B124:G124"/>
    <mergeCell ref="O124:T124"/>
    <mergeCell ref="B122:G122"/>
    <mergeCell ref="B123:G123"/>
    <mergeCell ref="B99:G99"/>
    <mergeCell ref="B103:G103"/>
    <mergeCell ref="O103:T103"/>
    <mergeCell ref="O122:T122"/>
    <mergeCell ref="O123:T123"/>
    <mergeCell ref="O98:T98"/>
    <mergeCell ref="B120:G120"/>
    <mergeCell ref="O120:T120"/>
    <mergeCell ref="B121:G121"/>
    <mergeCell ref="O121:T121"/>
    <mergeCell ref="B119:G119"/>
    <mergeCell ref="O119:T119"/>
    <mergeCell ref="B98:G98"/>
    <mergeCell ref="B107:G107"/>
    <mergeCell ref="O107:T107"/>
    <mergeCell ref="B108:G108"/>
    <mergeCell ref="O108:T108"/>
    <mergeCell ref="B113:G113"/>
    <mergeCell ref="O113:T113"/>
    <mergeCell ref="B114:G114"/>
    <mergeCell ref="O114:T114"/>
    <mergeCell ref="K104:M104"/>
    <mergeCell ref="K124:M124"/>
    <mergeCell ref="K116:M116"/>
    <mergeCell ref="K121:M121"/>
    <mergeCell ref="B105:G105"/>
    <mergeCell ref="O105:T105"/>
    <mergeCell ref="B106:G106"/>
    <mergeCell ref="O106:T106"/>
    <mergeCell ref="Y130:Z130"/>
    <mergeCell ref="B104:G104"/>
    <mergeCell ref="O104:T104"/>
    <mergeCell ref="X120:Z120"/>
    <mergeCell ref="O125:T125"/>
    <mergeCell ref="A129:Z129"/>
    <mergeCell ref="B117:G117"/>
    <mergeCell ref="B118:G118"/>
    <mergeCell ref="B125:G125"/>
    <mergeCell ref="K109:M109"/>
    <mergeCell ref="B101:G101"/>
    <mergeCell ref="O101:T101"/>
    <mergeCell ref="B102:G102"/>
    <mergeCell ref="O102:T102"/>
    <mergeCell ref="K101:M101"/>
    <mergeCell ref="K102:M102"/>
    <mergeCell ref="K103:M103"/>
    <mergeCell ref="U181:U183"/>
    <mergeCell ref="O206:T206"/>
    <mergeCell ref="B207:G207"/>
    <mergeCell ref="O207:T207"/>
    <mergeCell ref="B206:G206"/>
    <mergeCell ref="B184:G184"/>
    <mergeCell ref="B111:G111"/>
    <mergeCell ref="O111:T111"/>
    <mergeCell ref="B112:G112"/>
    <mergeCell ref="O112:T112"/>
    <mergeCell ref="O192:T192"/>
    <mergeCell ref="B193:G193"/>
    <mergeCell ref="H138:H140"/>
    <mergeCell ref="I138:I140"/>
    <mergeCell ref="K158:M158"/>
    <mergeCell ref="B148:G148"/>
    <mergeCell ref="K133:K134"/>
    <mergeCell ref="K151:M151"/>
    <mergeCell ref="K154:M154"/>
    <mergeCell ref="B152:G152"/>
    <mergeCell ref="J136:M137"/>
    <mergeCell ref="B141:G141"/>
    <mergeCell ref="O141:T141"/>
    <mergeCell ref="O136:T140"/>
    <mergeCell ref="J138:J140"/>
    <mergeCell ref="W134:X134"/>
    <mergeCell ref="K256:M256"/>
    <mergeCell ref="X247:Z247"/>
    <mergeCell ref="X248:Z248"/>
    <mergeCell ref="X249:Z249"/>
    <mergeCell ref="X254:Z254"/>
    <mergeCell ref="X255:Z255"/>
    <mergeCell ref="K209:M209"/>
    <mergeCell ref="K212:M212"/>
    <mergeCell ref="B213:G213"/>
    <mergeCell ref="O213:T213"/>
    <mergeCell ref="B247:G247"/>
    <mergeCell ref="O247:T247"/>
    <mergeCell ref="R219:R220"/>
    <mergeCell ref="O219:O220"/>
    <mergeCell ref="N219:N220"/>
    <mergeCell ref="N222:N226"/>
    <mergeCell ref="B234:G234"/>
    <mergeCell ref="O234:T234"/>
    <mergeCell ref="X256:Z256"/>
    <mergeCell ref="B209:G209"/>
    <mergeCell ref="O209:T209"/>
    <mergeCell ref="O211:T211"/>
    <mergeCell ref="B212:G212"/>
    <mergeCell ref="O212:T212"/>
    <mergeCell ref="B256:G256"/>
    <mergeCell ref="O256:T256"/>
    <mergeCell ref="B255:G255"/>
    <mergeCell ref="O255:T255"/>
    <mergeCell ref="B254:G254"/>
    <mergeCell ref="B253:G253"/>
    <mergeCell ref="K251:M251"/>
    <mergeCell ref="K255:M255"/>
    <mergeCell ref="O166:T166"/>
    <mergeCell ref="B163:G163"/>
    <mergeCell ref="O163:T163"/>
    <mergeCell ref="B164:G164"/>
    <mergeCell ref="B109:G109"/>
    <mergeCell ref="O109:T109"/>
    <mergeCell ref="B110:G110"/>
    <mergeCell ref="O110:T110"/>
    <mergeCell ref="B115:G115"/>
    <mergeCell ref="O115:T115"/>
    <mergeCell ref="B116:G116"/>
    <mergeCell ref="O116:T116"/>
    <mergeCell ref="B208:G208"/>
    <mergeCell ref="O208:T208"/>
    <mergeCell ref="R133:R134"/>
    <mergeCell ref="S133:S134"/>
    <mergeCell ref="L133:L134"/>
    <mergeCell ref="M133:M134"/>
    <mergeCell ref="N133:N134"/>
    <mergeCell ref="K252:M252"/>
    <mergeCell ref="K253:M253"/>
    <mergeCell ref="B168:G168"/>
    <mergeCell ref="B167:G167"/>
    <mergeCell ref="B165:G165"/>
    <mergeCell ref="O165:T165"/>
    <mergeCell ref="B250:G250"/>
    <mergeCell ref="O250:T250"/>
    <mergeCell ref="B251:G251"/>
    <mergeCell ref="O251:T251"/>
    <mergeCell ref="J133:J134"/>
    <mergeCell ref="K115:M115"/>
    <mergeCell ref="B147:G147"/>
    <mergeCell ref="O147:T147"/>
    <mergeCell ref="B149:G149"/>
    <mergeCell ref="O149:T149"/>
    <mergeCell ref="K152:M152"/>
    <mergeCell ref="B142:G142"/>
    <mergeCell ref="O142:T142"/>
    <mergeCell ref="B143:G143"/>
    <mergeCell ref="K142:M142"/>
    <mergeCell ref="O143:T143"/>
    <mergeCell ref="B151:G151"/>
    <mergeCell ref="O151:T151"/>
    <mergeCell ref="K141:M141"/>
    <mergeCell ref="B144:G144"/>
    <mergeCell ref="O144:T144"/>
    <mergeCell ref="K254:M254"/>
    <mergeCell ref="B192:G192"/>
    <mergeCell ref="O185:T185"/>
    <mergeCell ref="B189:G189"/>
    <mergeCell ref="O189:T189"/>
    <mergeCell ref="B155:G155"/>
    <mergeCell ref="O155:T155"/>
    <mergeCell ref="O191:T191"/>
    <mergeCell ref="O184:T184"/>
    <mergeCell ref="K189:M189"/>
    <mergeCell ref="K190:M190"/>
    <mergeCell ref="K191:M191"/>
    <mergeCell ref="C175:T175"/>
    <mergeCell ref="K188:M188"/>
    <mergeCell ref="B186:G186"/>
    <mergeCell ref="O186:T186"/>
    <mergeCell ref="B199:G199"/>
    <mergeCell ref="K170:M170"/>
    <mergeCell ref="O156:T156"/>
    <mergeCell ref="A179:A183"/>
    <mergeCell ref="B179:G183"/>
    <mergeCell ref="H179:I180"/>
    <mergeCell ref="W181:W183"/>
    <mergeCell ref="U179:V180"/>
    <mergeCell ref="F176:F177"/>
    <mergeCell ref="T176:T177"/>
    <mergeCell ref="R176:R177"/>
    <mergeCell ref="G176:G177"/>
    <mergeCell ref="Q176:Q177"/>
    <mergeCell ref="I176:I177"/>
    <mergeCell ref="J176:J177"/>
    <mergeCell ref="K176:K177"/>
    <mergeCell ref="L176:L177"/>
    <mergeCell ref="H181:H183"/>
    <mergeCell ref="I181:I183"/>
    <mergeCell ref="J181:J183"/>
    <mergeCell ref="A176:B177"/>
    <mergeCell ref="U176:V176"/>
    <mergeCell ref="W179:Z180"/>
    <mergeCell ref="E176:E177"/>
    <mergeCell ref="H176:H177"/>
    <mergeCell ref="M176:M177"/>
    <mergeCell ref="P176:P177"/>
    <mergeCell ref="V181:V183"/>
    <mergeCell ref="W177:X177"/>
    <mergeCell ref="S176:S177"/>
    <mergeCell ref="N176:N177"/>
    <mergeCell ref="O176:O177"/>
    <mergeCell ref="X181:Z183"/>
    <mergeCell ref="X169:Z169"/>
    <mergeCell ref="K156:M156"/>
    <mergeCell ref="K157:M157"/>
    <mergeCell ref="K168:M168"/>
    <mergeCell ref="K169:M169"/>
    <mergeCell ref="B157:G157"/>
    <mergeCell ref="O157:T157"/>
    <mergeCell ref="O167:T167"/>
    <mergeCell ref="O168:T168"/>
    <mergeCell ref="B162:G162"/>
    <mergeCell ref="O162:T162"/>
    <mergeCell ref="B160:G160"/>
    <mergeCell ref="B161:G161"/>
    <mergeCell ref="B166:G166"/>
    <mergeCell ref="B159:G159"/>
    <mergeCell ref="O159:T159"/>
    <mergeCell ref="B169:G169"/>
    <mergeCell ref="B158:G158"/>
    <mergeCell ref="K155:M155"/>
    <mergeCell ref="X200:Z200"/>
    <mergeCell ref="X201:Z201"/>
    <mergeCell ref="X202:Z202"/>
    <mergeCell ref="X211:Z211"/>
    <mergeCell ref="X204:Z204"/>
    <mergeCell ref="X205:Z205"/>
    <mergeCell ref="X206:Z206"/>
    <mergeCell ref="B204:G204"/>
    <mergeCell ref="B190:G190"/>
    <mergeCell ref="O190:T190"/>
    <mergeCell ref="B188:G188"/>
    <mergeCell ref="O188:T188"/>
    <mergeCell ref="X210:Z210"/>
    <mergeCell ref="X207:Z207"/>
    <mergeCell ref="X209:Z209"/>
    <mergeCell ref="X203:Z203"/>
    <mergeCell ref="X165:Z165"/>
    <mergeCell ref="O169:T169"/>
    <mergeCell ref="X162:Z162"/>
    <mergeCell ref="B170:G170"/>
    <mergeCell ref="O170:T170"/>
    <mergeCell ref="O161:T161"/>
    <mergeCell ref="K160:M160"/>
    <mergeCell ref="X166:Z166"/>
    <mergeCell ref="K166:M166"/>
    <mergeCell ref="K167:M167"/>
    <mergeCell ref="K159:M159"/>
    <mergeCell ref="X167:Z167"/>
    <mergeCell ref="X168:Z168"/>
    <mergeCell ref="X161:Z161"/>
    <mergeCell ref="X170:Z170"/>
    <mergeCell ref="L219:L220"/>
    <mergeCell ref="B196:G196"/>
    <mergeCell ref="O196:T196"/>
    <mergeCell ref="B197:G197"/>
    <mergeCell ref="O197:T197"/>
    <mergeCell ref="U219:V219"/>
    <mergeCell ref="B194:G194"/>
    <mergeCell ref="O194:T194"/>
    <mergeCell ref="B195:G195"/>
    <mergeCell ref="B191:G191"/>
    <mergeCell ref="S219:S220"/>
    <mergeCell ref="K208:M208"/>
    <mergeCell ref="K213:M213"/>
    <mergeCell ref="B187:G187"/>
    <mergeCell ref="O187:T187"/>
    <mergeCell ref="O179:T183"/>
    <mergeCell ref="B185:G185"/>
    <mergeCell ref="K187:M187"/>
    <mergeCell ref="O199:T199"/>
    <mergeCell ref="N179:N183"/>
    <mergeCell ref="W216:X216"/>
    <mergeCell ref="Y216:Z216"/>
    <mergeCell ref="X208:Z208"/>
    <mergeCell ref="W224:W226"/>
    <mergeCell ref="B230:G230"/>
    <mergeCell ref="O230:T230"/>
    <mergeCell ref="B231:G231"/>
    <mergeCell ref="O231:T231"/>
    <mergeCell ref="B228:G228"/>
    <mergeCell ref="O228:T228"/>
    <mergeCell ref="B229:G229"/>
    <mergeCell ref="O229:T229"/>
    <mergeCell ref="U224:U226"/>
    <mergeCell ref="B227:G227"/>
    <mergeCell ref="O227:T227"/>
    <mergeCell ref="O222:T226"/>
    <mergeCell ref="J224:J226"/>
    <mergeCell ref="U222:V223"/>
    <mergeCell ref="K224:M226"/>
    <mergeCell ref="K227:M227"/>
    <mergeCell ref="K228:M228"/>
    <mergeCell ref="J222:M223"/>
    <mergeCell ref="K230:M230"/>
    <mergeCell ref="B222:G226"/>
    <mergeCell ref="H222:I223"/>
    <mergeCell ref="H224:H226"/>
    <mergeCell ref="V224:V226"/>
    <mergeCell ref="X231:Z231"/>
    <mergeCell ref="T219:T220"/>
    <mergeCell ref="B211:G211"/>
    <mergeCell ref="B210:G210"/>
    <mergeCell ref="O210:T210"/>
    <mergeCell ref="O245:T245"/>
    <mergeCell ref="K246:M246"/>
    <mergeCell ref="B242:G242"/>
    <mergeCell ref="O242:T242"/>
    <mergeCell ref="B243:G243"/>
    <mergeCell ref="O243:T243"/>
    <mergeCell ref="B240:G240"/>
    <mergeCell ref="X235:Z235"/>
    <mergeCell ref="B236:G236"/>
    <mergeCell ref="O236:T236"/>
    <mergeCell ref="B237:G237"/>
    <mergeCell ref="O237:T237"/>
    <mergeCell ref="K236:M236"/>
    <mergeCell ref="O239:T239"/>
    <mergeCell ref="K238:M238"/>
    <mergeCell ref="K239:M239"/>
    <mergeCell ref="O241:T241"/>
    <mergeCell ref="K242:M242"/>
    <mergeCell ref="K243:M243"/>
    <mergeCell ref="B238:G238"/>
    <mergeCell ref="O238:T238"/>
    <mergeCell ref="B239:G239"/>
    <mergeCell ref="X238:Z238"/>
    <mergeCell ref="O240:T240"/>
    <mergeCell ref="B241:G241"/>
    <mergeCell ref="O246:T246"/>
    <mergeCell ref="B244:G244"/>
    <mergeCell ref="X232:Z232"/>
    <mergeCell ref="X233:Z233"/>
    <mergeCell ref="X234:Z234"/>
    <mergeCell ref="P219:P220"/>
    <mergeCell ref="A221:Z221"/>
    <mergeCell ref="F219:F220"/>
    <mergeCell ref="G219:G220"/>
    <mergeCell ref="H219:H220"/>
    <mergeCell ref="W220:X220"/>
    <mergeCell ref="X229:Z229"/>
    <mergeCell ref="X230:Z230"/>
    <mergeCell ref="B246:G246"/>
    <mergeCell ref="U220:V220"/>
    <mergeCell ref="B235:G235"/>
    <mergeCell ref="O235:T235"/>
    <mergeCell ref="B232:G232"/>
    <mergeCell ref="O232:T232"/>
    <mergeCell ref="B233:G233"/>
    <mergeCell ref="Q219:Q220"/>
    <mergeCell ref="E219:E220"/>
    <mergeCell ref="M219:M220"/>
    <mergeCell ref="O233:T233"/>
    <mergeCell ref="K235:M235"/>
    <mergeCell ref="I219:I220"/>
    <mergeCell ref="K245:M245"/>
    <mergeCell ref="K244:M244"/>
    <mergeCell ref="X243:Z243"/>
    <mergeCell ref="X244:Z244"/>
    <mergeCell ref="X245:Z245"/>
    <mergeCell ref="X246:Z246"/>
    <mergeCell ref="K229:M229"/>
    <mergeCell ref="X237:Z237"/>
    <mergeCell ref="I224:I226"/>
    <mergeCell ref="K233:M233"/>
    <mergeCell ref="K234:M234"/>
    <mergeCell ref="K211:M211"/>
    <mergeCell ref="A219:B220"/>
    <mergeCell ref="K231:M231"/>
    <mergeCell ref="K232:M232"/>
    <mergeCell ref="K210:M210"/>
    <mergeCell ref="K163:M163"/>
    <mergeCell ref="K147:M147"/>
    <mergeCell ref="K148:M148"/>
    <mergeCell ref="K165:M165"/>
    <mergeCell ref="U177:V177"/>
    <mergeCell ref="A218:B218"/>
    <mergeCell ref="A222:A226"/>
    <mergeCell ref="O152:T152"/>
    <mergeCell ref="B153:G153"/>
    <mergeCell ref="B202:G202"/>
    <mergeCell ref="O202:T202"/>
    <mergeCell ref="B203:G203"/>
    <mergeCell ref="O203:T203"/>
    <mergeCell ref="B200:G200"/>
    <mergeCell ref="O200:T200"/>
    <mergeCell ref="B201:G201"/>
    <mergeCell ref="O201:T201"/>
    <mergeCell ref="J219:J220"/>
    <mergeCell ref="K219:K220"/>
    <mergeCell ref="B198:G198"/>
    <mergeCell ref="O198:T198"/>
    <mergeCell ref="B205:G205"/>
    <mergeCell ref="O205:T205"/>
    <mergeCell ref="O204:T204"/>
    <mergeCell ref="A133:B134"/>
    <mergeCell ref="C133:D134"/>
    <mergeCell ref="U133:V133"/>
    <mergeCell ref="U134:V134"/>
    <mergeCell ref="O126:T126"/>
    <mergeCell ref="W130:X130"/>
    <mergeCell ref="X126:Z126"/>
    <mergeCell ref="X127:Z127"/>
    <mergeCell ref="U138:U140"/>
    <mergeCell ref="B150:G150"/>
    <mergeCell ref="O150:T150"/>
    <mergeCell ref="B145:G145"/>
    <mergeCell ref="O145:T145"/>
    <mergeCell ref="B136:G140"/>
    <mergeCell ref="H136:I137"/>
    <mergeCell ref="K149:M149"/>
    <mergeCell ref="K150:M150"/>
    <mergeCell ref="A136:A140"/>
    <mergeCell ref="P133:P134"/>
    <mergeCell ref="F133:F134"/>
    <mergeCell ref="B127:G127"/>
    <mergeCell ref="B126:G126"/>
    <mergeCell ref="K126:M126"/>
    <mergeCell ref="K127:M127"/>
    <mergeCell ref="E133:E134"/>
    <mergeCell ref="G133:G134"/>
    <mergeCell ref="H133:H134"/>
    <mergeCell ref="I133:I134"/>
    <mergeCell ref="N136:N140"/>
    <mergeCell ref="T133:T134"/>
    <mergeCell ref="B146:G146"/>
    <mergeCell ref="O146:T146"/>
    <mergeCell ref="C4:T4"/>
    <mergeCell ref="A5:B6"/>
    <mergeCell ref="I33:J33"/>
    <mergeCell ref="K33:L33"/>
    <mergeCell ref="C90:D91"/>
    <mergeCell ref="J90:J91"/>
    <mergeCell ref="N90:N91"/>
    <mergeCell ref="B73:G73"/>
    <mergeCell ref="O73:T73"/>
    <mergeCell ref="B69:G69"/>
    <mergeCell ref="O69:T69"/>
    <mergeCell ref="B70:G70"/>
    <mergeCell ref="O70:T70"/>
    <mergeCell ref="B67:G67"/>
    <mergeCell ref="O67:T67"/>
    <mergeCell ref="K15:M15"/>
    <mergeCell ref="K20:M20"/>
    <mergeCell ref="K75:M75"/>
    <mergeCell ref="B27:Y27"/>
    <mergeCell ref="P36:Z36"/>
    <mergeCell ref="R39:T39"/>
    <mergeCell ref="N30:O31"/>
    <mergeCell ref="P30:Q31"/>
    <mergeCell ref="K71:M71"/>
    <mergeCell ref="K77:M77"/>
    <mergeCell ref="X66:Z66"/>
    <mergeCell ref="J47:J48"/>
    <mergeCell ref="K72:M72"/>
    <mergeCell ref="X60:Z60"/>
    <mergeCell ref="X72:Z72"/>
    <mergeCell ref="X73:Z73"/>
    <mergeCell ref="X61:Z61"/>
    <mergeCell ref="K248:M248"/>
    <mergeCell ref="K247:M247"/>
    <mergeCell ref="K143:M143"/>
    <mergeCell ref="K144:M144"/>
    <mergeCell ref="K145:M145"/>
    <mergeCell ref="K138:M140"/>
    <mergeCell ref="K206:M206"/>
    <mergeCell ref="K207:M207"/>
    <mergeCell ref="K117:M117"/>
    <mergeCell ref="K118:M118"/>
    <mergeCell ref="K105:M105"/>
    <mergeCell ref="K106:M106"/>
    <mergeCell ref="C89:T89"/>
    <mergeCell ref="O158:T158"/>
    <mergeCell ref="K161:M161"/>
    <mergeCell ref="K192:M192"/>
    <mergeCell ref="K193:M193"/>
    <mergeCell ref="Q133:Q134"/>
    <mergeCell ref="O133:O134"/>
    <mergeCell ref="K110:M110"/>
    <mergeCell ref="K111:M111"/>
    <mergeCell ref="K122:M122"/>
    <mergeCell ref="K123:M123"/>
    <mergeCell ref="O244:T244"/>
    <mergeCell ref="B245:G245"/>
    <mergeCell ref="K162:M162"/>
    <mergeCell ref="K237:M237"/>
    <mergeCell ref="K240:M240"/>
    <mergeCell ref="K241:M241"/>
    <mergeCell ref="A215:Z215"/>
    <mergeCell ref="X107:Z107"/>
    <mergeCell ref="X108:Z108"/>
    <mergeCell ref="K249:M249"/>
    <mergeCell ref="K107:M107"/>
    <mergeCell ref="K112:M112"/>
    <mergeCell ref="K113:M113"/>
    <mergeCell ref="K114:M114"/>
    <mergeCell ref="C218:T218"/>
    <mergeCell ref="C176:D177"/>
    <mergeCell ref="G34:H34"/>
    <mergeCell ref="G33:H33"/>
    <mergeCell ref="I34:J34"/>
    <mergeCell ref="K34:L34"/>
    <mergeCell ref="M34:N34"/>
    <mergeCell ref="M33:N33"/>
    <mergeCell ref="C219:D220"/>
    <mergeCell ref="B68:G68"/>
    <mergeCell ref="O68:T68"/>
    <mergeCell ref="B65:G65"/>
    <mergeCell ref="O65:T65"/>
    <mergeCell ref="B66:G66"/>
    <mergeCell ref="O66:T66"/>
    <mergeCell ref="B63:G63"/>
    <mergeCell ref="O63:T63"/>
    <mergeCell ref="B64:G64"/>
    <mergeCell ref="B248:G248"/>
    <mergeCell ref="O127:T127"/>
    <mergeCell ref="O160:T160"/>
    <mergeCell ref="O248:T248"/>
    <mergeCell ref="O195:T195"/>
    <mergeCell ref="B249:G249"/>
    <mergeCell ref="O249:T249"/>
    <mergeCell ref="K164:M164"/>
    <mergeCell ref="K146:M146"/>
    <mergeCell ref="K60:M60"/>
    <mergeCell ref="K55:M55"/>
    <mergeCell ref="K56:M56"/>
    <mergeCell ref="O55:T55"/>
    <mergeCell ref="U90:V90"/>
    <mergeCell ref="X65:Z65"/>
    <mergeCell ref="X70:Z70"/>
    <mergeCell ref="X71:Z71"/>
    <mergeCell ref="K76:M76"/>
    <mergeCell ref="X100:Z100"/>
    <mergeCell ref="X117:Z117"/>
    <mergeCell ref="X115:Z115"/>
    <mergeCell ref="X102:Z102"/>
    <mergeCell ref="X103:Z103"/>
    <mergeCell ref="K79:M79"/>
    <mergeCell ref="K61:M61"/>
    <mergeCell ref="K62:M62"/>
    <mergeCell ref="X74:Z74"/>
    <mergeCell ref="X75:Z75"/>
    <mergeCell ref="X76:Z76"/>
    <mergeCell ref="K70:M70"/>
    <mergeCell ref="W87:X87"/>
    <mergeCell ref="Y87:Z87"/>
    <mergeCell ref="O90:O91"/>
    <mergeCell ref="K68:M68"/>
    <mergeCell ref="K69:M69"/>
    <mergeCell ref="R90:R91"/>
    <mergeCell ref="S90:S91"/>
    <mergeCell ref="T90:T91"/>
    <mergeCell ref="O83:T83"/>
    <mergeCell ref="O82:T82"/>
    <mergeCell ref="L90:L91"/>
    <mergeCell ref="U136:V137"/>
    <mergeCell ref="O193:T193"/>
    <mergeCell ref="K153:M153"/>
    <mergeCell ref="X156:Z156"/>
    <mergeCell ref="X157:Z157"/>
    <mergeCell ref="X158:Z158"/>
    <mergeCell ref="X159:Z159"/>
    <mergeCell ref="X160:Z160"/>
    <mergeCell ref="X186:Z186"/>
    <mergeCell ref="X104:Z104"/>
    <mergeCell ref="X141:Z141"/>
    <mergeCell ref="X146:Z146"/>
    <mergeCell ref="X147:Z147"/>
    <mergeCell ref="X148:Z148"/>
    <mergeCell ref="X149:Z149"/>
    <mergeCell ref="X150:Z150"/>
    <mergeCell ref="X151:Z151"/>
    <mergeCell ref="X152:Z152"/>
    <mergeCell ref="O148:T148"/>
    <mergeCell ref="O117:T117"/>
    <mergeCell ref="O118:T118"/>
    <mergeCell ref="W173:X173"/>
    <mergeCell ref="Y173:Z173"/>
    <mergeCell ref="X116:Z116"/>
    <mergeCell ref="K119:M119"/>
    <mergeCell ref="K108:M108"/>
    <mergeCell ref="W138:W140"/>
    <mergeCell ref="C132:T132"/>
    <mergeCell ref="B154:G154"/>
    <mergeCell ref="O154:T154"/>
    <mergeCell ref="O153:T153"/>
    <mergeCell ref="B156:G156"/>
    <mergeCell ref="A132:B132"/>
    <mergeCell ref="BN6:BO6"/>
    <mergeCell ref="K203:M203"/>
    <mergeCell ref="K204:M204"/>
    <mergeCell ref="K205:M205"/>
    <mergeCell ref="K16:M16"/>
    <mergeCell ref="K17:M17"/>
    <mergeCell ref="K18:M18"/>
    <mergeCell ref="K19:M19"/>
    <mergeCell ref="K196:M196"/>
    <mergeCell ref="K197:M197"/>
    <mergeCell ref="X196:Z196"/>
    <mergeCell ref="X197:Z197"/>
    <mergeCell ref="X198:Z198"/>
    <mergeCell ref="X199:Z199"/>
    <mergeCell ref="K201:M201"/>
    <mergeCell ref="K202:M202"/>
    <mergeCell ref="K198:M198"/>
    <mergeCell ref="K199:M199"/>
    <mergeCell ref="K200:M200"/>
    <mergeCell ref="X64:Z64"/>
    <mergeCell ref="K185:M185"/>
    <mergeCell ref="K186:M186"/>
    <mergeCell ref="X184:Z184"/>
    <mergeCell ref="X185:Z185"/>
    <mergeCell ref="X193:Z193"/>
    <mergeCell ref="X138:Z140"/>
    <mergeCell ref="X13:Z13"/>
    <mergeCell ref="X144:Z144"/>
    <mergeCell ref="X145:Z145"/>
    <mergeCell ref="X155:Z155"/>
    <mergeCell ref="V138:V140"/>
    <mergeCell ref="BF72:BN72"/>
    <mergeCell ref="AB30:AC31"/>
    <mergeCell ref="X253:Z253"/>
    <mergeCell ref="X239:Z239"/>
    <mergeCell ref="X240:Z240"/>
    <mergeCell ref="X241:Z241"/>
    <mergeCell ref="X242:Z242"/>
    <mergeCell ref="AB38:AD39"/>
    <mergeCell ref="AE38:AG39"/>
    <mergeCell ref="AH38:AJ39"/>
    <mergeCell ref="AK38:AM39"/>
    <mergeCell ref="AR38:AT38"/>
    <mergeCell ref="AV38:AW38"/>
    <mergeCell ref="X84:Z84"/>
    <mergeCell ref="W93:Z94"/>
    <mergeCell ref="W91:X91"/>
    <mergeCell ref="X80:Z80"/>
    <mergeCell ref="X81:Z81"/>
    <mergeCell ref="X82:Z82"/>
    <mergeCell ref="X105:Z105"/>
    <mergeCell ref="X106:Z106"/>
    <mergeCell ref="AE35:AF35"/>
    <mergeCell ref="X142:Z142"/>
    <mergeCell ref="X143:Z143"/>
    <mergeCell ref="W136:Z137"/>
    <mergeCell ref="X58:Z58"/>
    <mergeCell ref="X121:Z121"/>
    <mergeCell ref="X122:Z122"/>
    <mergeCell ref="X123:Z123"/>
    <mergeCell ref="X125:Z125"/>
    <mergeCell ref="X68:Z68"/>
    <mergeCell ref="X69:Z69"/>
    <mergeCell ref="J93:M94"/>
    <mergeCell ref="K95:M97"/>
    <mergeCell ref="J179:M180"/>
    <mergeCell ref="K181:M183"/>
    <mergeCell ref="K184:M184"/>
    <mergeCell ref="K194:M194"/>
    <mergeCell ref="K195:M195"/>
    <mergeCell ref="X194:Z194"/>
    <mergeCell ref="X195:Z195"/>
    <mergeCell ref="X109:Z109"/>
    <mergeCell ref="X110:Z110"/>
    <mergeCell ref="X77:Z77"/>
    <mergeCell ref="X78:Z78"/>
    <mergeCell ref="X79:Z79"/>
    <mergeCell ref="X188:Z188"/>
    <mergeCell ref="K78:M78"/>
    <mergeCell ref="K120:M120"/>
    <mergeCell ref="K125:M125"/>
    <mergeCell ref="O79:T79"/>
    <mergeCell ref="X98:Z98"/>
    <mergeCell ref="X101:Z101"/>
    <mergeCell ref="X118:Z118"/>
    <mergeCell ref="K84:M84"/>
    <mergeCell ref="O80:T80"/>
    <mergeCell ref="K100:M100"/>
    <mergeCell ref="X83:Z83"/>
    <mergeCell ref="K81:M81"/>
    <mergeCell ref="P90:P91"/>
    <mergeCell ref="O99:T99"/>
    <mergeCell ref="W95:W97"/>
    <mergeCell ref="X153:Z153"/>
    <mergeCell ref="X154:Z154"/>
    <mergeCell ref="K74:M74"/>
    <mergeCell ref="O81:T81"/>
    <mergeCell ref="G47:G48"/>
    <mergeCell ref="H47:H48"/>
    <mergeCell ref="E41:G41"/>
    <mergeCell ref="H41:J41"/>
    <mergeCell ref="X95:Z97"/>
    <mergeCell ref="X250:Z250"/>
    <mergeCell ref="X251:Z251"/>
    <mergeCell ref="X252:Z252"/>
    <mergeCell ref="X212:Z212"/>
    <mergeCell ref="X213:Z213"/>
    <mergeCell ref="X124:Z124"/>
    <mergeCell ref="X187:Z187"/>
    <mergeCell ref="W222:Z223"/>
    <mergeCell ref="X224:Z226"/>
    <mergeCell ref="X227:Z227"/>
    <mergeCell ref="X228:Z228"/>
    <mergeCell ref="X236:Z236"/>
    <mergeCell ref="X163:Z163"/>
    <mergeCell ref="X164:Z164"/>
    <mergeCell ref="X119:Z119"/>
    <mergeCell ref="X112:Z112"/>
    <mergeCell ref="X113:Z113"/>
    <mergeCell ref="X114:Z114"/>
    <mergeCell ref="X191:Z191"/>
    <mergeCell ref="X192:Z192"/>
    <mergeCell ref="X189:Z189"/>
    <mergeCell ref="X190:Z190"/>
    <mergeCell ref="X111:Z111"/>
    <mergeCell ref="A172:Z172"/>
    <mergeCell ref="A175:B175"/>
    <mergeCell ref="B78:G78"/>
    <mergeCell ref="AN42:AP42"/>
    <mergeCell ref="AQ42:AS42"/>
    <mergeCell ref="AP39:AQ39"/>
    <mergeCell ref="AR39:AT39"/>
    <mergeCell ref="AV39:AW39"/>
    <mergeCell ref="AX39:AY39"/>
    <mergeCell ref="AP38:AQ38"/>
    <mergeCell ref="X39:Y39"/>
    <mergeCell ref="P39:Q39"/>
    <mergeCell ref="V39:W39"/>
    <mergeCell ref="X38:Y38"/>
    <mergeCell ref="V38:W38"/>
    <mergeCell ref="AE37:AG37"/>
    <mergeCell ref="AH37:AJ37"/>
    <mergeCell ref="A43:Z43"/>
    <mergeCell ref="A46:B46"/>
    <mergeCell ref="B76:G76"/>
    <mergeCell ref="B77:G77"/>
    <mergeCell ref="E47:E48"/>
    <mergeCell ref="F47:F48"/>
    <mergeCell ref="O74:T74"/>
    <mergeCell ref="B71:G71"/>
    <mergeCell ref="O71:T71"/>
    <mergeCell ref="B72:G72"/>
    <mergeCell ref="O72:T72"/>
    <mergeCell ref="K73:M73"/>
    <mergeCell ref="O76:T76"/>
    <mergeCell ref="O77:T77"/>
    <mergeCell ref="O78:T78"/>
    <mergeCell ref="X62:Z62"/>
    <mergeCell ref="X63:Z63"/>
    <mergeCell ref="CH1:CK1"/>
    <mergeCell ref="AB28:AC29"/>
    <mergeCell ref="AD28:AE29"/>
    <mergeCell ref="AF28:AG29"/>
    <mergeCell ref="AH28:AI29"/>
    <mergeCell ref="AJ28:AK29"/>
    <mergeCell ref="AL28:AM29"/>
    <mergeCell ref="AN28:AO29"/>
    <mergeCell ref="AV28:AW29"/>
    <mergeCell ref="AX28:AY29"/>
    <mergeCell ref="F28:G29"/>
    <mergeCell ref="H28:I29"/>
    <mergeCell ref="J28:K29"/>
    <mergeCell ref="L28:M29"/>
    <mergeCell ref="K21:M21"/>
    <mergeCell ref="K22:M22"/>
    <mergeCell ref="K99:M99"/>
    <mergeCell ref="X99:Z99"/>
    <mergeCell ref="AA36:AM36"/>
    <mergeCell ref="AP36:AZ36"/>
    <mergeCell ref="AB37:AD37"/>
    <mergeCell ref="AX38:AY38"/>
    <mergeCell ref="X37:Y37"/>
    <mergeCell ref="V37:W37"/>
    <mergeCell ref="K64:M64"/>
    <mergeCell ref="V52:V54"/>
    <mergeCell ref="W44:X44"/>
    <mergeCell ref="U52:U54"/>
    <mergeCell ref="AA43:AZ46"/>
    <mergeCell ref="AE42:AG42"/>
    <mergeCell ref="AH42:AJ42"/>
    <mergeCell ref="AK42:AM42"/>
    <mergeCell ref="AX37:AY37"/>
    <mergeCell ref="AS5:AS6"/>
    <mergeCell ref="H30:I31"/>
    <mergeCell ref="R30:S31"/>
    <mergeCell ref="T30:U31"/>
    <mergeCell ref="V30:W31"/>
    <mergeCell ref="I35:J35"/>
    <mergeCell ref="K35:L35"/>
    <mergeCell ref="M35:N35"/>
    <mergeCell ref="AM33:AN33"/>
    <mergeCell ref="AF30:AG31"/>
    <mergeCell ref="AI33:AJ33"/>
    <mergeCell ref="AK33:AL33"/>
    <mergeCell ref="AE34:AF34"/>
    <mergeCell ref="AG34:AH34"/>
    <mergeCell ref="AI34:AJ34"/>
    <mergeCell ref="AK34:AL34"/>
    <mergeCell ref="G35:H35"/>
    <mergeCell ref="X14:Z14"/>
    <mergeCell ref="X15:Z15"/>
    <mergeCell ref="X16:Z16"/>
    <mergeCell ref="B15:G15"/>
    <mergeCell ref="O15:T15"/>
    <mergeCell ref="R37:T37"/>
    <mergeCell ref="P37:Q37"/>
    <mergeCell ref="AH30:AI31"/>
    <mergeCell ref="AJ30:AK31"/>
    <mergeCell ref="AL30:AM31"/>
    <mergeCell ref="AN30:AO31"/>
    <mergeCell ref="AR30:AS31"/>
    <mergeCell ref="AT30:AU31"/>
    <mergeCell ref="AB33:AD35"/>
    <mergeCell ref="C5:C6"/>
    <mergeCell ref="D5:D6"/>
    <mergeCell ref="CN10:CP10"/>
    <mergeCell ref="CM1:CP1"/>
    <mergeCell ref="AU42:AV42"/>
    <mergeCell ref="AW42:AY42"/>
    <mergeCell ref="AJ8:AM9"/>
    <mergeCell ref="AK10:AM12"/>
    <mergeCell ref="AK13:AM13"/>
    <mergeCell ref="AK14:AM14"/>
    <mergeCell ref="AK15:AM15"/>
    <mergeCell ref="AK16:AM16"/>
    <mergeCell ref="AK17:AM17"/>
    <mergeCell ref="AK18:AM18"/>
    <mergeCell ref="AK19:AM19"/>
    <mergeCell ref="AK20:AM20"/>
    <mergeCell ref="AK21:AM21"/>
    <mergeCell ref="AK22:AM22"/>
    <mergeCell ref="AW8:AZ9"/>
    <mergeCell ref="AX10:AZ12"/>
    <mergeCell ref="AX13:AZ13"/>
    <mergeCell ref="AX14:AZ14"/>
    <mergeCell ref="AX15:AZ15"/>
    <mergeCell ref="AX16:AZ16"/>
    <mergeCell ref="AX17:AZ17"/>
    <mergeCell ref="AX18:AZ18"/>
    <mergeCell ref="AX19:AZ19"/>
    <mergeCell ref="AP37:AQ37"/>
    <mergeCell ref="AM34:AN34"/>
    <mergeCell ref="AK37:AM37"/>
    <mergeCell ref="AR37:AT37"/>
    <mergeCell ref="AV37:AW37"/>
  </mergeCells>
  <phoneticPr fontId="7"/>
  <conditionalFormatting sqref="B13:M22 O13:Z22 B55:M84 O55:Z84 B98:M127 O98:Z127 B141:M170 O141:Z170">
    <cfRule type="containsBlanks" dxfId="128" priority="1">
      <formula>LEN(TRIM(B13))=0</formula>
    </cfRule>
  </conditionalFormatting>
  <dataValidations count="12">
    <dataValidation type="list" allowBlank="1" showInputMessage="1" showErrorMessage="1" sqref="AW13:AW22 AJ13:AJ22 J13:J22 W13:W22 J55:J84 W55:W84 J98:J127 W98:W127 J141:J170 W141:W170" xr:uid="{00000000-0002-0000-0600-000000000000}">
      <formula1>$BF$3:$BF$6</formula1>
    </dataValidation>
    <dataValidation type="list" allowBlank="1" showInputMessage="1" showErrorMessage="1" sqref="I227:I256 AI17:AI18 AI21:AI22 AI14:AI15 AV13:AV20 V184:V213 I184:I213 I141:I170 V141:V170 V227:V256 V13:V22 I98:I127 I55:I84 V55:V84 V98:V127 I17:I18 I21:I22 I14:I15" xr:uid="{00000000-0002-0000-0600-000001000000}">
      <formula1>$AA$13:$AA$14</formula1>
    </dataValidation>
    <dataValidation type="list" allowBlank="1" showInputMessage="1" showErrorMessage="1" sqref="H227:H256 H141:H170 AU21:AU22 U184:U213 H184:H213 U141:U170 U227:U256 U98:U127 H98:H127 U13:U22 H55:H84 H13:H22 U55:U84" xr:uid="{00000000-0002-0000-0600-000002000000}">
      <formula1>$AA$13</formula1>
    </dataValidation>
    <dataValidation type="list" allowBlank="1" showInputMessage="1" showErrorMessage="1" sqref="U171:V171 H214:I214 U214:V214 H171:I171" xr:uid="{00000000-0002-0000-0600-000003000000}">
      <formula1>$C$31:$L$31</formula1>
    </dataValidation>
    <dataValidation type="list" allowBlank="1" showInputMessage="1" showErrorMessage="1" sqref="AK13:AK22 AX13:AX22" xr:uid="{00000000-0002-0000-0600-000004000000}">
      <formula1>$BF$12:$BF$37</formula1>
    </dataValidation>
    <dataValidation type="list" allowBlank="1" showInputMessage="1" sqref="AI19:AI20 AI13 AI16 I19:I20 I13 I16" xr:uid="{00000000-0002-0000-0600-000005000000}">
      <formula1>$AA$13:$AA$14</formula1>
    </dataValidation>
    <dataValidation type="custom" operator="lessThan" allowBlank="1" showInputMessage="1" showErrorMessage="1" errorTitle="引率割引適応者の人数を再確認！" error="引率者割引の適応者は、生徒数の20%までとなっております。" sqref="K34:L34" xr:uid="{00000000-0002-0000-0600-000006000000}">
      <formula1>$G$34*0.2&gt;K34</formula1>
    </dataValidation>
    <dataValidation operator="lessThan" allowBlank="1" showInputMessage="1" showErrorMessage="1" errorTitle="引率割引適応者の人数を再確認！" error="引率者割引の適応者は、生徒数の20%までとなっております。" sqref="AK34:AL34" xr:uid="{00000000-0002-0000-0600-000007000000}"/>
    <dataValidation type="list" allowBlank="1" showInputMessage="1" showErrorMessage="1" sqref="K264:L264 J227:J256 W227:W256 J184:J213 W184:W213" xr:uid="{69398FC8-8284-4558-84DA-22434F909627}">
      <formula1>$BF$3:$BF$7</formula1>
    </dataValidation>
    <dataValidation type="list" allowBlank="1" showInputMessage="1" showErrorMessage="1" sqref="K228:M256 X227:Z256 K13:M22 X13:Z22 K55:M84 X98:Z127 K184:M213 X184:Z213 K141:M170 X141:Z170 K98:M127 X55:Z84" xr:uid="{9F395469-7107-4048-9F6B-E27E058DA387}">
      <formula1>INDIRECT(J13)</formula1>
    </dataValidation>
    <dataValidation type="list" allowBlank="1" showInputMessage="1" showErrorMessage="1" sqref="K265:L265" xr:uid="{E84D1EB6-0507-4D9B-B260-5F5D6396719C}">
      <formula1>INDIRECT($K$264)</formula1>
    </dataValidation>
    <dataValidation type="list" allowBlank="1" showInputMessage="1" showErrorMessage="1" sqref="K227:M227" xr:uid="{B80782FB-11AE-4920-BE5B-F50995D9E18D}">
      <formula1>INDIRECT($J$227)</formula1>
    </dataValidation>
  </dataValidations>
  <printOptions horizontalCentered="1"/>
  <pageMargins left="0.39370078740157483" right="0.39370078740157483" top="0.39370078740157483" bottom="0.39370078740157483" header="0" footer="0"/>
  <pageSetup paperSize="9" scale="80" fitToHeight="0" orientation="portrait" r:id="rId1"/>
  <headerFooter>
    <oddFooter>&amp;R&amp;D &amp;T</oddFooter>
  </headerFooter>
  <rowBreaks count="5" manualBreakCount="5">
    <brk id="42" max="16383" man="1"/>
    <brk id="85" max="16383" man="1"/>
    <brk id="128" max="51" man="1"/>
    <brk id="171" max="51" man="1"/>
    <brk id="214" max="51" man="1"/>
  </rowBreaks>
  <colBreaks count="1" manualBreakCount="1">
    <brk id="26" max="170" man="1"/>
  </colBreaks>
  <ignoredErrors>
    <ignoredError sqref="BJ27 BK27:BR27 BT14 BT24 BU27 BU28:BU32 BU33:BU36 BU12:BU26 BI74:BI85"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rgb="FF92D050"/>
  </sheetPr>
  <dimension ref="A1:FR94"/>
  <sheetViews>
    <sheetView view="pageBreakPreview" zoomScale="40" zoomScaleNormal="60" zoomScaleSheetLayoutView="40" workbookViewId="0">
      <selection activeCell="BL45" sqref="BL45:BM45"/>
    </sheetView>
  </sheetViews>
  <sheetFormatPr defaultRowHeight="13.5"/>
  <cols>
    <col min="1" max="1" width="5.75" customWidth="1"/>
    <col min="2" max="2" width="5.375" customWidth="1"/>
    <col min="3" max="3" width="5.625" customWidth="1"/>
    <col min="4" max="4" width="3.625" customWidth="1"/>
    <col min="5" max="5" width="7.625" customWidth="1"/>
    <col min="6" max="6" width="6.625" customWidth="1"/>
    <col min="7" max="7" width="8.625" customWidth="1"/>
    <col min="8" max="8" width="5" customWidth="1"/>
    <col min="9" max="9" width="6.625" customWidth="1"/>
    <col min="10" max="11" width="5.5" customWidth="1"/>
    <col min="12" max="12" width="10.5" customWidth="1"/>
    <col min="13" max="15" width="10.625" customWidth="1"/>
    <col min="16" max="18" width="6.625" customWidth="1"/>
    <col min="19" max="20" width="7.625" customWidth="1"/>
    <col min="21" max="21" width="5.75" customWidth="1"/>
    <col min="22" max="22" width="4.875" customWidth="1"/>
    <col min="23" max="24" width="5.75" customWidth="1"/>
    <col min="25" max="26" width="5.625" customWidth="1"/>
    <col min="27" max="29" width="10.5" customWidth="1"/>
    <col min="30" max="31" width="5.625" customWidth="1"/>
    <col min="32" max="52" width="5.125" customWidth="1"/>
    <col min="53" max="53" width="15.625" customWidth="1"/>
    <col min="54" max="54" width="18.5" style="84" hidden="1" customWidth="1"/>
    <col min="55" max="57" width="5.625" customWidth="1"/>
    <col min="58" max="62" width="6.625" customWidth="1"/>
    <col min="63" max="63" width="8.5" customWidth="1"/>
    <col min="64" max="65" width="6.625" customWidth="1"/>
    <col min="66" max="69" width="12.625" customWidth="1"/>
    <col min="70" max="71" width="6.625" customWidth="1"/>
    <col min="72" max="72" width="8.625" customWidth="1"/>
    <col min="73" max="74" width="7.625" customWidth="1"/>
    <col min="75" max="75" width="5.75" customWidth="1"/>
    <col min="76" max="78" width="5.625" customWidth="1"/>
    <col min="79" max="80" width="5.75" customWidth="1"/>
    <col min="81" max="83" width="5.625" customWidth="1"/>
    <col min="84" max="84" width="5.875" customWidth="1"/>
    <col min="85" max="85" width="5.625" customWidth="1"/>
    <col min="86" max="100" width="5.75" customWidth="1"/>
    <col min="101" max="102" width="15.625" customWidth="1"/>
    <col min="103" max="103" width="11.75" customWidth="1"/>
    <col min="104" max="106" width="11.75" style="520" hidden="1" customWidth="1"/>
    <col min="107" max="107" width="29.625" style="520" hidden="1" customWidth="1"/>
    <col min="108" max="114" width="11.75" style="520" hidden="1" customWidth="1"/>
    <col min="115" max="117" width="9" style="520" hidden="1" customWidth="1"/>
    <col min="118" max="154" width="9" style="520" customWidth="1"/>
    <col min="155" max="174" width="9" style="520"/>
  </cols>
  <sheetData>
    <row r="1" spans="1:114" ht="23.25" customHeight="1">
      <c r="A1" s="2277" t="s">
        <v>2916</v>
      </c>
      <c r="B1" s="2277"/>
      <c r="C1" s="2277"/>
      <c r="D1" s="2277"/>
      <c r="E1" s="2277"/>
      <c r="F1" s="2277"/>
      <c r="G1" s="2277"/>
      <c r="H1" s="2277"/>
      <c r="I1" s="2277"/>
      <c r="J1" s="2277"/>
      <c r="K1" s="2277"/>
      <c r="L1" s="2277"/>
      <c r="M1" s="2277"/>
      <c r="N1" s="2278"/>
      <c r="O1" s="2278"/>
      <c r="P1" s="2288"/>
      <c r="Q1" s="2288"/>
      <c r="R1" s="2288"/>
      <c r="S1" s="2288"/>
      <c r="T1" s="2288"/>
      <c r="U1" s="2288"/>
      <c r="V1" s="9"/>
      <c r="W1" s="785"/>
      <c r="X1" s="785"/>
      <c r="Y1" s="1915" t="s">
        <v>2963</v>
      </c>
      <c r="Z1" s="1915"/>
      <c r="AA1" s="1915"/>
      <c r="AB1" s="1915"/>
      <c r="AC1" s="1915"/>
      <c r="AD1" s="1917" t="s">
        <v>2964</v>
      </c>
      <c r="AE1" s="1917"/>
      <c r="AF1" s="1917"/>
      <c r="AG1" s="1917"/>
      <c r="AH1" s="1917"/>
      <c r="AI1" s="1917"/>
      <c r="AJ1" s="1917"/>
      <c r="AK1" s="1917"/>
      <c r="AL1" s="785"/>
      <c r="AM1" s="1919" t="s">
        <v>2965</v>
      </c>
      <c r="AN1" s="1919"/>
      <c r="AO1" s="1919"/>
      <c r="AP1" s="1919"/>
      <c r="AQ1" s="1919"/>
      <c r="AR1" s="1917" t="s">
        <v>2966</v>
      </c>
      <c r="AS1" s="1917"/>
      <c r="AT1" s="1917"/>
      <c r="AU1" s="1917"/>
      <c r="AV1" s="1917"/>
      <c r="AW1" s="1917"/>
      <c r="AX1" s="1917"/>
      <c r="AY1" s="1917"/>
      <c r="AZ1" s="785"/>
      <c r="BA1" s="785"/>
      <c r="BB1" s="743"/>
      <c r="BC1" s="2279" t="s">
        <v>2747</v>
      </c>
      <c r="BD1" s="2279"/>
      <c r="BE1" s="2279"/>
      <c r="BF1" s="2279"/>
      <c r="BG1" s="2279"/>
      <c r="BH1" s="2279"/>
      <c r="BI1" s="2279"/>
      <c r="BJ1" s="2279"/>
      <c r="BK1" s="2279"/>
      <c r="BL1" s="2279"/>
      <c r="BM1" s="2279"/>
      <c r="BN1" s="2279"/>
      <c r="BO1" s="2279"/>
      <c r="BP1" s="2279"/>
      <c r="BQ1" s="2279"/>
      <c r="BR1" s="2279"/>
      <c r="BS1" s="2279"/>
      <c r="BT1" s="2279"/>
      <c r="BU1" s="2279"/>
      <c r="BV1" s="2279"/>
      <c r="BW1" s="2279"/>
      <c r="BX1" s="336"/>
      <c r="BY1" s="1917" t="s">
        <v>115</v>
      </c>
      <c r="BZ1" s="1917"/>
      <c r="CA1" s="1917"/>
      <c r="CB1" s="1917"/>
      <c r="CC1" s="1917"/>
      <c r="CD1" s="1917"/>
      <c r="CE1" s="1917"/>
      <c r="CF1" s="1917"/>
      <c r="CG1" s="1917"/>
      <c r="CH1" s="1917"/>
      <c r="CI1" s="1917"/>
      <c r="CJ1" s="1917"/>
      <c r="CK1" s="1917"/>
      <c r="CL1" s="1917"/>
      <c r="CM1" s="1917"/>
      <c r="CN1" s="1917"/>
      <c r="CO1" s="1917"/>
      <c r="CP1" s="1917"/>
      <c r="CQ1" s="1917"/>
      <c r="CR1" s="1917"/>
      <c r="CS1" s="1917"/>
      <c r="CT1" s="1917"/>
      <c r="CU1" s="1917"/>
      <c r="CV1" s="1917"/>
      <c r="CW1" s="1917"/>
      <c r="CX1" s="337"/>
      <c r="CY1" s="336"/>
      <c r="CZ1" s="1898" t="s">
        <v>116</v>
      </c>
      <c r="DA1" s="1898"/>
      <c r="DB1" s="1898"/>
      <c r="DC1" s="1898"/>
      <c r="DD1" s="1898"/>
      <c r="DE1" s="7"/>
      <c r="DF1" s="6"/>
      <c r="DG1" s="7"/>
      <c r="DH1" s="6"/>
      <c r="DI1" s="33"/>
      <c r="DJ1" s="33"/>
    </row>
    <row r="2" spans="1:114" ht="13.5" customHeight="1" thickBot="1">
      <c r="A2" s="2277"/>
      <c r="B2" s="2277"/>
      <c r="C2" s="2277"/>
      <c r="D2" s="2277"/>
      <c r="E2" s="2277"/>
      <c r="F2" s="2277"/>
      <c r="G2" s="2277"/>
      <c r="H2" s="2277"/>
      <c r="I2" s="2277"/>
      <c r="J2" s="2277"/>
      <c r="K2" s="2277"/>
      <c r="L2" s="2277"/>
      <c r="M2" s="2277"/>
      <c r="N2" s="2278"/>
      <c r="O2" s="2278"/>
      <c r="P2" s="2288"/>
      <c r="Q2" s="2288"/>
      <c r="R2" s="2288"/>
      <c r="S2" s="2288"/>
      <c r="T2" s="2288"/>
      <c r="U2" s="2288"/>
      <c r="V2" s="10"/>
      <c r="W2" s="786"/>
      <c r="X2" s="786"/>
      <c r="Y2" s="1916"/>
      <c r="Z2" s="1916"/>
      <c r="AA2" s="1916"/>
      <c r="AB2" s="1916"/>
      <c r="AC2" s="1916"/>
      <c r="AD2" s="1918"/>
      <c r="AE2" s="1918"/>
      <c r="AF2" s="1918"/>
      <c r="AG2" s="1918"/>
      <c r="AH2" s="1918"/>
      <c r="AI2" s="1918"/>
      <c r="AJ2" s="1918"/>
      <c r="AK2" s="1918"/>
      <c r="AL2" s="786"/>
      <c r="AM2" s="1920"/>
      <c r="AN2" s="1920"/>
      <c r="AO2" s="1920"/>
      <c r="AP2" s="1920"/>
      <c r="AQ2" s="1920"/>
      <c r="AR2" s="1918"/>
      <c r="AS2" s="1918"/>
      <c r="AT2" s="1918"/>
      <c r="AU2" s="1918"/>
      <c r="AV2" s="1918"/>
      <c r="AW2" s="1918"/>
      <c r="AX2" s="1918"/>
      <c r="AY2" s="1918"/>
      <c r="AZ2" s="786"/>
      <c r="BA2" s="786"/>
      <c r="BB2" s="743"/>
      <c r="BC2" s="2279"/>
      <c r="BD2" s="2279"/>
      <c r="BE2" s="2279"/>
      <c r="BF2" s="2279"/>
      <c r="BG2" s="2279"/>
      <c r="BH2" s="2279"/>
      <c r="BI2" s="2279"/>
      <c r="BJ2" s="2279"/>
      <c r="BK2" s="2279"/>
      <c r="BL2" s="2279"/>
      <c r="BM2" s="2279"/>
      <c r="BN2" s="2279"/>
      <c r="BO2" s="2279"/>
      <c r="BP2" s="2279"/>
      <c r="BQ2" s="2279"/>
      <c r="BR2" s="2279"/>
      <c r="BS2" s="2279"/>
      <c r="BT2" s="2279"/>
      <c r="BU2" s="2279"/>
      <c r="BV2" s="2279"/>
      <c r="BW2" s="2279"/>
      <c r="BX2" s="338"/>
      <c r="BY2" s="1918"/>
      <c r="BZ2" s="1918"/>
      <c r="CA2" s="1918"/>
      <c r="CB2" s="1918"/>
      <c r="CC2" s="1918"/>
      <c r="CD2" s="1918"/>
      <c r="CE2" s="1918"/>
      <c r="CF2" s="1918"/>
      <c r="CG2" s="1918"/>
      <c r="CH2" s="1918"/>
      <c r="CI2" s="1918"/>
      <c r="CJ2" s="1918"/>
      <c r="CK2" s="1918"/>
      <c r="CL2" s="1918"/>
      <c r="CM2" s="1918"/>
      <c r="CN2" s="1918"/>
      <c r="CO2" s="1918"/>
      <c r="CP2" s="1918"/>
      <c r="CQ2" s="1918"/>
      <c r="CR2" s="1918"/>
      <c r="CS2" s="1918"/>
      <c r="CT2" s="1918"/>
      <c r="CU2" s="1918"/>
      <c r="CV2" s="1918"/>
      <c r="CW2" s="1918"/>
      <c r="CX2" s="337"/>
      <c r="CY2" s="338"/>
      <c r="CZ2" s="2267" t="s">
        <v>117</v>
      </c>
      <c r="DA2" s="2267"/>
      <c r="DB2" s="6"/>
      <c r="DC2" s="801" t="s">
        <v>118</v>
      </c>
      <c r="DD2" s="6"/>
      <c r="DE2" s="6"/>
      <c r="DF2" s="6"/>
      <c r="DG2" s="801" t="s">
        <v>119</v>
      </c>
      <c r="DH2" s="6"/>
      <c r="DI2" s="33"/>
      <c r="DJ2" s="33"/>
    </row>
    <row r="3" spans="1:114" ht="30" customHeight="1" thickTop="1" thickBot="1">
      <c r="A3" s="2268" t="s">
        <v>1210</v>
      </c>
      <c r="B3" s="2268"/>
      <c r="C3" s="2268"/>
      <c r="D3" s="1891"/>
      <c r="E3" s="2269" t="str">
        <f>CONCATENATE('01 使用承認申請書'!D4)</f>
        <v/>
      </c>
      <c r="F3" s="2270"/>
      <c r="G3" s="2270"/>
      <c r="H3" s="2270"/>
      <c r="I3" s="2270"/>
      <c r="J3" s="2270"/>
      <c r="K3" s="2270"/>
      <c r="L3" s="2270"/>
      <c r="M3" s="2271"/>
      <c r="N3" s="1923"/>
      <c r="O3" s="1923"/>
      <c r="P3" s="1923"/>
      <c r="Q3" s="1923"/>
      <c r="R3" s="1923"/>
      <c r="S3" s="1923"/>
      <c r="T3" s="1923"/>
      <c r="U3" s="1923"/>
      <c r="V3" s="10"/>
      <c r="W3" s="2340" t="s">
        <v>2962</v>
      </c>
      <c r="X3" s="2289" t="s">
        <v>121</v>
      </c>
      <c r="Y3" s="2290"/>
      <c r="Z3" s="2290"/>
      <c r="AA3" s="2290"/>
      <c r="AB3" s="2290"/>
      <c r="AC3" s="2291"/>
      <c r="AD3" s="296" t="s">
        <v>122</v>
      </c>
      <c r="AE3" s="2292" t="s">
        <v>123</v>
      </c>
      <c r="AF3" s="2272" t="s">
        <v>1222</v>
      </c>
      <c r="AG3" s="2273"/>
      <c r="AH3" s="2274"/>
      <c r="AI3" s="2272" t="s">
        <v>1223</v>
      </c>
      <c r="AJ3" s="2273"/>
      <c r="AK3" s="2274"/>
      <c r="AL3" s="2272" t="s">
        <v>1224</v>
      </c>
      <c r="AM3" s="2275"/>
      <c r="AN3" s="2276"/>
      <c r="AO3" s="2272" t="s">
        <v>1225</v>
      </c>
      <c r="AP3" s="2275"/>
      <c r="AQ3" s="2276"/>
      <c r="AR3" s="2272" t="s">
        <v>1233</v>
      </c>
      <c r="AS3" s="2275"/>
      <c r="AT3" s="2276"/>
      <c r="AU3" s="1972"/>
      <c r="AV3" s="1972"/>
      <c r="AW3" s="1972"/>
      <c r="AX3" s="1972"/>
      <c r="AY3" s="1972"/>
      <c r="AZ3" s="1972"/>
      <c r="BA3" s="584" t="s">
        <v>124</v>
      </c>
      <c r="BB3" s="584"/>
      <c r="BC3" s="2268" t="s">
        <v>120</v>
      </c>
      <c r="BD3" s="2268"/>
      <c r="BE3" s="2268"/>
      <c r="BF3" s="1891"/>
      <c r="BG3" s="2280" t="s">
        <v>170</v>
      </c>
      <c r="BH3" s="2281"/>
      <c r="BI3" s="2281"/>
      <c r="BJ3" s="2281"/>
      <c r="BK3" s="2281"/>
      <c r="BL3" s="2281"/>
      <c r="BM3" s="2281"/>
      <c r="BN3" s="2281"/>
      <c r="BO3" s="2282"/>
      <c r="BP3" s="2283"/>
      <c r="BQ3" s="2284"/>
      <c r="BR3" s="2285"/>
      <c r="BS3" s="2286"/>
      <c r="BT3" s="2286"/>
      <c r="BU3" s="2286"/>
      <c r="BV3" s="2286"/>
      <c r="BW3" s="2287"/>
      <c r="BX3" s="338"/>
      <c r="BY3" s="2340" t="s">
        <v>2962</v>
      </c>
      <c r="BZ3" s="2289" t="s">
        <v>121</v>
      </c>
      <c r="CA3" s="2290"/>
      <c r="CB3" s="2290"/>
      <c r="CC3" s="2290"/>
      <c r="CD3" s="2290"/>
      <c r="CE3" s="2291"/>
      <c r="CF3" s="296" t="s">
        <v>122</v>
      </c>
      <c r="CG3" s="2292" t="s">
        <v>123</v>
      </c>
      <c r="CH3" s="2272" t="s">
        <v>1222</v>
      </c>
      <c r="CI3" s="2273"/>
      <c r="CJ3" s="2274"/>
      <c r="CK3" s="2272" t="s">
        <v>1223</v>
      </c>
      <c r="CL3" s="2273"/>
      <c r="CM3" s="2274"/>
      <c r="CN3" s="2272" t="s">
        <v>1224</v>
      </c>
      <c r="CO3" s="2275"/>
      <c r="CP3" s="2276"/>
      <c r="CQ3" s="2272" t="s">
        <v>1225</v>
      </c>
      <c r="CR3" s="2275"/>
      <c r="CS3" s="2276"/>
      <c r="CT3" s="2272" t="s">
        <v>1233</v>
      </c>
      <c r="CU3" s="2275"/>
      <c r="CV3" s="2276"/>
      <c r="CW3" s="297" t="s">
        <v>1234</v>
      </c>
      <c r="CX3" s="298" t="s">
        <v>1235</v>
      </c>
      <c r="CY3" s="468" t="s">
        <v>124</v>
      </c>
      <c r="CZ3" s="802" t="s">
        <v>125</v>
      </c>
      <c r="DA3" s="802"/>
      <c r="DB3" s="6"/>
      <c r="DC3" s="7"/>
      <c r="DD3" s="6"/>
      <c r="DE3" s="6"/>
      <c r="DF3" s="6"/>
      <c r="DG3" s="7" t="s">
        <v>339</v>
      </c>
      <c r="DH3" s="6"/>
      <c r="DI3" s="33"/>
      <c r="DJ3" s="33"/>
    </row>
    <row r="4" spans="1:114" ht="31.5" customHeight="1" thickTop="1" thickBot="1">
      <c r="A4" s="1891" t="s">
        <v>126</v>
      </c>
      <c r="B4" s="1892"/>
      <c r="C4" s="1892"/>
      <c r="D4" s="1892"/>
      <c r="E4" s="1020" t="s">
        <v>3138</v>
      </c>
      <c r="F4" s="232">
        <f>'01 使用承認申請書'!F12</f>
        <v>0</v>
      </c>
      <c r="G4" s="228" t="s">
        <v>14</v>
      </c>
      <c r="H4" s="229" t="str">
        <f>CONCATENATE('01 使用承認申請書'!C14)</f>
        <v/>
      </c>
      <c r="I4" s="228" t="s">
        <v>13</v>
      </c>
      <c r="J4" s="229" t="str">
        <f>CONCATENATE('01 使用承認申請書'!F14)</f>
        <v/>
      </c>
      <c r="K4" s="228" t="s">
        <v>12</v>
      </c>
      <c r="L4" s="228" t="s">
        <v>127</v>
      </c>
      <c r="M4" s="229" t="str">
        <f>CONCATENATE('01 使用承認申請書'!C16)</f>
        <v/>
      </c>
      <c r="N4" s="228" t="s">
        <v>13</v>
      </c>
      <c r="O4" s="229" t="str">
        <f>CONCATENATE('01 使用承認申請書'!F16)</f>
        <v/>
      </c>
      <c r="P4" s="228" t="s">
        <v>12</v>
      </c>
      <c r="Q4" s="230"/>
      <c r="R4" s="231" t="str">
        <f>CONCATENATE('01 使用承認申請書'!L13)</f>
        <v/>
      </c>
      <c r="S4" s="228" t="s">
        <v>38</v>
      </c>
      <c r="T4" s="232" t="str">
        <f>CONCATENATE('01 使用承認申請書'!Q13)</f>
        <v/>
      </c>
      <c r="U4" s="233" t="s">
        <v>12</v>
      </c>
      <c r="V4" s="10"/>
      <c r="W4" s="2341"/>
      <c r="X4" s="1964" t="s">
        <v>128</v>
      </c>
      <c r="Y4" s="299" t="s">
        <v>129</v>
      </c>
      <c r="Z4" s="300" t="s">
        <v>130</v>
      </c>
      <c r="AA4" s="2164" t="s">
        <v>131</v>
      </c>
      <c r="AB4" s="2164"/>
      <c r="AC4" s="2164"/>
      <c r="AD4" s="301" t="s">
        <v>132</v>
      </c>
      <c r="AE4" s="2293"/>
      <c r="AF4" s="1924" t="s">
        <v>133</v>
      </c>
      <c r="AG4" s="1925"/>
      <c r="AH4" s="1926"/>
      <c r="AI4" s="1924" t="s">
        <v>133</v>
      </c>
      <c r="AJ4" s="1925"/>
      <c r="AK4" s="1926"/>
      <c r="AL4" s="1924" t="s">
        <v>133</v>
      </c>
      <c r="AM4" s="1925"/>
      <c r="AN4" s="1926"/>
      <c r="AO4" s="1924" t="s">
        <v>134</v>
      </c>
      <c r="AP4" s="1925"/>
      <c r="AQ4" s="1926"/>
      <c r="AR4" s="1924" t="s">
        <v>133</v>
      </c>
      <c r="AS4" s="1925"/>
      <c r="AT4" s="1926"/>
      <c r="AU4" s="2164"/>
      <c r="AV4" s="2164"/>
      <c r="AW4" s="2164"/>
      <c r="AX4" s="1973"/>
      <c r="AY4" s="1973"/>
      <c r="AZ4" s="1973"/>
      <c r="BA4" s="585" t="s">
        <v>135</v>
      </c>
      <c r="BB4" s="793"/>
      <c r="BC4" s="1891" t="s">
        <v>126</v>
      </c>
      <c r="BD4" s="1892"/>
      <c r="BE4" s="1892"/>
      <c r="BF4" s="1892"/>
      <c r="BG4" s="2346" t="s">
        <v>2977</v>
      </c>
      <c r="BH4" s="2347"/>
      <c r="BI4" s="228" t="s">
        <v>14</v>
      </c>
      <c r="BJ4" s="229">
        <v>10</v>
      </c>
      <c r="BK4" s="228" t="s">
        <v>13</v>
      </c>
      <c r="BL4" s="229">
        <v>12</v>
      </c>
      <c r="BM4" s="228" t="s">
        <v>12</v>
      </c>
      <c r="BN4" s="228" t="s">
        <v>27</v>
      </c>
      <c r="BO4" s="229">
        <v>10</v>
      </c>
      <c r="BP4" s="228" t="s">
        <v>13</v>
      </c>
      <c r="BQ4" s="229">
        <v>13</v>
      </c>
      <c r="BR4" s="228" t="s">
        <v>12</v>
      </c>
      <c r="BS4" s="230"/>
      <c r="BT4" s="231">
        <v>1</v>
      </c>
      <c r="BU4" s="228" t="s">
        <v>38</v>
      </c>
      <c r="BV4" s="232">
        <v>2</v>
      </c>
      <c r="BW4" s="233" t="s">
        <v>12</v>
      </c>
      <c r="BX4" s="338"/>
      <c r="BY4" s="2341"/>
      <c r="BZ4" s="1964" t="s">
        <v>128</v>
      </c>
      <c r="CA4" s="299" t="s">
        <v>129</v>
      </c>
      <c r="CB4" s="300" t="s">
        <v>130</v>
      </c>
      <c r="CC4" s="2164" t="s">
        <v>131</v>
      </c>
      <c r="CD4" s="2164"/>
      <c r="CE4" s="2164"/>
      <c r="CF4" s="301" t="s">
        <v>132</v>
      </c>
      <c r="CG4" s="2293"/>
      <c r="CH4" s="2165" t="s">
        <v>133</v>
      </c>
      <c r="CI4" s="2166"/>
      <c r="CJ4" s="2167"/>
      <c r="CK4" s="2165" t="s">
        <v>133</v>
      </c>
      <c r="CL4" s="2166"/>
      <c r="CM4" s="2167"/>
      <c r="CN4" s="2165" t="s">
        <v>133</v>
      </c>
      <c r="CO4" s="2166"/>
      <c r="CP4" s="2167"/>
      <c r="CQ4" s="2165" t="s">
        <v>134</v>
      </c>
      <c r="CR4" s="2166"/>
      <c r="CS4" s="2167"/>
      <c r="CT4" s="2165" t="s">
        <v>133</v>
      </c>
      <c r="CU4" s="2166"/>
      <c r="CV4" s="2167"/>
      <c r="CW4" s="302" t="s">
        <v>1236</v>
      </c>
      <c r="CX4" s="303" t="s">
        <v>1236</v>
      </c>
      <c r="CY4" s="469" t="s">
        <v>135</v>
      </c>
      <c r="CZ4" s="802" t="s">
        <v>136</v>
      </c>
      <c r="DA4" s="802">
        <v>50</v>
      </c>
      <c r="DB4" s="8"/>
      <c r="DC4" s="7" t="s">
        <v>137</v>
      </c>
      <c r="DD4" s="6"/>
      <c r="DE4" s="6" t="s">
        <v>2844</v>
      </c>
      <c r="DF4" s="6"/>
      <c r="DG4" s="7" t="s">
        <v>138</v>
      </c>
      <c r="DH4" s="6">
        <v>130</v>
      </c>
      <c r="DI4" s="803" t="s">
        <v>3006</v>
      </c>
      <c r="DJ4" s="33"/>
    </row>
    <row r="5" spans="1:114" ht="27" customHeight="1" thickTop="1">
      <c r="A5" s="2330" t="s">
        <v>3012</v>
      </c>
      <c r="B5" s="2330"/>
      <c r="C5" s="2330"/>
      <c r="D5" s="2330"/>
      <c r="E5" s="2330"/>
      <c r="F5" s="2330"/>
      <c r="G5" s="2330"/>
      <c r="H5" s="2330"/>
      <c r="I5" s="2330"/>
      <c r="J5" s="2330"/>
      <c r="K5" s="2330"/>
      <c r="L5" s="2330"/>
      <c r="M5" s="2330"/>
      <c r="N5" s="2330"/>
      <c r="O5" s="2330"/>
      <c r="P5" s="2330"/>
      <c r="Q5" s="2330"/>
      <c r="R5" s="2330"/>
      <c r="S5" s="2330"/>
      <c r="T5" s="2330"/>
      <c r="U5" s="2330"/>
      <c r="V5" s="783"/>
      <c r="W5" s="2341"/>
      <c r="X5" s="1965"/>
      <c r="Y5" s="304">
        <f>'03 食事申込書'!BT104</f>
        <v>0</v>
      </c>
      <c r="Z5" s="305">
        <f>'03 食事申込書'!BV104</f>
        <v>0</v>
      </c>
      <c r="AA5" s="1967">
        <f>'03 食事申込書'!BW104</f>
        <v>0</v>
      </c>
      <c r="AB5" s="1968"/>
      <c r="AC5" s="1968"/>
      <c r="AD5" s="517">
        <f>IFERROR(VLOOKUP(AA5,$DC$3:$DD$62,2,FALSE), 0)</f>
        <v>0</v>
      </c>
      <c r="AE5" s="534">
        <f>'03 食事申込書'!BY104</f>
        <v>0</v>
      </c>
      <c r="AF5" s="1927"/>
      <c r="AG5" s="1905"/>
      <c r="AH5" s="1906"/>
      <c r="AI5" s="1905"/>
      <c r="AJ5" s="1905"/>
      <c r="AK5" s="1906"/>
      <c r="AL5" s="1904"/>
      <c r="AM5" s="1905"/>
      <c r="AN5" s="1906"/>
      <c r="AO5" s="1904"/>
      <c r="AP5" s="1905"/>
      <c r="AQ5" s="1906"/>
      <c r="AR5" s="1904"/>
      <c r="AS5" s="1905"/>
      <c r="AT5" s="1906"/>
      <c r="AU5" s="1903"/>
      <c r="AV5" s="1903"/>
      <c r="AW5" s="1903"/>
      <c r="AX5" s="1903"/>
      <c r="AY5" s="1903"/>
      <c r="AZ5" s="1974"/>
      <c r="BA5" s="310">
        <f>IF('03 食事申込書'!BY104=AF5+AI5+AR5+AL5+AO5+AU5+AX5,AD5*AE5,"人数を再確認！")</f>
        <v>0</v>
      </c>
      <c r="BB5" s="794" t="str">
        <f>IFERROR(VLOOKUP(AA5,$DC$4:$DE$62,3,FALSE),"")</f>
        <v/>
      </c>
      <c r="BC5" s="2330" t="s">
        <v>3012</v>
      </c>
      <c r="BD5" s="2330"/>
      <c r="BE5" s="2330"/>
      <c r="BF5" s="2330"/>
      <c r="BG5" s="2330"/>
      <c r="BH5" s="2330"/>
      <c r="BI5" s="2330"/>
      <c r="BJ5" s="2330"/>
      <c r="BK5" s="2330"/>
      <c r="BL5" s="2330"/>
      <c r="BM5" s="2330"/>
      <c r="BN5" s="2330"/>
      <c r="BO5" s="2330"/>
      <c r="BP5" s="2330"/>
      <c r="BQ5" s="2330"/>
      <c r="BR5" s="2330"/>
      <c r="BS5" s="2330"/>
      <c r="BT5" s="2330"/>
      <c r="BU5" s="2330"/>
      <c r="BV5" s="2330"/>
      <c r="BW5" s="2330"/>
      <c r="BX5" s="339"/>
      <c r="BY5" s="2341"/>
      <c r="BZ5" s="1965"/>
      <c r="CA5" s="304">
        <v>7</v>
      </c>
      <c r="CB5" s="305" t="s">
        <v>2675</v>
      </c>
      <c r="CC5" s="1967" t="s">
        <v>3075</v>
      </c>
      <c r="CD5" s="1968"/>
      <c r="CE5" s="1968"/>
      <c r="CF5" s="306">
        <v>670</v>
      </c>
      <c r="CG5" s="307">
        <v>111</v>
      </c>
      <c r="CH5" s="1927">
        <v>100</v>
      </c>
      <c r="CI5" s="1905"/>
      <c r="CJ5" s="1906"/>
      <c r="CK5" s="1905">
        <v>8</v>
      </c>
      <c r="CL5" s="1905"/>
      <c r="CM5" s="1906"/>
      <c r="CN5" s="1904">
        <v>1</v>
      </c>
      <c r="CO5" s="1905"/>
      <c r="CP5" s="1906"/>
      <c r="CQ5" s="1904">
        <v>1</v>
      </c>
      <c r="CR5" s="1905"/>
      <c r="CS5" s="1906"/>
      <c r="CT5" s="1904"/>
      <c r="CU5" s="1905"/>
      <c r="CV5" s="1906"/>
      <c r="CW5" s="308"/>
      <c r="CX5" s="309"/>
      <c r="CY5" s="470">
        <v>74370</v>
      </c>
      <c r="CZ5" s="802" t="s">
        <v>139</v>
      </c>
      <c r="DA5" s="802">
        <v>80</v>
      </c>
      <c r="DB5" s="804"/>
      <c r="DC5" s="11" t="s">
        <v>140</v>
      </c>
      <c r="DD5" s="511">
        <v>720</v>
      </c>
      <c r="DE5" s="800" t="s">
        <v>2988</v>
      </c>
      <c r="DF5" s="801"/>
      <c r="DG5" s="7" t="s">
        <v>2748</v>
      </c>
      <c r="DH5" s="6">
        <v>380</v>
      </c>
      <c r="DI5" s="803" t="s">
        <v>3007</v>
      </c>
      <c r="DJ5" s="33"/>
    </row>
    <row r="6" spans="1:114" ht="27" customHeight="1">
      <c r="A6" s="2330"/>
      <c r="B6" s="2330"/>
      <c r="C6" s="2330"/>
      <c r="D6" s="2330"/>
      <c r="E6" s="2330"/>
      <c r="F6" s="2330"/>
      <c r="G6" s="2330"/>
      <c r="H6" s="2330"/>
      <c r="I6" s="2330"/>
      <c r="J6" s="2330"/>
      <c r="K6" s="2330"/>
      <c r="L6" s="2330"/>
      <c r="M6" s="2330"/>
      <c r="N6" s="2330"/>
      <c r="O6" s="2330"/>
      <c r="P6" s="2330"/>
      <c r="Q6" s="2330"/>
      <c r="R6" s="2330"/>
      <c r="S6" s="2330"/>
      <c r="T6" s="2330"/>
      <c r="U6" s="2330"/>
      <c r="V6" s="783"/>
      <c r="W6" s="2341"/>
      <c r="X6" s="1965"/>
      <c r="Y6" s="311">
        <f>'03 食事申込書'!BT105</f>
        <v>0</v>
      </c>
      <c r="Z6" s="312">
        <f>'03 食事申込書'!BV105</f>
        <v>0</v>
      </c>
      <c r="AA6" s="2344">
        <f>'03 食事申込書'!BW105</f>
        <v>0</v>
      </c>
      <c r="AB6" s="2345"/>
      <c r="AC6" s="2345"/>
      <c r="AD6" s="517">
        <f t="shared" ref="AD6:AD20" si="0">IFERROR(VLOOKUP(AA6,$DC$3:$DD$62,2,FALSE), 0)</f>
        <v>0</v>
      </c>
      <c r="AE6" s="307">
        <f>'03 食事申込書'!BY105</f>
        <v>0</v>
      </c>
      <c r="AF6" s="1895"/>
      <c r="AG6" s="1896"/>
      <c r="AH6" s="1897"/>
      <c r="AI6" s="1896"/>
      <c r="AJ6" s="1896"/>
      <c r="AK6" s="1897"/>
      <c r="AL6" s="1907"/>
      <c r="AM6" s="1896"/>
      <c r="AN6" s="1897"/>
      <c r="AO6" s="1907"/>
      <c r="AP6" s="1896"/>
      <c r="AQ6" s="1897"/>
      <c r="AR6" s="1907"/>
      <c r="AS6" s="1896"/>
      <c r="AT6" s="1897"/>
      <c r="AU6" s="1890"/>
      <c r="AV6" s="1890"/>
      <c r="AW6" s="1890"/>
      <c r="AX6" s="1908"/>
      <c r="AY6" s="1908"/>
      <c r="AZ6" s="1909"/>
      <c r="BA6" s="310">
        <f>IF('03 食事申込書'!BY105=AF6+AI6+AX6+AL6+AO6+AR6+AU6,AD6*AE6,"人数を再確認！")</f>
        <v>0</v>
      </c>
      <c r="BB6" s="794" t="str">
        <f>IFERROR(VLOOKUP(AA6,$DC$4:$DE$62,3,FALSE),"")</f>
        <v/>
      </c>
      <c r="BC6" s="2330"/>
      <c r="BD6" s="2330"/>
      <c r="BE6" s="2330"/>
      <c r="BF6" s="2330"/>
      <c r="BG6" s="2330"/>
      <c r="BH6" s="2330"/>
      <c r="BI6" s="2330"/>
      <c r="BJ6" s="2330"/>
      <c r="BK6" s="2330"/>
      <c r="BL6" s="2330"/>
      <c r="BM6" s="2330"/>
      <c r="BN6" s="2330"/>
      <c r="BO6" s="2330"/>
      <c r="BP6" s="2330"/>
      <c r="BQ6" s="2330"/>
      <c r="BR6" s="2330"/>
      <c r="BS6" s="2330"/>
      <c r="BT6" s="2330"/>
      <c r="BU6" s="2330"/>
      <c r="BV6" s="2330"/>
      <c r="BW6" s="2330"/>
      <c r="BX6" s="339"/>
      <c r="BY6" s="2341"/>
      <c r="BZ6" s="1965"/>
      <c r="CA6" s="311">
        <v>7</v>
      </c>
      <c r="CB6" s="312" t="s">
        <v>2678</v>
      </c>
      <c r="CC6" s="2171" t="s">
        <v>2676</v>
      </c>
      <c r="CD6" s="2172"/>
      <c r="CE6" s="2173"/>
      <c r="CF6" s="313">
        <v>990</v>
      </c>
      <c r="CG6" s="307">
        <v>100</v>
      </c>
      <c r="CH6" s="1895">
        <v>100</v>
      </c>
      <c r="CI6" s="1896"/>
      <c r="CJ6" s="1897"/>
      <c r="CK6" s="1896"/>
      <c r="CL6" s="1896"/>
      <c r="CM6" s="1897"/>
      <c r="CN6" s="1907"/>
      <c r="CO6" s="1896"/>
      <c r="CP6" s="1897"/>
      <c r="CQ6" s="1907"/>
      <c r="CR6" s="1896"/>
      <c r="CS6" s="1897"/>
      <c r="CT6" s="1907"/>
      <c r="CU6" s="1896"/>
      <c r="CV6" s="1897"/>
      <c r="CW6" s="314"/>
      <c r="CX6" s="315"/>
      <c r="CY6" s="470">
        <v>99000</v>
      </c>
      <c r="CZ6" s="6" t="s">
        <v>141</v>
      </c>
      <c r="DA6" s="6"/>
      <c r="DB6" s="6"/>
      <c r="DC6" s="11" t="s">
        <v>142</v>
      </c>
      <c r="DD6" s="511">
        <v>840</v>
      </c>
      <c r="DE6" s="800" t="s">
        <v>2989</v>
      </c>
      <c r="DF6" s="6"/>
      <c r="DG6" s="7" t="s">
        <v>148</v>
      </c>
      <c r="DH6" s="6">
        <v>320</v>
      </c>
      <c r="DI6" s="803" t="s">
        <v>3008</v>
      </c>
      <c r="DJ6" s="33"/>
    </row>
    <row r="7" spans="1:114" ht="27" customHeight="1">
      <c r="A7" s="2332" t="s">
        <v>2967</v>
      </c>
      <c r="B7" s="2333"/>
      <c r="C7" s="2333"/>
      <c r="D7" s="2333"/>
      <c r="E7" s="2333"/>
      <c r="F7" s="2333"/>
      <c r="G7" s="2333"/>
      <c r="H7" s="2333"/>
      <c r="I7" s="2333"/>
      <c r="J7" s="2333"/>
      <c r="K7" s="2333"/>
      <c r="L7" s="2333"/>
      <c r="M7" s="2333"/>
      <c r="N7" s="2333"/>
      <c r="O7" s="2333"/>
      <c r="P7" s="2333"/>
      <c r="Q7" s="2333"/>
      <c r="R7" s="2333"/>
      <c r="S7" s="2333"/>
      <c r="T7" s="2336"/>
      <c r="U7" s="824"/>
      <c r="V7" s="813"/>
      <c r="W7" s="2341"/>
      <c r="X7" s="1965"/>
      <c r="Y7" s="311">
        <f>'03 食事申込書'!BT106</f>
        <v>0</v>
      </c>
      <c r="Z7" s="312">
        <f>'03 食事申込書'!BV106</f>
        <v>0</v>
      </c>
      <c r="AA7" s="1893">
        <f>'03 食事申込書'!BW106</f>
        <v>0</v>
      </c>
      <c r="AB7" s="1894"/>
      <c r="AC7" s="1894"/>
      <c r="AD7" s="517">
        <f t="shared" si="0"/>
        <v>0</v>
      </c>
      <c r="AE7" s="307">
        <f>'03 食事申込書'!BY106</f>
        <v>0</v>
      </c>
      <c r="AF7" s="1895"/>
      <c r="AG7" s="1896"/>
      <c r="AH7" s="1897"/>
      <c r="AI7" s="1896"/>
      <c r="AJ7" s="1896"/>
      <c r="AK7" s="1897"/>
      <c r="AL7" s="1907"/>
      <c r="AM7" s="1896"/>
      <c r="AN7" s="1897"/>
      <c r="AO7" s="1907"/>
      <c r="AP7" s="1896"/>
      <c r="AQ7" s="1897"/>
      <c r="AR7" s="1907"/>
      <c r="AS7" s="1896"/>
      <c r="AT7" s="1897"/>
      <c r="AU7" s="1890"/>
      <c r="AV7" s="1890"/>
      <c r="AW7" s="1890"/>
      <c r="AX7" s="1908"/>
      <c r="AY7" s="1908"/>
      <c r="AZ7" s="1909"/>
      <c r="BA7" s="310">
        <f>IF('03 食事申込書'!BY106=AF7+AI7+AR7+AL7+AO7+AU7+AX7,AD7*AE7,"人数を再確認！")</f>
        <v>0</v>
      </c>
      <c r="BB7" s="794" t="str">
        <f t="shared" ref="BB7:BB20" si="1">IFERROR(VLOOKUP(AA7,$DC$4:$DE$62,3,FALSE),"")</f>
        <v/>
      </c>
      <c r="BC7" s="2331" t="s">
        <v>2967</v>
      </c>
      <c r="BD7" s="2331"/>
      <c r="BE7" s="2331"/>
      <c r="BF7" s="2331"/>
      <c r="BG7" s="2331"/>
      <c r="BH7" s="2331"/>
      <c r="BI7" s="2331"/>
      <c r="BJ7" s="2331"/>
      <c r="BK7" s="2331"/>
      <c r="BL7" s="2331"/>
      <c r="BM7" s="2331"/>
      <c r="BN7" s="2331"/>
      <c r="BO7" s="2331"/>
      <c r="BP7" s="2331"/>
      <c r="BQ7" s="2331"/>
      <c r="BR7" s="2331"/>
      <c r="BS7" s="2331"/>
      <c r="BT7" s="2331"/>
      <c r="BU7" s="2331"/>
      <c r="BV7" s="2331"/>
      <c r="BW7" s="2331"/>
      <c r="BX7" s="339"/>
      <c r="BY7" s="2341"/>
      <c r="BZ7" s="1965"/>
      <c r="CA7" s="311">
        <v>7</v>
      </c>
      <c r="CB7" s="312" t="s">
        <v>2678</v>
      </c>
      <c r="CC7" s="2171" t="s">
        <v>2677</v>
      </c>
      <c r="CD7" s="2172"/>
      <c r="CE7" s="2173"/>
      <c r="CF7" s="313">
        <v>1030</v>
      </c>
      <c r="CG7" s="307">
        <v>8</v>
      </c>
      <c r="CH7" s="1895"/>
      <c r="CI7" s="1896"/>
      <c r="CJ7" s="1897"/>
      <c r="CK7" s="1896">
        <v>8</v>
      </c>
      <c r="CL7" s="1896"/>
      <c r="CM7" s="1897"/>
      <c r="CN7" s="1907"/>
      <c r="CO7" s="1896"/>
      <c r="CP7" s="1897"/>
      <c r="CQ7" s="1907"/>
      <c r="CR7" s="1896"/>
      <c r="CS7" s="1897"/>
      <c r="CT7" s="1907"/>
      <c r="CU7" s="1896"/>
      <c r="CV7" s="1897"/>
      <c r="CW7" s="314"/>
      <c r="CX7" s="315"/>
      <c r="CY7" s="470">
        <v>8240</v>
      </c>
      <c r="CZ7" s="6" t="s">
        <v>136</v>
      </c>
      <c r="DA7" s="6">
        <v>290</v>
      </c>
      <c r="DB7" s="6"/>
      <c r="DC7" s="11" t="s">
        <v>143</v>
      </c>
      <c r="DD7" s="511">
        <v>900</v>
      </c>
      <c r="DE7" s="800" t="s">
        <v>2990</v>
      </c>
      <c r="DF7" s="6"/>
      <c r="DG7" s="7" t="s">
        <v>154</v>
      </c>
      <c r="DH7" s="6">
        <v>500</v>
      </c>
      <c r="DI7" s="803" t="s">
        <v>3009</v>
      </c>
      <c r="DJ7" s="33"/>
    </row>
    <row r="8" spans="1:114" ht="27" customHeight="1">
      <c r="A8" s="2334"/>
      <c r="B8" s="2335"/>
      <c r="C8" s="2335"/>
      <c r="D8" s="2335"/>
      <c r="E8" s="2335"/>
      <c r="F8" s="2335"/>
      <c r="G8" s="2335"/>
      <c r="H8" s="2335"/>
      <c r="I8" s="2335"/>
      <c r="J8" s="2335"/>
      <c r="K8" s="2335"/>
      <c r="L8" s="2335"/>
      <c r="M8" s="2335"/>
      <c r="N8" s="2335"/>
      <c r="O8" s="2335"/>
      <c r="P8" s="2335"/>
      <c r="Q8" s="2335"/>
      <c r="R8" s="2335"/>
      <c r="S8" s="2335"/>
      <c r="T8" s="2337"/>
      <c r="U8" s="777" t="b">
        <v>1</v>
      </c>
      <c r="V8" s="784"/>
      <c r="W8" s="2341"/>
      <c r="X8" s="1965"/>
      <c r="Y8" s="311">
        <f>'03 食事申込書'!BT107</f>
        <v>0</v>
      </c>
      <c r="Z8" s="312">
        <f>'03 食事申込書'!BV107</f>
        <v>0</v>
      </c>
      <c r="AA8" s="1893">
        <f>'03 食事申込書'!BW107</f>
        <v>0</v>
      </c>
      <c r="AB8" s="1894"/>
      <c r="AC8" s="1894"/>
      <c r="AD8" s="517">
        <f t="shared" si="0"/>
        <v>0</v>
      </c>
      <c r="AE8" s="307">
        <f>'03 食事申込書'!BY107</f>
        <v>0</v>
      </c>
      <c r="AF8" s="1895"/>
      <c r="AG8" s="1896"/>
      <c r="AH8" s="1897"/>
      <c r="AI8" s="1896"/>
      <c r="AJ8" s="1896"/>
      <c r="AK8" s="1897"/>
      <c r="AL8" s="1907"/>
      <c r="AM8" s="1896"/>
      <c r="AN8" s="1897"/>
      <c r="AO8" s="1907"/>
      <c r="AP8" s="1896"/>
      <c r="AQ8" s="1897"/>
      <c r="AR8" s="1907"/>
      <c r="AS8" s="1896"/>
      <c r="AT8" s="1897"/>
      <c r="AU8" s="1890"/>
      <c r="AV8" s="1890"/>
      <c r="AW8" s="1890"/>
      <c r="AX8" s="1908"/>
      <c r="AY8" s="1908"/>
      <c r="AZ8" s="1909"/>
      <c r="BA8" s="310">
        <f>IF('03 食事申込書'!BY107=AF8+AI8+AR8+AL8+AO8+AU8+AX8,AD8*AE8,"人数を再確認！")</f>
        <v>0</v>
      </c>
      <c r="BB8" s="794" t="str">
        <f t="shared" si="1"/>
        <v/>
      </c>
      <c r="BC8" s="2331"/>
      <c r="BD8" s="2331"/>
      <c r="BE8" s="2331"/>
      <c r="BF8" s="2331"/>
      <c r="BG8" s="2331"/>
      <c r="BH8" s="2331"/>
      <c r="BI8" s="2331"/>
      <c r="BJ8" s="2331"/>
      <c r="BK8" s="2331"/>
      <c r="BL8" s="2331"/>
      <c r="BM8" s="2331"/>
      <c r="BN8" s="2331"/>
      <c r="BO8" s="2331"/>
      <c r="BP8" s="2331"/>
      <c r="BQ8" s="2331"/>
      <c r="BR8" s="2331"/>
      <c r="BS8" s="2331"/>
      <c r="BT8" s="2331"/>
      <c r="BU8" s="2331"/>
      <c r="BV8" s="2331"/>
      <c r="BW8" s="2331"/>
      <c r="BX8" s="339"/>
      <c r="BY8" s="2341"/>
      <c r="BZ8" s="1965"/>
      <c r="CA8" s="311">
        <v>8</v>
      </c>
      <c r="CB8" s="312" t="s">
        <v>2679</v>
      </c>
      <c r="CC8" s="2171" t="s">
        <v>2680</v>
      </c>
      <c r="CD8" s="2172"/>
      <c r="CE8" s="2173"/>
      <c r="CF8" s="313">
        <v>820</v>
      </c>
      <c r="CG8" s="307">
        <v>100</v>
      </c>
      <c r="CH8" s="1895">
        <v>100</v>
      </c>
      <c r="CI8" s="1896"/>
      <c r="CJ8" s="1897"/>
      <c r="CK8" s="1896"/>
      <c r="CL8" s="1896"/>
      <c r="CM8" s="1897"/>
      <c r="CN8" s="1907"/>
      <c r="CO8" s="1896"/>
      <c r="CP8" s="1897"/>
      <c r="CQ8" s="1907"/>
      <c r="CR8" s="1896"/>
      <c r="CS8" s="1897"/>
      <c r="CT8" s="1907"/>
      <c r="CU8" s="1896"/>
      <c r="CV8" s="1897"/>
      <c r="CW8" s="314"/>
      <c r="CX8" s="315"/>
      <c r="CY8" s="470">
        <v>6960</v>
      </c>
      <c r="CZ8" s="6" t="s">
        <v>139</v>
      </c>
      <c r="DA8" s="6">
        <v>450</v>
      </c>
      <c r="DB8" s="6"/>
      <c r="DC8" s="11" t="s">
        <v>144</v>
      </c>
      <c r="DD8" s="511">
        <v>840</v>
      </c>
      <c r="DE8" s="800" t="s">
        <v>2991</v>
      </c>
      <c r="DF8" s="805"/>
      <c r="DG8" s="7"/>
      <c r="DH8" s="6"/>
      <c r="DI8" s="33"/>
      <c r="DJ8" s="33"/>
    </row>
    <row r="9" spans="1:114" ht="27" customHeight="1" thickBot="1">
      <c r="A9" s="2146"/>
      <c r="B9" s="2147"/>
      <c r="C9" s="2147"/>
      <c r="D9" s="2147"/>
      <c r="E9" s="2147"/>
      <c r="F9" s="2147"/>
      <c r="G9" s="2147"/>
      <c r="H9" s="2147"/>
      <c r="I9" s="2147"/>
      <c r="J9" s="2147"/>
      <c r="K9" s="2147"/>
      <c r="L9" s="2147"/>
      <c r="M9" s="2147"/>
      <c r="N9" s="2147"/>
      <c r="O9" s="2147"/>
      <c r="P9" s="2147"/>
      <c r="Q9" s="2148"/>
      <c r="R9" s="770" t="s">
        <v>117</v>
      </c>
      <c r="S9" s="2338" t="s">
        <v>149</v>
      </c>
      <c r="T9" s="2339"/>
      <c r="U9" s="778"/>
      <c r="V9" s="825"/>
      <c r="W9" s="2341"/>
      <c r="X9" s="1965"/>
      <c r="Y9" s="311">
        <f>'03 食事申込書'!BT108</f>
        <v>0</v>
      </c>
      <c r="Z9" s="312">
        <f>'03 食事申込書'!BV108</f>
        <v>0</v>
      </c>
      <c r="AA9" s="1893">
        <f>'03 食事申込書'!BW108</f>
        <v>0</v>
      </c>
      <c r="AB9" s="1894"/>
      <c r="AC9" s="1894"/>
      <c r="AD9" s="517">
        <f t="shared" si="0"/>
        <v>0</v>
      </c>
      <c r="AE9" s="307">
        <f>'03 食事申込書'!BY108</f>
        <v>0</v>
      </c>
      <c r="AF9" s="1895"/>
      <c r="AG9" s="1896"/>
      <c r="AH9" s="1897"/>
      <c r="AI9" s="1896"/>
      <c r="AJ9" s="1896"/>
      <c r="AK9" s="1897"/>
      <c r="AL9" s="1907"/>
      <c r="AM9" s="1896"/>
      <c r="AN9" s="1897"/>
      <c r="AO9" s="1907"/>
      <c r="AP9" s="1896"/>
      <c r="AQ9" s="1897"/>
      <c r="AR9" s="1907"/>
      <c r="AS9" s="1896"/>
      <c r="AT9" s="1897"/>
      <c r="AU9" s="1890"/>
      <c r="AV9" s="1890"/>
      <c r="AW9" s="1890"/>
      <c r="AX9" s="1908"/>
      <c r="AY9" s="1908"/>
      <c r="AZ9" s="1909"/>
      <c r="BA9" s="310">
        <f>IF('03 食事申込書'!BY108=AF9+AI9+AR9+AL9+AO9+AU9+AX9,AD9*AE9,"人数を再確認！")</f>
        <v>0</v>
      </c>
      <c r="BB9" s="794" t="str">
        <f t="shared" si="1"/>
        <v/>
      </c>
      <c r="BC9" s="2146"/>
      <c r="BD9" s="2147"/>
      <c r="BE9" s="2147"/>
      <c r="BF9" s="2147"/>
      <c r="BG9" s="2147"/>
      <c r="BH9" s="2147"/>
      <c r="BI9" s="2147"/>
      <c r="BJ9" s="2147"/>
      <c r="BK9" s="2147"/>
      <c r="BL9" s="2147"/>
      <c r="BM9" s="2147"/>
      <c r="BN9" s="2147"/>
      <c r="BO9" s="2147"/>
      <c r="BP9" s="2147"/>
      <c r="BQ9" s="2147"/>
      <c r="BR9" s="2147"/>
      <c r="BS9" s="2148"/>
      <c r="BT9" s="770" t="s">
        <v>117</v>
      </c>
      <c r="BU9" s="2338" t="s">
        <v>149</v>
      </c>
      <c r="BV9" s="2339"/>
      <c r="BW9" s="340"/>
      <c r="BX9" s="339"/>
      <c r="BY9" s="2341"/>
      <c r="BZ9" s="1965"/>
      <c r="CA9" s="311">
        <v>8</v>
      </c>
      <c r="CB9" s="312" t="s">
        <v>2679</v>
      </c>
      <c r="CC9" s="2171" t="s">
        <v>2681</v>
      </c>
      <c r="CD9" s="2172"/>
      <c r="CE9" s="2173"/>
      <c r="CF9" s="316">
        <v>870</v>
      </c>
      <c r="CG9" s="307">
        <v>8</v>
      </c>
      <c r="CH9" s="1895"/>
      <c r="CI9" s="1896"/>
      <c r="CJ9" s="1897"/>
      <c r="CK9" s="1896">
        <v>8</v>
      </c>
      <c r="CL9" s="1896"/>
      <c r="CM9" s="1897"/>
      <c r="CN9" s="1907"/>
      <c r="CO9" s="1896"/>
      <c r="CP9" s="1897"/>
      <c r="CQ9" s="1907"/>
      <c r="CR9" s="1896"/>
      <c r="CS9" s="1897"/>
      <c r="CT9" s="1907"/>
      <c r="CU9" s="1896"/>
      <c r="CV9" s="1897"/>
      <c r="CW9" s="314"/>
      <c r="CX9" s="315"/>
      <c r="CY9" s="470">
        <v>6960</v>
      </c>
      <c r="CZ9" s="6"/>
      <c r="DA9" s="6"/>
      <c r="DB9" s="6"/>
      <c r="DC9" s="11" t="s">
        <v>145</v>
      </c>
      <c r="DD9" s="511">
        <v>990</v>
      </c>
      <c r="DE9" s="800" t="s">
        <v>2992</v>
      </c>
      <c r="DF9" s="805"/>
      <c r="DG9" s="7"/>
      <c r="DH9" s="6"/>
      <c r="DI9" s="33"/>
      <c r="DJ9" s="33"/>
    </row>
    <row r="10" spans="1:114" ht="27" customHeight="1">
      <c r="A10" s="2318" t="s">
        <v>151</v>
      </c>
      <c r="B10" s="2319"/>
      <c r="C10" s="1910" t="s">
        <v>2955</v>
      </c>
      <c r="D10" s="1911"/>
      <c r="E10" s="1911"/>
      <c r="F10" s="1911"/>
      <c r="G10" s="1912"/>
      <c r="H10" s="1913"/>
      <c r="I10" s="1913"/>
      <c r="J10" s="1913"/>
      <c r="K10" s="1913"/>
      <c r="L10" s="1913"/>
      <c r="M10" s="1913"/>
      <c r="N10" s="1913"/>
      <c r="O10" s="1913"/>
      <c r="P10" s="1913"/>
      <c r="Q10" s="1914"/>
      <c r="R10" s="773" t="s">
        <v>152</v>
      </c>
      <c r="S10" s="774" t="s">
        <v>152</v>
      </c>
      <c r="T10" s="775" t="s">
        <v>2749</v>
      </c>
      <c r="U10" s="779" t="b">
        <v>0</v>
      </c>
      <c r="V10" s="780" t="b">
        <v>1</v>
      </c>
      <c r="W10" s="2341"/>
      <c r="X10" s="1965"/>
      <c r="Y10" s="311">
        <f>'03 食事申込書'!BT109</f>
        <v>0</v>
      </c>
      <c r="Z10" s="312">
        <f>'03 食事申込書'!BV109</f>
        <v>0</v>
      </c>
      <c r="AA10" s="1893">
        <f>'03 食事申込書'!BW109</f>
        <v>0</v>
      </c>
      <c r="AB10" s="1894"/>
      <c r="AC10" s="1894"/>
      <c r="AD10" s="517">
        <f t="shared" si="0"/>
        <v>0</v>
      </c>
      <c r="AE10" s="307">
        <f>'03 食事申込書'!BY109</f>
        <v>0</v>
      </c>
      <c r="AF10" s="1895"/>
      <c r="AG10" s="1896"/>
      <c r="AH10" s="1897"/>
      <c r="AI10" s="1896"/>
      <c r="AJ10" s="1896"/>
      <c r="AK10" s="1897"/>
      <c r="AL10" s="1907"/>
      <c r="AM10" s="1896"/>
      <c r="AN10" s="1897"/>
      <c r="AO10" s="1907"/>
      <c r="AP10" s="1896"/>
      <c r="AQ10" s="1897"/>
      <c r="AR10" s="1907"/>
      <c r="AS10" s="1896"/>
      <c r="AT10" s="1897"/>
      <c r="AU10" s="1890"/>
      <c r="AV10" s="1890"/>
      <c r="AW10" s="1890"/>
      <c r="AX10" s="1908"/>
      <c r="AY10" s="1908"/>
      <c r="AZ10" s="1909"/>
      <c r="BA10" s="310">
        <f>IF('03 食事申込書'!BY109=AF10+AI10+AR10+AL10+AO10+AU10+AX10,AD10*AE10,"人数を再確認！")</f>
        <v>0</v>
      </c>
      <c r="BB10" s="794" t="str">
        <f t="shared" si="1"/>
        <v/>
      </c>
      <c r="BC10" s="2318" t="s">
        <v>151</v>
      </c>
      <c r="BD10" s="2319"/>
      <c r="BE10" s="1910" t="s">
        <v>2955</v>
      </c>
      <c r="BF10" s="1911"/>
      <c r="BG10" s="1911"/>
      <c r="BH10" s="1911"/>
      <c r="BI10" s="1912" t="s">
        <v>3145</v>
      </c>
      <c r="BJ10" s="1913"/>
      <c r="BK10" s="1913"/>
      <c r="BL10" s="1913"/>
      <c r="BM10" s="1913"/>
      <c r="BN10" s="1913"/>
      <c r="BO10" s="1913"/>
      <c r="BP10" s="1913"/>
      <c r="BQ10" s="1913"/>
      <c r="BR10" s="1913"/>
      <c r="BS10" s="1914"/>
      <c r="BT10" s="773" t="s">
        <v>152</v>
      </c>
      <c r="BU10" s="774" t="s">
        <v>152</v>
      </c>
      <c r="BV10" s="775" t="s">
        <v>2749</v>
      </c>
      <c r="BW10" s="340"/>
      <c r="BX10" s="339"/>
      <c r="BY10" s="2341"/>
      <c r="BZ10" s="1965"/>
      <c r="CA10" s="311">
        <v>8</v>
      </c>
      <c r="CB10" s="312" t="s">
        <v>2675</v>
      </c>
      <c r="CC10" s="2171" t="s">
        <v>3152</v>
      </c>
      <c r="CD10" s="2172"/>
      <c r="CE10" s="2173"/>
      <c r="CF10" s="313">
        <v>610</v>
      </c>
      <c r="CG10" s="307">
        <v>107</v>
      </c>
      <c r="CH10" s="1895">
        <v>98</v>
      </c>
      <c r="CI10" s="1896"/>
      <c r="CJ10" s="1897"/>
      <c r="CK10" s="1896">
        <v>8</v>
      </c>
      <c r="CL10" s="1896"/>
      <c r="CM10" s="1897"/>
      <c r="CN10" s="1907">
        <v>1</v>
      </c>
      <c r="CO10" s="1896"/>
      <c r="CP10" s="1897"/>
      <c r="CQ10" s="1907"/>
      <c r="CR10" s="1896"/>
      <c r="CS10" s="1897"/>
      <c r="CT10" s="1907"/>
      <c r="CU10" s="1896"/>
      <c r="CV10" s="1897"/>
      <c r="CW10" s="314"/>
      <c r="CX10" s="315"/>
      <c r="CY10" s="470">
        <v>65270</v>
      </c>
      <c r="CZ10" s="2266" t="s">
        <v>146</v>
      </c>
      <c r="DA10" s="2266"/>
      <c r="DB10" s="6"/>
      <c r="DC10" s="11" t="s">
        <v>147</v>
      </c>
      <c r="DD10" s="812">
        <v>1030</v>
      </c>
      <c r="DE10" s="800" t="s">
        <v>2993</v>
      </c>
      <c r="DF10" s="805"/>
      <c r="DG10" s="7"/>
      <c r="DH10" s="6"/>
      <c r="DI10" s="33"/>
      <c r="DJ10" s="33"/>
    </row>
    <row r="11" spans="1:114" ht="27" customHeight="1">
      <c r="A11" s="2320"/>
      <c r="B11" s="2321"/>
      <c r="C11" s="1910" t="s">
        <v>2956</v>
      </c>
      <c r="D11" s="1911"/>
      <c r="E11" s="1911"/>
      <c r="F11" s="1911"/>
      <c r="G11" s="2149"/>
      <c r="H11" s="2150"/>
      <c r="I11" s="2150"/>
      <c r="J11" s="2150"/>
      <c r="K11" s="2150"/>
      <c r="L11" s="2150"/>
      <c r="M11" s="2150"/>
      <c r="N11" s="2150"/>
      <c r="O11" s="2150"/>
      <c r="P11" s="2150"/>
      <c r="Q11" s="2151"/>
      <c r="R11" s="815" t="s">
        <v>152</v>
      </c>
      <c r="S11" s="816" t="s">
        <v>152</v>
      </c>
      <c r="T11" s="817" t="s">
        <v>2749</v>
      </c>
      <c r="U11" s="781" t="b">
        <v>1</v>
      </c>
      <c r="V11" s="782" t="b">
        <v>0</v>
      </c>
      <c r="W11" s="2341"/>
      <c r="X11" s="1965"/>
      <c r="Y11" s="311">
        <f>'03 食事申込書'!BT110</f>
        <v>0</v>
      </c>
      <c r="Z11" s="312">
        <f>'03 食事申込書'!BV110</f>
        <v>0</v>
      </c>
      <c r="AA11" s="1893">
        <f>'03 食事申込書'!BW110</f>
        <v>0</v>
      </c>
      <c r="AB11" s="1894"/>
      <c r="AC11" s="1894"/>
      <c r="AD11" s="517">
        <f t="shared" si="0"/>
        <v>0</v>
      </c>
      <c r="AE11" s="307">
        <f>'03 食事申込書'!BY110</f>
        <v>0</v>
      </c>
      <c r="AF11" s="1895"/>
      <c r="AG11" s="1896"/>
      <c r="AH11" s="1897"/>
      <c r="AI11" s="1907"/>
      <c r="AJ11" s="1896"/>
      <c r="AK11" s="1897"/>
      <c r="AL11" s="1907"/>
      <c r="AM11" s="1896"/>
      <c r="AN11" s="1897"/>
      <c r="AO11" s="1907"/>
      <c r="AP11" s="1896"/>
      <c r="AQ11" s="1897"/>
      <c r="AR11" s="1907"/>
      <c r="AS11" s="1896"/>
      <c r="AT11" s="1897"/>
      <c r="AU11" s="1890"/>
      <c r="AV11" s="1890"/>
      <c r="AW11" s="1890"/>
      <c r="AX11" s="1908"/>
      <c r="AY11" s="1908"/>
      <c r="AZ11" s="1909"/>
      <c r="BA11" s="310">
        <f>IF('03 食事申込書'!BY110=AF11+AL11+AI11+AO11+AR11+AU11+AX11,AD11*AE11,"人数を再確認！")</f>
        <v>0</v>
      </c>
      <c r="BB11" s="794" t="str">
        <f t="shared" si="1"/>
        <v/>
      </c>
      <c r="BC11" s="2320"/>
      <c r="BD11" s="2321"/>
      <c r="BE11" s="1910" t="s">
        <v>2956</v>
      </c>
      <c r="BF11" s="1911"/>
      <c r="BG11" s="1911"/>
      <c r="BH11" s="1911"/>
      <c r="BI11" s="2149" t="s">
        <v>3146</v>
      </c>
      <c r="BJ11" s="2150"/>
      <c r="BK11" s="2150"/>
      <c r="BL11" s="2150"/>
      <c r="BM11" s="2150"/>
      <c r="BN11" s="2150"/>
      <c r="BO11" s="2150"/>
      <c r="BP11" s="2150"/>
      <c r="BQ11" s="2150"/>
      <c r="BR11" s="2150"/>
      <c r="BS11" s="2151"/>
      <c r="BT11" s="815" t="s">
        <v>152</v>
      </c>
      <c r="BU11" s="816" t="s">
        <v>152</v>
      </c>
      <c r="BV11" s="817" t="s">
        <v>2749</v>
      </c>
      <c r="BW11" s="341"/>
      <c r="BX11" s="338"/>
      <c r="BY11" s="2341"/>
      <c r="BZ11" s="1965"/>
      <c r="CA11" s="311">
        <v>8</v>
      </c>
      <c r="CB11" s="312" t="s">
        <v>2675</v>
      </c>
      <c r="CC11" s="2171" t="s">
        <v>3150</v>
      </c>
      <c r="CD11" s="2172"/>
      <c r="CE11" s="2173"/>
      <c r="CF11" s="313">
        <v>180</v>
      </c>
      <c r="CG11" s="307">
        <v>55</v>
      </c>
      <c r="CH11" s="1895">
        <v>50</v>
      </c>
      <c r="CI11" s="1896"/>
      <c r="CJ11" s="1897"/>
      <c r="CK11" s="1907">
        <v>4</v>
      </c>
      <c r="CL11" s="1896"/>
      <c r="CM11" s="1897"/>
      <c r="CN11" s="1907">
        <v>1</v>
      </c>
      <c r="CO11" s="1896"/>
      <c r="CP11" s="1897"/>
      <c r="CQ11" s="1907"/>
      <c r="CR11" s="1896"/>
      <c r="CS11" s="1897"/>
      <c r="CT11" s="1907"/>
      <c r="CU11" s="1896"/>
      <c r="CV11" s="1897"/>
      <c r="CW11" s="314"/>
      <c r="CX11" s="315"/>
      <c r="CY11" s="470">
        <v>9900</v>
      </c>
      <c r="CZ11" s="6"/>
      <c r="DA11" s="6"/>
      <c r="DB11" s="6"/>
      <c r="DC11" s="11" t="s">
        <v>150</v>
      </c>
      <c r="DD11" s="511">
        <v>710</v>
      </c>
      <c r="DE11" s="800" t="s">
        <v>2994</v>
      </c>
      <c r="DF11" s="6"/>
      <c r="DG11" s="7"/>
      <c r="DH11" s="6"/>
      <c r="DI11" s="33"/>
      <c r="DJ11" s="33"/>
    </row>
    <row r="12" spans="1:114" ht="27" customHeight="1">
      <c r="A12" s="2320"/>
      <c r="B12" s="2321"/>
      <c r="C12" s="1910" t="s">
        <v>2958</v>
      </c>
      <c r="D12" s="1911"/>
      <c r="E12" s="1911"/>
      <c r="F12" s="1911"/>
      <c r="G12" s="2149"/>
      <c r="H12" s="2150"/>
      <c r="I12" s="2150"/>
      <c r="J12" s="2150"/>
      <c r="K12" s="2150"/>
      <c r="L12" s="2150"/>
      <c r="M12" s="2150"/>
      <c r="N12" s="2150"/>
      <c r="O12" s="2150"/>
      <c r="P12" s="2150"/>
      <c r="Q12" s="2151"/>
      <c r="R12" s="776" t="s">
        <v>152</v>
      </c>
      <c r="S12" s="771" t="s">
        <v>152</v>
      </c>
      <c r="T12" s="772" t="s">
        <v>2749</v>
      </c>
      <c r="U12" s="781" t="b">
        <v>1</v>
      </c>
      <c r="V12" s="782" t="b">
        <v>0</v>
      </c>
      <c r="W12" s="2341"/>
      <c r="X12" s="1965"/>
      <c r="Y12" s="311">
        <f>'03 食事申込書'!BT111</f>
        <v>0</v>
      </c>
      <c r="Z12" s="312">
        <f>'03 食事申込書'!BV111</f>
        <v>0</v>
      </c>
      <c r="AA12" s="1893">
        <f>'03 食事申込書'!BW111</f>
        <v>0</v>
      </c>
      <c r="AB12" s="1894"/>
      <c r="AC12" s="1894"/>
      <c r="AD12" s="517">
        <f t="shared" si="0"/>
        <v>0</v>
      </c>
      <c r="AE12" s="307">
        <f>'03 食事申込書'!BY111</f>
        <v>0</v>
      </c>
      <c r="AF12" s="1895"/>
      <c r="AG12" s="1896"/>
      <c r="AH12" s="1897"/>
      <c r="AI12" s="1907"/>
      <c r="AJ12" s="1896"/>
      <c r="AK12" s="1897"/>
      <c r="AL12" s="1907"/>
      <c r="AM12" s="1896"/>
      <c r="AN12" s="1897"/>
      <c r="AO12" s="1907"/>
      <c r="AP12" s="1896"/>
      <c r="AQ12" s="1897"/>
      <c r="AR12" s="1907"/>
      <c r="AS12" s="1896"/>
      <c r="AT12" s="1897"/>
      <c r="AU12" s="1890"/>
      <c r="AV12" s="1890"/>
      <c r="AW12" s="1890"/>
      <c r="AX12" s="1908"/>
      <c r="AY12" s="1908"/>
      <c r="AZ12" s="1909"/>
      <c r="BA12" s="310">
        <f>IF('03 食事申込書'!BY111=AF12+AL12+AI12+AO12+AR12+AU12+AX12,AD12*AE12,"人数を再確認！")</f>
        <v>0</v>
      </c>
      <c r="BB12" s="794" t="str">
        <f t="shared" si="1"/>
        <v/>
      </c>
      <c r="BC12" s="2320"/>
      <c r="BD12" s="2321"/>
      <c r="BE12" s="1910" t="s">
        <v>2958</v>
      </c>
      <c r="BF12" s="1911"/>
      <c r="BG12" s="1911"/>
      <c r="BH12" s="1911"/>
      <c r="BI12" s="2149" t="s">
        <v>3149</v>
      </c>
      <c r="BJ12" s="2150"/>
      <c r="BK12" s="2150"/>
      <c r="BL12" s="2150"/>
      <c r="BM12" s="2150"/>
      <c r="BN12" s="2150"/>
      <c r="BO12" s="2150"/>
      <c r="BP12" s="2150"/>
      <c r="BQ12" s="2150"/>
      <c r="BR12" s="2150"/>
      <c r="BS12" s="2151"/>
      <c r="BT12" s="776" t="s">
        <v>152</v>
      </c>
      <c r="BU12" s="771" t="s">
        <v>152</v>
      </c>
      <c r="BV12" s="772" t="s">
        <v>2749</v>
      </c>
      <c r="BW12" s="341"/>
      <c r="BX12" s="338"/>
      <c r="BY12" s="2341"/>
      <c r="BZ12" s="1965"/>
      <c r="CA12" s="311">
        <v>8</v>
      </c>
      <c r="CB12" s="312" t="s">
        <v>91</v>
      </c>
      <c r="CC12" s="2171" t="s">
        <v>3151</v>
      </c>
      <c r="CD12" s="2172"/>
      <c r="CE12" s="2173"/>
      <c r="CF12" s="316">
        <v>180</v>
      </c>
      <c r="CG12" s="307">
        <v>54</v>
      </c>
      <c r="CH12" s="1895">
        <v>50</v>
      </c>
      <c r="CI12" s="1896"/>
      <c r="CJ12" s="1897"/>
      <c r="CK12" s="1907">
        <v>4</v>
      </c>
      <c r="CL12" s="1896"/>
      <c r="CM12" s="1897"/>
      <c r="CN12" s="1907"/>
      <c r="CO12" s="1896"/>
      <c r="CP12" s="1897"/>
      <c r="CQ12" s="1907"/>
      <c r="CR12" s="1896"/>
      <c r="CS12" s="1897"/>
      <c r="CT12" s="1907"/>
      <c r="CU12" s="1896"/>
      <c r="CV12" s="1897"/>
      <c r="CW12" s="314"/>
      <c r="CX12" s="315"/>
      <c r="CY12" s="470">
        <v>9720</v>
      </c>
      <c r="CZ12" s="6" t="s">
        <v>39</v>
      </c>
      <c r="DA12" s="516">
        <v>2700</v>
      </c>
      <c r="DB12" s="6"/>
      <c r="DC12" s="11" t="s">
        <v>153</v>
      </c>
      <c r="DD12" s="511">
        <v>820</v>
      </c>
      <c r="DE12" s="800" t="s">
        <v>2995</v>
      </c>
      <c r="DF12" s="805"/>
      <c r="DG12" s="7"/>
      <c r="DH12" s="6"/>
      <c r="DI12" s="33"/>
      <c r="DJ12" s="33"/>
    </row>
    <row r="13" spans="1:114" ht="27" customHeight="1">
      <c r="A13" s="2320"/>
      <c r="B13" s="2321"/>
      <c r="C13" s="1910" t="s">
        <v>2959</v>
      </c>
      <c r="D13" s="1911"/>
      <c r="E13" s="1911"/>
      <c r="F13" s="1911"/>
      <c r="G13" s="2152"/>
      <c r="H13" s="2153"/>
      <c r="I13" s="2153"/>
      <c r="J13" s="2153"/>
      <c r="K13" s="2153"/>
      <c r="L13" s="2153"/>
      <c r="M13" s="2153"/>
      <c r="N13" s="2153"/>
      <c r="O13" s="2153"/>
      <c r="P13" s="2153"/>
      <c r="Q13" s="2154"/>
      <c r="R13" s="776" t="s">
        <v>152</v>
      </c>
      <c r="S13" s="771" t="s">
        <v>152</v>
      </c>
      <c r="T13" s="772" t="s">
        <v>2749</v>
      </c>
      <c r="U13" s="781" t="b">
        <v>1</v>
      </c>
      <c r="V13" s="782" t="b">
        <v>0</v>
      </c>
      <c r="W13" s="2341"/>
      <c r="X13" s="1965"/>
      <c r="Y13" s="311">
        <f>'03 食事申込書'!BT112</f>
        <v>0</v>
      </c>
      <c r="Z13" s="312">
        <f>'03 食事申込書'!BV112</f>
        <v>0</v>
      </c>
      <c r="AA13" s="1893">
        <f>'03 食事申込書'!BW112</f>
        <v>0</v>
      </c>
      <c r="AB13" s="1894"/>
      <c r="AC13" s="1894"/>
      <c r="AD13" s="517">
        <f t="shared" si="0"/>
        <v>0</v>
      </c>
      <c r="AE13" s="307">
        <f>'03 食事申込書'!BY112</f>
        <v>0</v>
      </c>
      <c r="AF13" s="1895"/>
      <c r="AG13" s="1896"/>
      <c r="AH13" s="1897"/>
      <c r="AI13" s="1907"/>
      <c r="AJ13" s="1896"/>
      <c r="AK13" s="1897"/>
      <c r="AL13" s="1907"/>
      <c r="AM13" s="1896"/>
      <c r="AN13" s="1897"/>
      <c r="AO13" s="1907"/>
      <c r="AP13" s="1896"/>
      <c r="AQ13" s="1897"/>
      <c r="AR13" s="1907"/>
      <c r="AS13" s="1896"/>
      <c r="AT13" s="1897"/>
      <c r="AU13" s="1890"/>
      <c r="AV13" s="1890"/>
      <c r="AW13" s="1890"/>
      <c r="AX13" s="1908"/>
      <c r="AY13" s="1908"/>
      <c r="AZ13" s="1909"/>
      <c r="BA13" s="310">
        <f>IF('03 食事申込書'!BY112=AF13+AL13+AI13+AO13+AR13+AU13+AX13,AD13*AE13,"人数を再確認！")</f>
        <v>0</v>
      </c>
      <c r="BB13" s="794" t="str">
        <f t="shared" si="1"/>
        <v/>
      </c>
      <c r="BC13" s="2320"/>
      <c r="BD13" s="2321"/>
      <c r="BE13" s="1910" t="s">
        <v>2959</v>
      </c>
      <c r="BF13" s="1911"/>
      <c r="BG13" s="1911"/>
      <c r="BH13" s="1911"/>
      <c r="BI13" s="2152" t="s">
        <v>3171</v>
      </c>
      <c r="BJ13" s="2153"/>
      <c r="BK13" s="2153"/>
      <c r="BL13" s="2153"/>
      <c r="BM13" s="2153"/>
      <c r="BN13" s="2153"/>
      <c r="BO13" s="2153"/>
      <c r="BP13" s="2153"/>
      <c r="BQ13" s="2153"/>
      <c r="BR13" s="2153"/>
      <c r="BS13" s="2154"/>
      <c r="BT13" s="776" t="s">
        <v>152</v>
      </c>
      <c r="BU13" s="771" t="s">
        <v>152</v>
      </c>
      <c r="BV13" s="772" t="s">
        <v>2749</v>
      </c>
      <c r="BW13" s="341"/>
      <c r="BX13" s="338"/>
      <c r="BY13" s="2341"/>
      <c r="BZ13" s="1965"/>
      <c r="CA13" s="311">
        <v>8</v>
      </c>
      <c r="CB13" s="312" t="s">
        <v>91</v>
      </c>
      <c r="CC13" s="2141" t="s">
        <v>3153</v>
      </c>
      <c r="CD13" s="2142"/>
      <c r="CE13" s="2142"/>
      <c r="CF13" s="317">
        <v>610</v>
      </c>
      <c r="CG13" s="307">
        <v>2</v>
      </c>
      <c r="CH13" s="1895">
        <v>2</v>
      </c>
      <c r="CI13" s="1896"/>
      <c r="CJ13" s="1897"/>
      <c r="CK13" s="1907"/>
      <c r="CL13" s="1896"/>
      <c r="CM13" s="1897"/>
      <c r="CN13" s="1907"/>
      <c r="CO13" s="1896"/>
      <c r="CP13" s="1897"/>
      <c r="CQ13" s="1907"/>
      <c r="CR13" s="1896"/>
      <c r="CS13" s="1897"/>
      <c r="CT13" s="1907"/>
      <c r="CU13" s="1896"/>
      <c r="CV13" s="1897"/>
      <c r="CW13" s="314"/>
      <c r="CX13" s="315"/>
      <c r="CY13" s="470">
        <v>1220</v>
      </c>
      <c r="CZ13" s="6" t="s">
        <v>40</v>
      </c>
      <c r="DA13" s="516">
        <v>4400</v>
      </c>
      <c r="DB13" s="6"/>
      <c r="DC13" s="11" t="s">
        <v>155</v>
      </c>
      <c r="DD13" s="511">
        <v>870</v>
      </c>
      <c r="DE13" s="800" t="s">
        <v>2996</v>
      </c>
      <c r="DF13" s="805"/>
      <c r="DG13" s="7"/>
      <c r="DH13" s="6"/>
      <c r="DI13" s="33"/>
      <c r="DJ13" s="33"/>
    </row>
    <row r="14" spans="1:114" ht="27" customHeight="1" thickBot="1">
      <c r="A14" s="2320"/>
      <c r="B14" s="2321"/>
      <c r="C14" s="1921" t="s">
        <v>2957</v>
      </c>
      <c r="D14" s="1922"/>
      <c r="E14" s="1922"/>
      <c r="F14" s="1922"/>
      <c r="G14" s="2138"/>
      <c r="H14" s="2139"/>
      <c r="I14" s="2139"/>
      <c r="J14" s="2139"/>
      <c r="K14" s="2139"/>
      <c r="L14" s="2139"/>
      <c r="M14" s="2139"/>
      <c r="N14" s="2139"/>
      <c r="O14" s="2139"/>
      <c r="P14" s="2139"/>
      <c r="Q14" s="2140"/>
      <c r="R14" s="819" t="s">
        <v>152</v>
      </c>
      <c r="S14" s="820" t="s">
        <v>152</v>
      </c>
      <c r="T14" s="821" t="s">
        <v>2749</v>
      </c>
      <c r="U14" s="781" t="b">
        <v>0</v>
      </c>
      <c r="V14" s="782" t="b">
        <v>0</v>
      </c>
      <c r="W14" s="2341"/>
      <c r="X14" s="1965"/>
      <c r="Y14" s="311">
        <f>'03 食事申込書'!BT113</f>
        <v>0</v>
      </c>
      <c r="Z14" s="312">
        <f>'03 食事申込書'!BV113</f>
        <v>0</v>
      </c>
      <c r="AA14" s="1893">
        <f>'03 食事申込書'!BW113</f>
        <v>0</v>
      </c>
      <c r="AB14" s="1894"/>
      <c r="AC14" s="1894"/>
      <c r="AD14" s="517">
        <f t="shared" si="0"/>
        <v>0</v>
      </c>
      <c r="AE14" s="307">
        <f>'03 食事申込書'!BY113</f>
        <v>0</v>
      </c>
      <c r="AF14" s="1895"/>
      <c r="AG14" s="1896"/>
      <c r="AH14" s="1897"/>
      <c r="AI14" s="1907"/>
      <c r="AJ14" s="1896"/>
      <c r="AK14" s="1897"/>
      <c r="AL14" s="1907"/>
      <c r="AM14" s="1896"/>
      <c r="AN14" s="1897"/>
      <c r="AO14" s="1907"/>
      <c r="AP14" s="1896"/>
      <c r="AQ14" s="1897"/>
      <c r="AR14" s="1907"/>
      <c r="AS14" s="1896"/>
      <c r="AT14" s="1897"/>
      <c r="AU14" s="1890"/>
      <c r="AV14" s="1890"/>
      <c r="AW14" s="1890"/>
      <c r="AX14" s="1908"/>
      <c r="AY14" s="1908"/>
      <c r="AZ14" s="1909"/>
      <c r="BA14" s="310">
        <f>IF('03 食事申込書'!BY113=AF14+AL14+AI14+AO14+AR14+AU14+AX14,AD14*AE14,"人数を再確認！")</f>
        <v>0</v>
      </c>
      <c r="BB14" s="794" t="str">
        <f t="shared" si="1"/>
        <v/>
      </c>
      <c r="BC14" s="2320"/>
      <c r="BD14" s="2321"/>
      <c r="BE14" s="1921" t="s">
        <v>2957</v>
      </c>
      <c r="BF14" s="1922"/>
      <c r="BG14" s="1922"/>
      <c r="BH14" s="1922"/>
      <c r="BI14" s="2138"/>
      <c r="BJ14" s="2139"/>
      <c r="BK14" s="2139"/>
      <c r="BL14" s="2139"/>
      <c r="BM14" s="2139"/>
      <c r="BN14" s="2139"/>
      <c r="BO14" s="2139"/>
      <c r="BP14" s="2139"/>
      <c r="BQ14" s="2139"/>
      <c r="BR14" s="2139"/>
      <c r="BS14" s="2140"/>
      <c r="BT14" s="819" t="s">
        <v>152</v>
      </c>
      <c r="BU14" s="820" t="s">
        <v>152</v>
      </c>
      <c r="BV14" s="821" t="s">
        <v>2749</v>
      </c>
      <c r="BW14" s="341"/>
      <c r="BX14" s="338"/>
      <c r="BY14" s="2341"/>
      <c r="BZ14" s="1965"/>
      <c r="CA14" s="311">
        <f>'03 食事申込書'!DQ113</f>
        <v>0</v>
      </c>
      <c r="CB14" s="312">
        <f>'03 食事申込書'!DS113</f>
        <v>0</v>
      </c>
      <c r="CC14" s="2141">
        <f>'03 食事申込書'!DT113</f>
        <v>0</v>
      </c>
      <c r="CD14" s="2142"/>
      <c r="CE14" s="2142"/>
      <c r="CF14" s="317">
        <f>IF(ISERROR(VLOOKUP(CC14,FA3:FB58,2,FALSE)),0,VLOOKUP(CC14,FA3:FB58,2,FALSE))</f>
        <v>0</v>
      </c>
      <c r="CG14" s="307">
        <f>'03 食事申込書'!DV113</f>
        <v>0</v>
      </c>
      <c r="CH14" s="1895"/>
      <c r="CI14" s="1896"/>
      <c r="CJ14" s="1897"/>
      <c r="CK14" s="1907"/>
      <c r="CL14" s="1896"/>
      <c r="CM14" s="1897"/>
      <c r="CN14" s="1907"/>
      <c r="CO14" s="1896"/>
      <c r="CP14" s="1897"/>
      <c r="CQ14" s="1907"/>
      <c r="CR14" s="1896"/>
      <c r="CS14" s="1897"/>
      <c r="CT14" s="1907"/>
      <c r="CU14" s="1896"/>
      <c r="CV14" s="1897"/>
      <c r="CW14" s="314"/>
      <c r="CX14" s="315"/>
      <c r="CY14" s="470">
        <f>IF('03 食事申込書'!DV113=CH14+CN14+CK14+CQ14+CT14+CW14+CX14,CF14*CG14,"人数を再確認！")</f>
        <v>0</v>
      </c>
      <c r="CZ14" s="8"/>
      <c r="DA14" s="8"/>
      <c r="DB14" s="6"/>
      <c r="DC14" s="806"/>
      <c r="DD14" s="802"/>
      <c r="DE14" s="807"/>
      <c r="DF14" s="805"/>
      <c r="DG14" s="7"/>
      <c r="DH14" s="6"/>
      <c r="DI14" s="33"/>
      <c r="DJ14" s="33"/>
    </row>
    <row r="15" spans="1:114" ht="27" customHeight="1" thickBot="1">
      <c r="A15" s="2322"/>
      <c r="B15" s="2323"/>
      <c r="C15" s="2324" t="s">
        <v>3143</v>
      </c>
      <c r="D15" s="2325"/>
      <c r="E15" s="2325"/>
      <c r="F15" s="2326"/>
      <c r="G15" s="2327"/>
      <c r="H15" s="2328"/>
      <c r="I15" s="2328"/>
      <c r="J15" s="2328"/>
      <c r="K15" s="2328"/>
      <c r="L15" s="2328"/>
      <c r="M15" s="2328"/>
      <c r="N15" s="2328"/>
      <c r="O15" s="2328"/>
      <c r="P15" s="2328"/>
      <c r="Q15" s="2329"/>
      <c r="R15" s="819" t="s">
        <v>152</v>
      </c>
      <c r="S15" s="822"/>
      <c r="T15" s="823"/>
      <c r="U15" s="814"/>
      <c r="V15" s="818"/>
      <c r="W15" s="2341"/>
      <c r="X15" s="1965"/>
      <c r="Y15" s="311">
        <f>'03 食事申込書'!BT114</f>
        <v>0</v>
      </c>
      <c r="Z15" s="312">
        <f>'03 食事申込書'!BV114</f>
        <v>0</v>
      </c>
      <c r="AA15" s="1893">
        <f>'03 食事申込書'!BW114</f>
        <v>0</v>
      </c>
      <c r="AB15" s="1894"/>
      <c r="AC15" s="1894"/>
      <c r="AD15" s="517">
        <f t="shared" si="0"/>
        <v>0</v>
      </c>
      <c r="AE15" s="307">
        <f>'03 食事申込書'!BY114</f>
        <v>0</v>
      </c>
      <c r="AF15" s="1895"/>
      <c r="AG15" s="1896"/>
      <c r="AH15" s="1897"/>
      <c r="AI15" s="1907"/>
      <c r="AJ15" s="1896"/>
      <c r="AK15" s="1897"/>
      <c r="AL15" s="1907"/>
      <c r="AM15" s="1896"/>
      <c r="AN15" s="1897"/>
      <c r="AO15" s="1907"/>
      <c r="AP15" s="1896"/>
      <c r="AQ15" s="1897"/>
      <c r="AR15" s="1907"/>
      <c r="AS15" s="1896"/>
      <c r="AT15" s="1897"/>
      <c r="AU15" s="1890"/>
      <c r="AV15" s="1890"/>
      <c r="AW15" s="1890"/>
      <c r="AX15" s="1908"/>
      <c r="AY15" s="1908"/>
      <c r="AZ15" s="1909"/>
      <c r="BA15" s="310">
        <f>IF('03 食事申込書'!BY114=AF15+AL15+AI15+AO15+AR15+AU15+AX15,AD15*AE15,"人数を再確認！")</f>
        <v>0</v>
      </c>
      <c r="BB15" s="794" t="str">
        <f t="shared" si="1"/>
        <v/>
      </c>
      <c r="BC15" s="2322"/>
      <c r="BD15" s="2323"/>
      <c r="BE15" s="2135" t="s">
        <v>3143</v>
      </c>
      <c r="BF15" s="2136"/>
      <c r="BG15" s="2136"/>
      <c r="BH15" s="2137"/>
      <c r="BI15" s="2138" t="s">
        <v>3172</v>
      </c>
      <c r="BJ15" s="2139"/>
      <c r="BK15" s="2139"/>
      <c r="BL15" s="2139"/>
      <c r="BM15" s="2139"/>
      <c r="BN15" s="2139"/>
      <c r="BO15" s="2139"/>
      <c r="BP15" s="2139"/>
      <c r="BQ15" s="2139"/>
      <c r="BR15" s="2139"/>
      <c r="BS15" s="2140"/>
      <c r="BT15" s="819" t="s">
        <v>152</v>
      </c>
      <c r="BU15" s="822"/>
      <c r="BV15" s="823"/>
      <c r="BW15" s="341"/>
      <c r="BX15" s="338"/>
      <c r="BY15" s="2341"/>
      <c r="BZ15" s="1965"/>
      <c r="CA15" s="311">
        <f>'03 食事申込書'!DQ114</f>
        <v>0</v>
      </c>
      <c r="CB15" s="312">
        <f>'03 食事申込書'!DS114</f>
        <v>0</v>
      </c>
      <c r="CC15" s="2141">
        <f>'03 食事申込書'!DT114</f>
        <v>0</v>
      </c>
      <c r="CD15" s="2142"/>
      <c r="CE15" s="2142"/>
      <c r="CF15" s="313">
        <f>IF(ISERROR(VLOOKUP(CC15,FA3:FB58,2,FALSE)),0,VLOOKUP(CC15,FA3:FB58,2,FALSE))</f>
        <v>0</v>
      </c>
      <c r="CG15" s="307">
        <f>'03 食事申込書'!DV114</f>
        <v>0</v>
      </c>
      <c r="CH15" s="1895"/>
      <c r="CI15" s="1896"/>
      <c r="CJ15" s="1897"/>
      <c r="CK15" s="1907"/>
      <c r="CL15" s="1896"/>
      <c r="CM15" s="1897"/>
      <c r="CN15" s="1907"/>
      <c r="CO15" s="1896"/>
      <c r="CP15" s="1897"/>
      <c r="CQ15" s="1907"/>
      <c r="CR15" s="1896"/>
      <c r="CS15" s="1897"/>
      <c r="CT15" s="1907"/>
      <c r="CU15" s="1896"/>
      <c r="CV15" s="1897"/>
      <c r="CW15" s="314"/>
      <c r="CX15" s="315"/>
      <c r="CY15" s="470">
        <f>IF('03 食事申込書'!DV114=CH15+CN15+CK15+CQ15+CT15+CW15+CX15,CF15*CG15,"人数を再確認！")</f>
        <v>0</v>
      </c>
      <c r="CZ15" s="808" t="s">
        <v>156</v>
      </c>
      <c r="DA15" s="808"/>
      <c r="DB15" s="6"/>
      <c r="DC15" s="952" t="s">
        <v>3052</v>
      </c>
      <c r="DD15" s="511">
        <v>220</v>
      </c>
      <c r="DE15" s="800"/>
      <c r="DF15" s="6"/>
      <c r="DG15" s="7"/>
      <c r="DH15" s="6"/>
      <c r="DI15" s="33"/>
      <c r="DJ15" s="33"/>
    </row>
    <row r="16" spans="1:114" ht="27" customHeight="1" thickBot="1">
      <c r="A16" s="2265" t="s">
        <v>2954</v>
      </c>
      <c r="B16" s="2265"/>
      <c r="C16" s="2265"/>
      <c r="D16" s="2265"/>
      <c r="E16" s="2265"/>
      <c r="F16" s="2265"/>
      <c r="G16" s="2265"/>
      <c r="H16" s="2265"/>
      <c r="I16" s="2265"/>
      <c r="J16" s="2265"/>
      <c r="K16" s="2265"/>
      <c r="L16" s="2265"/>
      <c r="M16" s="2265"/>
      <c r="N16" s="2265"/>
      <c r="O16" s="2265"/>
      <c r="P16" s="2265"/>
      <c r="Q16" s="2265"/>
      <c r="R16" s="2265"/>
      <c r="S16" s="2265"/>
      <c r="T16" s="2265"/>
      <c r="U16" s="236"/>
      <c r="V16" s="132"/>
      <c r="W16" s="2341"/>
      <c r="X16" s="1965"/>
      <c r="Y16" s="311">
        <f>'03 食事申込書'!BT115</f>
        <v>0</v>
      </c>
      <c r="Z16" s="312">
        <f>'03 食事申込書'!BV115</f>
        <v>0</v>
      </c>
      <c r="AA16" s="1893">
        <f>'03 食事申込書'!BW115</f>
        <v>0</v>
      </c>
      <c r="AB16" s="1894"/>
      <c r="AC16" s="1894"/>
      <c r="AD16" s="517">
        <f t="shared" si="0"/>
        <v>0</v>
      </c>
      <c r="AE16" s="307">
        <f>'03 食事申込書'!BY115</f>
        <v>0</v>
      </c>
      <c r="AF16" s="1895"/>
      <c r="AG16" s="1896"/>
      <c r="AH16" s="1897"/>
      <c r="AI16" s="1907"/>
      <c r="AJ16" s="1896"/>
      <c r="AK16" s="1897"/>
      <c r="AL16" s="1907"/>
      <c r="AM16" s="1896"/>
      <c r="AN16" s="1897"/>
      <c r="AO16" s="1907"/>
      <c r="AP16" s="1896"/>
      <c r="AQ16" s="1897"/>
      <c r="AR16" s="1907"/>
      <c r="AS16" s="1896"/>
      <c r="AT16" s="1897"/>
      <c r="AU16" s="1890"/>
      <c r="AV16" s="1890"/>
      <c r="AW16" s="1890"/>
      <c r="AX16" s="1908"/>
      <c r="AY16" s="1908"/>
      <c r="AZ16" s="1909"/>
      <c r="BA16" s="310">
        <f>IF('03 食事申込書'!BY115=AF16+AL16+AI16+AO16+AR16+AU16+AX16,AD16*AE16,"人数を再確認！")</f>
        <v>0</v>
      </c>
      <c r="BB16" s="794" t="str">
        <f t="shared" si="1"/>
        <v/>
      </c>
      <c r="BC16" s="1024"/>
      <c r="BD16" s="1025"/>
      <c r="BE16" s="1026"/>
      <c r="BF16" s="1027"/>
      <c r="BG16" s="1027"/>
      <c r="BH16" s="1028"/>
      <c r="BI16" s="1029"/>
      <c r="BJ16" s="1030"/>
      <c r="BK16" s="1030"/>
      <c r="BL16" s="1030"/>
      <c r="BM16" s="1030"/>
      <c r="BN16" s="1030"/>
      <c r="BO16" s="1030"/>
      <c r="BP16" s="1030"/>
      <c r="BQ16" s="1030"/>
      <c r="BR16" s="1030"/>
      <c r="BS16" s="1031"/>
      <c r="BT16" s="1032"/>
      <c r="BU16" s="234"/>
      <c r="BV16" s="235"/>
      <c r="BW16" s="342"/>
      <c r="BX16" s="338"/>
      <c r="BY16" s="2341"/>
      <c r="BZ16" s="1965"/>
      <c r="CA16" s="311">
        <f>'03 食事申込書'!DQ115</f>
        <v>0</v>
      </c>
      <c r="CB16" s="312">
        <f>'03 食事申込書'!DS115</f>
        <v>0</v>
      </c>
      <c r="CC16" s="2141">
        <f>'03 食事申込書'!DT115</f>
        <v>0</v>
      </c>
      <c r="CD16" s="2142"/>
      <c r="CE16" s="2142"/>
      <c r="CF16" s="316">
        <f>IF(ISERROR(VLOOKUP(CC16,FA3:FB58,2,FALSE)),0,VLOOKUP(CC16,FA3:FB58,2,FALSE))</f>
        <v>0</v>
      </c>
      <c r="CG16" s="307">
        <f>'03 食事申込書'!DV115</f>
        <v>0</v>
      </c>
      <c r="CH16" s="1895"/>
      <c r="CI16" s="1896"/>
      <c r="CJ16" s="1897"/>
      <c r="CK16" s="1907"/>
      <c r="CL16" s="1896"/>
      <c r="CM16" s="1897"/>
      <c r="CN16" s="1907"/>
      <c r="CO16" s="1896"/>
      <c r="CP16" s="1897"/>
      <c r="CQ16" s="1907"/>
      <c r="CR16" s="1896"/>
      <c r="CS16" s="1897"/>
      <c r="CT16" s="1907"/>
      <c r="CU16" s="1896"/>
      <c r="CV16" s="1897"/>
      <c r="CW16" s="314"/>
      <c r="CX16" s="315"/>
      <c r="CY16" s="470">
        <f>IF('03 食事申込書'!DV115=CH16+CN16+CK16+CQ16+CT16+CW16+CX16,CF16*CG16,"人数を再確認！")</f>
        <v>0</v>
      </c>
      <c r="CZ16" s="8"/>
      <c r="DA16" s="6" t="s">
        <v>91</v>
      </c>
      <c r="DB16" s="6"/>
      <c r="DC16" s="952" t="s">
        <v>3053</v>
      </c>
      <c r="DD16" s="511">
        <v>220</v>
      </c>
      <c r="DE16" s="800"/>
      <c r="DF16" s="805"/>
      <c r="DG16" s="33"/>
      <c r="DH16" s="33"/>
      <c r="DI16" s="33"/>
      <c r="DJ16" s="33"/>
    </row>
    <row r="17" spans="1:114" ht="27" customHeight="1" thickTop="1" thickBot="1">
      <c r="A17" s="2265"/>
      <c r="B17" s="2265"/>
      <c r="C17" s="2265"/>
      <c r="D17" s="2265"/>
      <c r="E17" s="2265"/>
      <c r="F17" s="2265"/>
      <c r="G17" s="2265"/>
      <c r="H17" s="2265"/>
      <c r="I17" s="2265"/>
      <c r="J17" s="2265"/>
      <c r="K17" s="2265"/>
      <c r="L17" s="2265"/>
      <c r="M17" s="2265"/>
      <c r="N17" s="2265"/>
      <c r="O17" s="2265"/>
      <c r="P17" s="2265"/>
      <c r="Q17" s="2265"/>
      <c r="R17" s="2265"/>
      <c r="S17" s="2265"/>
      <c r="T17" s="2265"/>
      <c r="U17" s="664"/>
      <c r="V17" s="10"/>
      <c r="W17" s="2341"/>
      <c r="X17" s="1965"/>
      <c r="Y17" s="311">
        <f>'03 食事申込書'!BT116</f>
        <v>0</v>
      </c>
      <c r="Z17" s="312">
        <f>'03 食事申込書'!BV116</f>
        <v>0</v>
      </c>
      <c r="AA17" s="1893">
        <f>'03 食事申込書'!BW116</f>
        <v>0</v>
      </c>
      <c r="AB17" s="1894"/>
      <c r="AC17" s="1894"/>
      <c r="AD17" s="517">
        <f t="shared" si="0"/>
        <v>0</v>
      </c>
      <c r="AE17" s="307">
        <f>'03 食事申込書'!BY116</f>
        <v>0</v>
      </c>
      <c r="AF17" s="1895"/>
      <c r="AG17" s="1896"/>
      <c r="AH17" s="1897"/>
      <c r="AI17" s="1907"/>
      <c r="AJ17" s="1896"/>
      <c r="AK17" s="1897"/>
      <c r="AL17" s="1907"/>
      <c r="AM17" s="1896"/>
      <c r="AN17" s="1897"/>
      <c r="AO17" s="1907"/>
      <c r="AP17" s="1896"/>
      <c r="AQ17" s="1897"/>
      <c r="AR17" s="1907"/>
      <c r="AS17" s="1896"/>
      <c r="AT17" s="1897"/>
      <c r="AU17" s="1890"/>
      <c r="AV17" s="1890"/>
      <c r="AW17" s="1890"/>
      <c r="AX17" s="1908"/>
      <c r="AY17" s="1908"/>
      <c r="AZ17" s="1909"/>
      <c r="BA17" s="310">
        <f>IF('03 食事申込書'!BY116=AF17+AL17+AI17+AO17+AR17+AU17+AX17,AD17*AE17,"人数を再確認！")</f>
        <v>0</v>
      </c>
      <c r="BB17" s="794" t="str">
        <f t="shared" si="1"/>
        <v/>
      </c>
      <c r="BC17" s="2348" t="s">
        <v>3144</v>
      </c>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343"/>
      <c r="BY17" s="2341"/>
      <c r="BZ17" s="1965"/>
      <c r="CA17" s="311">
        <f>'03 食事申込書'!DQ116</f>
        <v>0</v>
      </c>
      <c r="CB17" s="312">
        <f>'03 食事申込書'!DS116</f>
        <v>0</v>
      </c>
      <c r="CC17" s="2141">
        <f>'03 食事申込書'!DT116</f>
        <v>0</v>
      </c>
      <c r="CD17" s="2142"/>
      <c r="CE17" s="2142"/>
      <c r="CF17" s="317">
        <f>IF(ISERROR(VLOOKUP(CC17,FA3:FB58,2,FALSE)),0,VLOOKUP(CC17,FA3:FB58,2,FALSE))</f>
        <v>0</v>
      </c>
      <c r="CG17" s="307">
        <f>'03 食事申込書'!DV116</f>
        <v>0</v>
      </c>
      <c r="CH17" s="1895"/>
      <c r="CI17" s="1896"/>
      <c r="CJ17" s="1897"/>
      <c r="CK17" s="1907"/>
      <c r="CL17" s="1896"/>
      <c r="CM17" s="1897"/>
      <c r="CN17" s="1907"/>
      <c r="CO17" s="1896"/>
      <c r="CP17" s="1897"/>
      <c r="CQ17" s="1907"/>
      <c r="CR17" s="1896"/>
      <c r="CS17" s="1897"/>
      <c r="CT17" s="1907"/>
      <c r="CU17" s="1896"/>
      <c r="CV17" s="1897"/>
      <c r="CW17" s="314"/>
      <c r="CX17" s="315"/>
      <c r="CY17" s="470">
        <f>IF('03 食事申込書'!DV116=CH17+CN17+CK17+CQ17+CT17+CW17+CX17,CF17*CG17,"人数を再確認！")</f>
        <v>0</v>
      </c>
      <c r="CZ17" s="6"/>
      <c r="DA17" s="6" t="s">
        <v>92</v>
      </c>
      <c r="DB17" s="6"/>
      <c r="DC17" s="953" t="s">
        <v>3054</v>
      </c>
      <c r="DD17" s="511">
        <v>220</v>
      </c>
      <c r="DE17" s="800"/>
      <c r="DF17" s="805"/>
      <c r="DG17" s="33"/>
      <c r="DH17" s="33"/>
      <c r="DI17" s="33"/>
      <c r="DJ17" s="33"/>
    </row>
    <row r="18" spans="1:114" ht="27" customHeight="1">
      <c r="A18" s="2265"/>
      <c r="B18" s="2265"/>
      <c r="C18" s="2265"/>
      <c r="D18" s="2265"/>
      <c r="E18" s="2265"/>
      <c r="F18" s="2265"/>
      <c r="G18" s="2265"/>
      <c r="H18" s="2265"/>
      <c r="I18" s="2265"/>
      <c r="J18" s="2265"/>
      <c r="K18" s="2265"/>
      <c r="L18" s="2265"/>
      <c r="M18" s="2265"/>
      <c r="N18" s="2265"/>
      <c r="O18" s="2265"/>
      <c r="P18" s="2265"/>
      <c r="Q18" s="2265"/>
      <c r="R18" s="2265"/>
      <c r="S18" s="2265"/>
      <c r="T18" s="2265"/>
      <c r="U18" s="664"/>
      <c r="V18" s="10"/>
      <c r="W18" s="2341"/>
      <c r="X18" s="1965"/>
      <c r="Y18" s="311">
        <f>'03 食事申込書'!BT117</f>
        <v>0</v>
      </c>
      <c r="Z18" s="312">
        <f>'03 食事申込書'!BV117</f>
        <v>0</v>
      </c>
      <c r="AA18" s="1893">
        <f>'03 食事申込書'!BW117</f>
        <v>0</v>
      </c>
      <c r="AB18" s="1894"/>
      <c r="AC18" s="1894"/>
      <c r="AD18" s="517">
        <f t="shared" si="0"/>
        <v>0</v>
      </c>
      <c r="AE18" s="307">
        <f>'03 食事申込書'!BY117</f>
        <v>0</v>
      </c>
      <c r="AF18" s="1895"/>
      <c r="AG18" s="1896"/>
      <c r="AH18" s="1897"/>
      <c r="AI18" s="1907"/>
      <c r="AJ18" s="1896"/>
      <c r="AK18" s="1897"/>
      <c r="AL18" s="1907"/>
      <c r="AM18" s="1896"/>
      <c r="AN18" s="1897"/>
      <c r="AO18" s="1907"/>
      <c r="AP18" s="1896"/>
      <c r="AQ18" s="1897"/>
      <c r="AR18" s="1907"/>
      <c r="AS18" s="1896"/>
      <c r="AT18" s="1897"/>
      <c r="AU18" s="1890"/>
      <c r="AV18" s="1890"/>
      <c r="AW18" s="1890"/>
      <c r="AX18" s="1908"/>
      <c r="AY18" s="1908"/>
      <c r="AZ18" s="1909"/>
      <c r="BA18" s="310">
        <f>IF('03 食事申込書'!BY117=AF18+AL18+AI18+AO18+AR18+AU18+AX18,AD18*AE18,"人数を再確認！")</f>
        <v>0</v>
      </c>
      <c r="BB18" s="794" t="str">
        <f t="shared" si="1"/>
        <v/>
      </c>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343"/>
      <c r="BY18" s="2341"/>
      <c r="BZ18" s="1965"/>
      <c r="CA18" s="311">
        <f>'03 食事申込書'!DQ117</f>
        <v>0</v>
      </c>
      <c r="CB18" s="312">
        <f>'03 食事申込書'!DS117</f>
        <v>0</v>
      </c>
      <c r="CC18" s="2141">
        <f>'03 食事申込書'!DT117</f>
        <v>0</v>
      </c>
      <c r="CD18" s="2142"/>
      <c r="CE18" s="2142"/>
      <c r="CF18" s="317">
        <f>IF(ISERROR(VLOOKUP(CC18,FA3:FB58,2,FALSE)),0,VLOOKUP(CC18,FA3:FB58,2,FALSE))</f>
        <v>0</v>
      </c>
      <c r="CG18" s="307">
        <f>'03 食事申込書'!DV117</f>
        <v>0</v>
      </c>
      <c r="CH18" s="1895"/>
      <c r="CI18" s="1896"/>
      <c r="CJ18" s="1897"/>
      <c r="CK18" s="1907"/>
      <c r="CL18" s="1896"/>
      <c r="CM18" s="1897"/>
      <c r="CN18" s="1907"/>
      <c r="CO18" s="1896"/>
      <c r="CP18" s="1897"/>
      <c r="CQ18" s="1907"/>
      <c r="CR18" s="1896"/>
      <c r="CS18" s="1897"/>
      <c r="CT18" s="1907"/>
      <c r="CU18" s="1896"/>
      <c r="CV18" s="1897"/>
      <c r="CW18" s="314"/>
      <c r="CX18" s="315"/>
      <c r="CY18" s="470">
        <f>IF('03 食事申込書'!DV117=CH18+CN18+CK18+CQ18+CT18+CW18+CX18,CF18*CG18,"人数を再確認！")</f>
        <v>0</v>
      </c>
      <c r="CZ18" s="6"/>
      <c r="DA18" s="6" t="s">
        <v>93</v>
      </c>
      <c r="DB18" s="6"/>
      <c r="DC18" s="965" t="s">
        <v>3045</v>
      </c>
      <c r="DD18" s="511">
        <v>110</v>
      </c>
      <c r="DE18" s="800"/>
      <c r="DF18" s="805"/>
      <c r="DG18" s="33"/>
      <c r="DH18" s="33"/>
      <c r="DI18" s="33"/>
      <c r="DJ18" s="33"/>
    </row>
    <row r="19" spans="1:114" ht="27" customHeight="1" thickBot="1">
      <c r="A19" s="2265"/>
      <c r="B19" s="2265"/>
      <c r="C19" s="2265"/>
      <c r="D19" s="2265"/>
      <c r="E19" s="2265"/>
      <c r="F19" s="2265"/>
      <c r="G19" s="2265"/>
      <c r="H19" s="2265"/>
      <c r="I19" s="2265"/>
      <c r="J19" s="2265"/>
      <c r="K19" s="2265"/>
      <c r="L19" s="2265"/>
      <c r="M19" s="2265"/>
      <c r="N19" s="2265"/>
      <c r="O19" s="2265"/>
      <c r="P19" s="2265"/>
      <c r="Q19" s="2265"/>
      <c r="R19" s="2265"/>
      <c r="S19" s="2265"/>
      <c r="T19" s="2265"/>
      <c r="U19" s="664"/>
      <c r="V19" s="10"/>
      <c r="W19" s="2341"/>
      <c r="X19" s="1965"/>
      <c r="Y19" s="311">
        <f>'03 食事申込書'!BT118</f>
        <v>0</v>
      </c>
      <c r="Z19" s="312">
        <f>'03 食事申込書'!BV118</f>
        <v>0</v>
      </c>
      <c r="AA19" s="1893">
        <f>'03 食事申込書'!BW118</f>
        <v>0</v>
      </c>
      <c r="AB19" s="1894"/>
      <c r="AC19" s="1894"/>
      <c r="AD19" s="517">
        <f t="shared" si="0"/>
        <v>0</v>
      </c>
      <c r="AE19" s="307">
        <f>'03 食事申込書'!BY118</f>
        <v>0</v>
      </c>
      <c r="AF19" s="1895"/>
      <c r="AG19" s="1896"/>
      <c r="AH19" s="1897"/>
      <c r="AI19" s="1907"/>
      <c r="AJ19" s="1896"/>
      <c r="AK19" s="1897"/>
      <c r="AL19" s="1907"/>
      <c r="AM19" s="1896"/>
      <c r="AN19" s="1897"/>
      <c r="AO19" s="1907"/>
      <c r="AP19" s="1896"/>
      <c r="AQ19" s="1897"/>
      <c r="AR19" s="1907"/>
      <c r="AS19" s="1896"/>
      <c r="AT19" s="1897"/>
      <c r="AU19" s="1890"/>
      <c r="AV19" s="1890"/>
      <c r="AW19" s="1890"/>
      <c r="AX19" s="1908"/>
      <c r="AY19" s="1908"/>
      <c r="AZ19" s="1909"/>
      <c r="BA19" s="310">
        <f>IF('03 食事申込書'!BY118=AF19+AL19+AI19+AO19+AR19+AU19+AX19,AD19*AE19,"人数を再確認！")</f>
        <v>0</v>
      </c>
      <c r="BB19" s="794" t="str">
        <f t="shared" si="1"/>
        <v/>
      </c>
      <c r="BC19" s="2348"/>
      <c r="BD19" s="2348"/>
      <c r="BE19" s="2348"/>
      <c r="BF19" s="2348"/>
      <c r="BG19" s="2348"/>
      <c r="BH19" s="2348"/>
      <c r="BI19" s="2348"/>
      <c r="BJ19" s="2348"/>
      <c r="BK19" s="2348"/>
      <c r="BL19" s="2348"/>
      <c r="BM19" s="2348"/>
      <c r="BN19" s="2348"/>
      <c r="BO19" s="2348"/>
      <c r="BP19" s="2348"/>
      <c r="BQ19" s="2348"/>
      <c r="BR19" s="2348"/>
      <c r="BS19" s="2348"/>
      <c r="BT19" s="2348"/>
      <c r="BU19" s="2348"/>
      <c r="BV19" s="2348"/>
      <c r="BW19" s="2348"/>
      <c r="BX19" s="343"/>
      <c r="BY19" s="2341"/>
      <c r="BZ19" s="1965"/>
      <c r="CA19" s="311">
        <f>'03 食事申込書'!DQ118</f>
        <v>0</v>
      </c>
      <c r="CB19" s="312">
        <f>'03 食事申込書'!DS118</f>
        <v>0</v>
      </c>
      <c r="CC19" s="2141">
        <f>'03 食事申込書'!DT118</f>
        <v>0</v>
      </c>
      <c r="CD19" s="2142"/>
      <c r="CE19" s="2142"/>
      <c r="CF19" s="313">
        <f>IF(ISERROR(VLOOKUP(CC19,FA3:FB58,2,FALSE)),0,VLOOKUP(CC19,FA3:FB58,2,FALSE))</f>
        <v>0</v>
      </c>
      <c r="CG19" s="307">
        <f>'03 食事申込書'!DV118</f>
        <v>0</v>
      </c>
      <c r="CH19" s="1895"/>
      <c r="CI19" s="1896"/>
      <c r="CJ19" s="1897"/>
      <c r="CK19" s="1907"/>
      <c r="CL19" s="1896"/>
      <c r="CM19" s="1897"/>
      <c r="CN19" s="1907"/>
      <c r="CO19" s="1896"/>
      <c r="CP19" s="1897"/>
      <c r="CQ19" s="1907"/>
      <c r="CR19" s="1896"/>
      <c r="CS19" s="1897"/>
      <c r="CT19" s="1907"/>
      <c r="CU19" s="1896"/>
      <c r="CV19" s="1897"/>
      <c r="CW19" s="314"/>
      <c r="CX19" s="315"/>
      <c r="CY19" s="470">
        <f>IF('03 食事申込書'!DV118=CH19+CN19+CK19+CQ19+CT19+CW19+CX19,CF19*CG19,"人数を再確認！")</f>
        <v>0</v>
      </c>
      <c r="CZ19" s="6"/>
      <c r="DA19" s="6"/>
      <c r="DB19" s="6"/>
      <c r="DC19" s="953" t="s">
        <v>3055</v>
      </c>
      <c r="DD19" s="511">
        <v>220</v>
      </c>
      <c r="DE19" s="800"/>
      <c r="DF19" s="6"/>
      <c r="DG19" s="33"/>
      <c r="DH19" s="33"/>
      <c r="DI19" s="33"/>
      <c r="DJ19" s="33"/>
    </row>
    <row r="20" spans="1:114" ht="27" customHeight="1" thickBot="1">
      <c r="A20" s="673"/>
      <c r="B20" s="673"/>
      <c r="C20" s="673"/>
      <c r="D20" s="673"/>
      <c r="E20" s="673"/>
      <c r="F20" s="673"/>
      <c r="G20" s="673"/>
      <c r="H20" s="673"/>
      <c r="I20" s="673"/>
      <c r="J20" s="673"/>
      <c r="K20" s="673"/>
      <c r="L20" s="673"/>
      <c r="M20" s="673"/>
      <c r="N20" s="673"/>
      <c r="O20" s="673"/>
      <c r="P20" s="673"/>
      <c r="Q20" s="673"/>
      <c r="R20" s="673"/>
      <c r="S20" s="673"/>
      <c r="T20" s="673"/>
      <c r="U20" s="673"/>
      <c r="V20" s="10"/>
      <c r="W20" s="2341"/>
      <c r="X20" s="1965"/>
      <c r="Y20" s="518">
        <f>'03 食事申込書'!BT119</f>
        <v>0</v>
      </c>
      <c r="Z20" s="519">
        <f>'03 食事申込書'!BV119</f>
        <v>0</v>
      </c>
      <c r="AA20" s="2258">
        <f>'03 食事申込書'!BW119</f>
        <v>0</v>
      </c>
      <c r="AB20" s="2259"/>
      <c r="AC20" s="2259"/>
      <c r="AD20" s="517">
        <f t="shared" si="0"/>
        <v>0</v>
      </c>
      <c r="AE20" s="535">
        <f>'03 食事申込書'!BY119</f>
        <v>0</v>
      </c>
      <c r="AF20" s="2295"/>
      <c r="AG20" s="1970"/>
      <c r="AH20" s="1971"/>
      <c r="AI20" s="1969"/>
      <c r="AJ20" s="1970"/>
      <c r="AK20" s="1971"/>
      <c r="AL20" s="1969"/>
      <c r="AM20" s="1970"/>
      <c r="AN20" s="1971"/>
      <c r="AO20" s="1969"/>
      <c r="AP20" s="1970"/>
      <c r="AQ20" s="1971"/>
      <c r="AR20" s="1969"/>
      <c r="AS20" s="1970"/>
      <c r="AT20" s="1971"/>
      <c r="AU20" s="1928"/>
      <c r="AV20" s="1928"/>
      <c r="AW20" s="1928"/>
      <c r="AX20" s="1975"/>
      <c r="AY20" s="1975"/>
      <c r="AZ20" s="1976"/>
      <c r="BA20" s="310">
        <f>IF('03 食事申込書'!BY119=AF20+AL20+AI20+AO20+AR20+AU20+AX20,AD20*AE20,"人数を再確認！")</f>
        <v>0</v>
      </c>
      <c r="BB20" s="794" t="str">
        <f t="shared" si="1"/>
        <v/>
      </c>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343"/>
      <c r="BY20" s="2341"/>
      <c r="BZ20" s="1965"/>
      <c r="CA20" s="318">
        <f>'03 食事申込書'!DQ119</f>
        <v>0</v>
      </c>
      <c r="CB20" s="319">
        <f>'03 食事申込書'!DS119</f>
        <v>0</v>
      </c>
      <c r="CC20" s="2162">
        <f>'03 食事申込書'!DT119</f>
        <v>0</v>
      </c>
      <c r="CD20" s="2163"/>
      <c r="CE20" s="2163"/>
      <c r="CF20" s="320">
        <f>IF(ISERROR(VLOOKUP(CC20,FA3:FB58,2,FALSE)),0,VLOOKUP(CC20,FA3:FB58,2,FALSE))</f>
        <v>0</v>
      </c>
      <c r="CG20" s="321">
        <f>'03 食事申込書'!DV119</f>
        <v>0</v>
      </c>
      <c r="CH20" s="1895"/>
      <c r="CI20" s="1896"/>
      <c r="CJ20" s="1897"/>
      <c r="CK20" s="1907"/>
      <c r="CL20" s="1896"/>
      <c r="CM20" s="1897"/>
      <c r="CN20" s="1907"/>
      <c r="CO20" s="1896"/>
      <c r="CP20" s="1897"/>
      <c r="CQ20" s="1907"/>
      <c r="CR20" s="1896"/>
      <c r="CS20" s="1897"/>
      <c r="CT20" s="1907"/>
      <c r="CU20" s="1896"/>
      <c r="CV20" s="1897"/>
      <c r="CW20" s="314"/>
      <c r="CX20" s="315"/>
      <c r="CY20" s="471">
        <f>IF('03 食事申込書'!DV119=CH20+CN20+CK20+CQ20+CT20+CW20+CX20,CF20*CG20,"人数を再確認！")</f>
        <v>0</v>
      </c>
      <c r="CZ20" s="1898" t="s">
        <v>3013</v>
      </c>
      <c r="DA20" s="1898"/>
      <c r="DB20" s="6"/>
      <c r="DC20" s="809"/>
      <c r="DD20" s="810"/>
      <c r="DE20" s="800"/>
      <c r="DF20" s="805"/>
      <c r="DG20" s="33"/>
      <c r="DH20" s="33"/>
      <c r="DI20" s="33"/>
      <c r="DJ20" s="33"/>
    </row>
    <row r="21" spans="1:114" ht="27" customHeight="1" thickTop="1" thickBot="1">
      <c r="A21" s="2132" t="s">
        <v>2960</v>
      </c>
      <c r="B21" s="1987" t="s">
        <v>157</v>
      </c>
      <c r="C21" s="1988"/>
      <c r="D21" s="1988"/>
      <c r="E21" s="1988"/>
      <c r="F21" s="1988"/>
      <c r="G21" s="1989"/>
      <c r="H21" s="237" t="s">
        <v>122</v>
      </c>
      <c r="I21" s="1993" t="s">
        <v>123</v>
      </c>
      <c r="J21" s="2188" t="s">
        <v>1216</v>
      </c>
      <c r="K21" s="2189"/>
      <c r="L21" s="238" t="s">
        <v>1215</v>
      </c>
      <c r="M21" s="239" t="s">
        <v>1214</v>
      </c>
      <c r="N21" s="240" t="s">
        <v>158</v>
      </c>
      <c r="O21" s="240" t="s">
        <v>1217</v>
      </c>
      <c r="P21" s="2342" t="s">
        <v>3220</v>
      </c>
      <c r="Q21" s="2343"/>
      <c r="R21" s="1995"/>
      <c r="S21" s="1996"/>
      <c r="T21" s="2087" t="s">
        <v>124</v>
      </c>
      <c r="U21" s="2088"/>
      <c r="V21" s="10"/>
      <c r="W21" s="2341"/>
      <c r="X21" s="1966"/>
      <c r="Y21" s="2255" t="s">
        <v>1226</v>
      </c>
      <c r="Z21" s="2256"/>
      <c r="AA21" s="2256"/>
      <c r="AB21" s="2256"/>
      <c r="AC21" s="2256"/>
      <c r="AD21" s="2256"/>
      <c r="AE21" s="2257"/>
      <c r="AF21" s="1929">
        <f>AF5*AD5+AF6*AD6+AF7*AD7+AF8*AD8+AF9*AD9+AF10*AD10+AF11*AD11+AF12*AD12+AF13*AD13+AF14*AD14+AF15*AD15+AF16*AD16+AF17*AD17+AF18*AD18+AF19*AD19+AF20*AD20</f>
        <v>0</v>
      </c>
      <c r="AG21" s="1930"/>
      <c r="AH21" s="1931"/>
      <c r="AI21" s="1929">
        <f>AI5*AD5+AI6*AD6+AI7*AD7+AI8*AD8+AI9*AD9+AI10*AD10+AI11*AD11+AI12*AD12+AI13*AD13+AI14*AD14+AI15*AD15+AI16*AD16+AI17*AD17+AI18*AD18+AI19*AD19+AI20*AD20</f>
        <v>0</v>
      </c>
      <c r="AJ21" s="1930"/>
      <c r="AK21" s="1931"/>
      <c r="AL21" s="1929">
        <f>AL5*$AD$5+AL6*$AD$6+AL7*$AD$7+AL8*$AD$8+AL9*$AD$9+AL10*$AD$10+AL11*$AD$11+AL12*$AD$12+AL13*$AD$13+AL14*$AD$14+AL15*$AD$15+AL16*$AD$16+AL17*$AD$17+AL18*$AD$18+AL19*$AD$19+AL20*$AD$20</f>
        <v>0</v>
      </c>
      <c r="AM21" s="1930"/>
      <c r="AN21" s="1931"/>
      <c r="AO21" s="1929">
        <f>AO5*$AD$5+AO6*$AD$6+AO7*$AD$7+AO8*$AD$8+AO9*$AD$9+AO10*$AD$10+AO11*$AD$11+AO12*$AD$12+AO13*$AD$13+AO14*$AD$14+AO15*$AD$15+AO16*$AD$16+AO17*$AD$17+AO18*$AD$18+AO19*$AD$19+AO20*$AD$20</f>
        <v>0</v>
      </c>
      <c r="AP21" s="1930"/>
      <c r="AQ21" s="1931"/>
      <c r="AR21" s="1929">
        <f>AR5*$AD$5+AR6*$AD$6+AR7*$AD$7+AR8*$AD$8+AR9*$AD$9+AR10*$AD$10+AR11*$AD$11+AR12*$AD$12+AR13*$AD$13+AR14*$AD$14+AR15*$AD$15+AR16*$AD$16+AR17*$AD$17+AR18*$AD$18+AR19*$AD$19+AR20*$AD$20</f>
        <v>0</v>
      </c>
      <c r="AS21" s="1930"/>
      <c r="AT21" s="1931"/>
      <c r="AU21" s="1900">
        <f>AU5*$AD$5+AU6*$AD$6+AU7*$AD$7+AU8*$AD$8+AU9*$AD$9+AU10*$AD$10+AU11*$AD$11+AU12*$AD$12+AU13*$AD$13+AU14*$AD$14+AU15*$AD$15+AU16*$AD$16+AU17*$AD$17+AU18*$AD$18+AU19*$AD$19+AU20*$AD$20</f>
        <v>0</v>
      </c>
      <c r="AV21" s="1901"/>
      <c r="AW21" s="1902"/>
      <c r="AX21" s="1900">
        <f>AX5*$AD$5+AX6*$AD$6+AX7*$AD$7+AX8*$AD$8+AX9*$AD$9+AX10*$AD$10+AX11*$AD$11+AX12*$AD$12+AX13*$AD$13+AX14*$AD$14+AX15*$AD$15+AX16*$AD$16+AX17*$AD$17+AX18*$AD$18+AX19*$AD$19+AX20*$AD$20</f>
        <v>0</v>
      </c>
      <c r="AY21" s="1901"/>
      <c r="AZ21" s="1902"/>
      <c r="BA21" s="421">
        <f>IF(COUNTIF(BA5:BA20,"人数を再確認！"),"人数を再確認！",SUM(BA5:BA20))</f>
        <v>0</v>
      </c>
      <c r="BB21" s="795"/>
      <c r="BC21" s="2132" t="s">
        <v>1227</v>
      </c>
      <c r="BD21" s="1987" t="s">
        <v>157</v>
      </c>
      <c r="BE21" s="1988"/>
      <c r="BF21" s="1988"/>
      <c r="BG21" s="1988"/>
      <c r="BH21" s="1988"/>
      <c r="BI21" s="1989"/>
      <c r="BJ21" s="237" t="s">
        <v>122</v>
      </c>
      <c r="BK21" s="1993" t="s">
        <v>123</v>
      </c>
      <c r="BL21" s="2188" t="s">
        <v>1216</v>
      </c>
      <c r="BM21" s="2189"/>
      <c r="BN21" s="238" t="s">
        <v>1215</v>
      </c>
      <c r="BO21" s="239" t="s">
        <v>1214</v>
      </c>
      <c r="BP21" s="240" t="s">
        <v>158</v>
      </c>
      <c r="BQ21" s="240" t="s">
        <v>1217</v>
      </c>
      <c r="BR21" s="1995" t="s">
        <v>3147</v>
      </c>
      <c r="BS21" s="1996"/>
      <c r="BT21" s="1995"/>
      <c r="BU21" s="1996"/>
      <c r="BV21" s="2087" t="s">
        <v>124</v>
      </c>
      <c r="BW21" s="2088"/>
      <c r="BX21" s="338"/>
      <c r="BY21" s="2341"/>
      <c r="BZ21" s="1966"/>
      <c r="CA21" s="2255" t="s">
        <v>1226</v>
      </c>
      <c r="CB21" s="2256"/>
      <c r="CC21" s="2256"/>
      <c r="CD21" s="2256"/>
      <c r="CE21" s="2256"/>
      <c r="CF21" s="2256"/>
      <c r="CG21" s="2257"/>
      <c r="CH21" s="2100">
        <f>CH5*CF5+CH6*CF6+CH7*CF7+CH8*CF8+CH9*CF9+CH10*CF10+CH11*CF11+CH12*CF12+CH13*CF13+CH14*CF14+CH15*CF15+CH16*CF16+CH17*CF17+CH18*CF18+CH19*CF19+CH20*CF20</f>
        <v>327000</v>
      </c>
      <c r="CI21" s="2101"/>
      <c r="CJ21" s="2102"/>
      <c r="CK21" s="2100">
        <f>CK5*CF5+CK6*CF6+CK7*CF7+CK8*CF8+CK9*CF9+CK10*CF10+CK11*CF11+CK12*CF12+CK13*CF13+CK14*CF14+CK15*CF15+CK16*CF16+CK17*CF17+CK18*CF18+CK19*CF19+CK20*CF20</f>
        <v>26880</v>
      </c>
      <c r="CL21" s="2101"/>
      <c r="CM21" s="2102"/>
      <c r="CN21" s="2100">
        <f>CN5*$AD$5+CN6*$AD$6+CN7*$AD$7+CN8*$AD$8+CN9*$AD$9+CN10*$AD$10+CN11*$AD$11+CN12*$AD$12+CN13*$AD$13+CN14*$AD$14+CN15*$AD$15+CN16*$AD$16+CN17*$AD$17+CN18*$AD$18+CN19*$AD$19+CN20*$AD$20</f>
        <v>0</v>
      </c>
      <c r="CO21" s="2101"/>
      <c r="CP21" s="2102"/>
      <c r="CQ21" s="2100">
        <f>CQ5*$AD$5+CQ6*$AD$6+CQ7*$AD$7+CQ8*$AD$8+CQ9*$AD$9+CQ10*$AD$10+CQ11*$AD$11+CQ12*$AD$12+CQ13*$AD$13+CQ14*$AD$14+CQ15*$AD$15+CQ16*$AD$16+CQ17*$AD$17+CQ18*$AD$18+CQ19*$AD$19+CQ20*$AD$20</f>
        <v>0</v>
      </c>
      <c r="CR21" s="2101"/>
      <c r="CS21" s="2102"/>
      <c r="CT21" s="2100">
        <f>CT5*$AD$5+CT6*$AD$6+CT7*$AD$7+CT8*$AD$8+CT9*$AD$9+CT10*$AD$10+CT11*$AD$11+CT12*$AD$12+CT13*$AD$13+CT14*$AD$14+CT15*$AD$15+CT16*$AD$16+CT17*$AD$17+CT18*$AD$18+CT19*$AD$19+CT20*$AD$20</f>
        <v>0</v>
      </c>
      <c r="CU21" s="2101"/>
      <c r="CV21" s="2102"/>
      <c r="CW21" s="322">
        <f>CW5*$AD$5+CW6*$AD$6+CW7*$AD$7+CW8*$AD$8+CW9*$AD$9+CW10*$AD$10+CW11*$AD$11+CW12*$AD$12+CW13*$AD$13+CW14*$AD$14+CW15*$AD$15+CW16*$AD$16+CW17*$AD$17+CW18*$AD$18+CW19*$AD$19+CW20*$AD$20</f>
        <v>0</v>
      </c>
      <c r="CX21" s="322">
        <f>CX5*$AD$5+CX6*$AD$6+CX7*$AD$7+CX8*$AD$8+CX9*$AD$9+CX10*$AD$10+CX11*$AD$11+CX12*$AD$12+CX13*$AD$13+CX14*$AD$14+CX15*$AD$15+CX16*$AD$16+CX17*$AD$17+CX18*$AD$18+CX19*$AD$19+CX20*$AD$20</f>
        <v>0</v>
      </c>
      <c r="CY21" s="472">
        <f>SUM(CY5:CY20)</f>
        <v>281640</v>
      </c>
      <c r="CZ21" s="6" t="s">
        <v>40</v>
      </c>
      <c r="DA21" s="6">
        <f>'04 利用者名簿'!G34+'04 利用者名簿'!I34</f>
        <v>0</v>
      </c>
      <c r="DB21" s="6"/>
      <c r="DC21" s="809"/>
      <c r="DD21" s="810"/>
      <c r="DE21" s="800"/>
      <c r="DF21" s="805"/>
      <c r="DG21" s="33"/>
      <c r="DH21" s="33"/>
      <c r="DI21" s="33"/>
      <c r="DJ21" s="33"/>
    </row>
    <row r="22" spans="1:114" ht="27" customHeight="1" thickTop="1" thickBot="1">
      <c r="A22" s="2133"/>
      <c r="B22" s="1990"/>
      <c r="C22" s="1991"/>
      <c r="D22" s="1991"/>
      <c r="E22" s="1991"/>
      <c r="F22" s="1991"/>
      <c r="G22" s="1992"/>
      <c r="H22" s="241" t="s">
        <v>132</v>
      </c>
      <c r="I22" s="1994"/>
      <c r="J22" s="1989" t="s">
        <v>159</v>
      </c>
      <c r="K22" s="2193"/>
      <c r="L22" s="237" t="s">
        <v>133</v>
      </c>
      <c r="M22" s="237" t="s">
        <v>1218</v>
      </c>
      <c r="N22" s="237" t="s">
        <v>160</v>
      </c>
      <c r="O22" s="237" t="s">
        <v>133</v>
      </c>
      <c r="P22" s="2193" t="s">
        <v>3221</v>
      </c>
      <c r="Q22" s="2193"/>
      <c r="R22" s="2193"/>
      <c r="S22" s="2193"/>
      <c r="T22" s="2194" t="s">
        <v>135</v>
      </c>
      <c r="U22" s="2195"/>
      <c r="V22" s="10"/>
      <c r="W22" s="2234" t="s">
        <v>2953</v>
      </c>
      <c r="X22" s="2129" t="s">
        <v>162</v>
      </c>
      <c r="Y22" s="2177" t="s">
        <v>163</v>
      </c>
      <c r="Z22" s="2178"/>
      <c r="AA22" s="2178"/>
      <c r="AB22" s="2178"/>
      <c r="AC22" s="2179"/>
      <c r="AD22" s="332">
        <v>380</v>
      </c>
      <c r="AE22" s="323">
        <f>I37</f>
        <v>0</v>
      </c>
      <c r="AF22" s="2294"/>
      <c r="AG22" s="1903"/>
      <c r="AH22" s="1903"/>
      <c r="AI22" s="1903"/>
      <c r="AJ22" s="1903"/>
      <c r="AK22" s="1903"/>
      <c r="AL22" s="1903"/>
      <c r="AM22" s="1903"/>
      <c r="AN22" s="1903"/>
      <c r="AO22" s="1960"/>
      <c r="AP22" s="1960"/>
      <c r="AQ22" s="1960"/>
      <c r="AR22" s="1903"/>
      <c r="AS22" s="1903"/>
      <c r="AT22" s="1903"/>
      <c r="AU22" s="1903"/>
      <c r="AV22" s="1903"/>
      <c r="AW22" s="1903"/>
      <c r="AX22" s="1903"/>
      <c r="AY22" s="1903"/>
      <c r="AZ22" s="1974"/>
      <c r="BA22" s="324">
        <f t="shared" ref="BA22:BA30" si="2">IF(AE22=AF22+AI22+AR22+AL22+AO22+AU22+AX22,AE22*AD22,"数量を再確認！")</f>
        <v>0</v>
      </c>
      <c r="BB22" s="798" t="s">
        <v>2982</v>
      </c>
      <c r="BC22" s="2133"/>
      <c r="BD22" s="1990"/>
      <c r="BE22" s="1991"/>
      <c r="BF22" s="1991"/>
      <c r="BG22" s="1991"/>
      <c r="BH22" s="1991"/>
      <c r="BI22" s="1992"/>
      <c r="BJ22" s="241" t="s">
        <v>132</v>
      </c>
      <c r="BK22" s="1994"/>
      <c r="BL22" s="1989" t="s">
        <v>134</v>
      </c>
      <c r="BM22" s="2193"/>
      <c r="BN22" s="237" t="s">
        <v>133</v>
      </c>
      <c r="BO22" s="237" t="s">
        <v>1218</v>
      </c>
      <c r="BP22" s="237" t="s">
        <v>134</v>
      </c>
      <c r="BQ22" s="237" t="s">
        <v>133</v>
      </c>
      <c r="BR22" s="2193" t="s">
        <v>134</v>
      </c>
      <c r="BS22" s="2193"/>
      <c r="BT22" s="2193" t="s">
        <v>134</v>
      </c>
      <c r="BU22" s="2193"/>
      <c r="BV22" s="2194" t="s">
        <v>135</v>
      </c>
      <c r="BW22" s="2195"/>
      <c r="BX22" s="338"/>
      <c r="BY22" s="2234" t="s">
        <v>2953</v>
      </c>
      <c r="BZ22" s="2129" t="s">
        <v>162</v>
      </c>
      <c r="CA22" s="2177" t="s">
        <v>163</v>
      </c>
      <c r="CB22" s="2178"/>
      <c r="CC22" s="2178"/>
      <c r="CD22" s="2178"/>
      <c r="CE22" s="2179"/>
      <c r="CF22" s="332">
        <v>380</v>
      </c>
      <c r="CG22" s="323">
        <f>BK37</f>
        <v>108</v>
      </c>
      <c r="CH22" s="1927">
        <v>100</v>
      </c>
      <c r="CI22" s="1905"/>
      <c r="CJ22" s="1906"/>
      <c r="CK22" s="1904">
        <v>8</v>
      </c>
      <c r="CL22" s="1905"/>
      <c r="CM22" s="1906"/>
      <c r="CN22" s="1907"/>
      <c r="CO22" s="1896"/>
      <c r="CP22" s="1897"/>
      <c r="CQ22" s="1907"/>
      <c r="CR22" s="1896"/>
      <c r="CS22" s="1897"/>
      <c r="CT22" s="1907"/>
      <c r="CU22" s="1896"/>
      <c r="CV22" s="1897"/>
      <c r="CW22" s="314"/>
      <c r="CX22" s="315"/>
      <c r="CY22" s="324">
        <f>IF(CG22=CH22+CK22+CT22+CN22+CQ22+CW22+CX22,CG22*CF22,"数量を再確認！")</f>
        <v>41040</v>
      </c>
      <c r="CZ22" s="6" t="s">
        <v>39</v>
      </c>
      <c r="DA22" s="6">
        <f>'04 利用者名簿'!G35+'04 利用者名簿'!I35</f>
        <v>0</v>
      </c>
      <c r="DB22" s="6"/>
      <c r="DC22" s="809"/>
      <c r="DD22" s="810"/>
      <c r="DE22" s="800"/>
      <c r="DF22" s="805"/>
      <c r="DG22" s="7"/>
      <c r="DH22" s="6"/>
      <c r="DI22" s="33"/>
      <c r="DJ22" s="33"/>
    </row>
    <row r="23" spans="1:114" ht="27" customHeight="1" thickTop="1">
      <c r="A23" s="2133"/>
      <c r="B23" s="2241" t="s">
        <v>2951</v>
      </c>
      <c r="C23" s="2251" t="s">
        <v>396</v>
      </c>
      <c r="D23" s="2252"/>
      <c r="E23" s="2252"/>
      <c r="F23" s="2252"/>
      <c r="G23" s="2253"/>
      <c r="H23" s="242">
        <f>IF(ISERROR(VLOOKUP(C23,DG22:DH23,2,FALSE)),0,VLOOKUP(C23,DG22:DH23,2,FALSE))</f>
        <v>0</v>
      </c>
      <c r="I23" s="430">
        <f>'04 利用者名簿'!BP6+'04 利用者名簿'!BQ6</f>
        <v>0</v>
      </c>
      <c r="J23" s="2254"/>
      <c r="K23" s="2161"/>
      <c r="L23" s="244"/>
      <c r="M23" s="244"/>
      <c r="N23" s="244"/>
      <c r="O23" s="244"/>
      <c r="P23" s="2161"/>
      <c r="Q23" s="2161"/>
      <c r="R23" s="2161"/>
      <c r="S23" s="2263"/>
      <c r="T23" s="2183" t="str">
        <f>IF(I23=J23+L23+M23+N23+O23+P23+R23,"無料","人数を再確認！")</f>
        <v>無料</v>
      </c>
      <c r="U23" s="2184"/>
      <c r="V23" s="10"/>
      <c r="W23" s="2234"/>
      <c r="X23" s="2129"/>
      <c r="Y23" s="2174" t="s">
        <v>339</v>
      </c>
      <c r="Z23" s="2175"/>
      <c r="AA23" s="2175"/>
      <c r="AB23" s="2175"/>
      <c r="AC23" s="2176"/>
      <c r="AD23" s="333">
        <f>IF(ISERROR(VLOOKUP(Y23,DG3:DH15,2,FALSE)),0,VLOOKUP(Y23,DG3:DH15,2,FALSE))</f>
        <v>0</v>
      </c>
      <c r="AE23" s="325">
        <f t="shared" ref="AE23:AE31" si="3">SUM(AF23:AX23)</f>
        <v>0</v>
      </c>
      <c r="AF23" s="1889"/>
      <c r="AG23" s="1890"/>
      <c r="AH23" s="1890"/>
      <c r="AI23" s="1890"/>
      <c r="AJ23" s="1890"/>
      <c r="AK23" s="1890"/>
      <c r="AL23" s="1890"/>
      <c r="AM23" s="1890"/>
      <c r="AN23" s="1890"/>
      <c r="AO23" s="1890"/>
      <c r="AP23" s="1890"/>
      <c r="AQ23" s="1890"/>
      <c r="AR23" s="1890"/>
      <c r="AS23" s="1890"/>
      <c r="AT23" s="1890"/>
      <c r="AU23" s="1890"/>
      <c r="AV23" s="1890"/>
      <c r="AW23" s="1890"/>
      <c r="AX23" s="1890"/>
      <c r="AY23" s="1890"/>
      <c r="AZ23" s="1899"/>
      <c r="BA23" s="324">
        <f t="shared" si="2"/>
        <v>0</v>
      </c>
      <c r="BB23" s="799" t="str">
        <f>IFERROR(VLOOKUP(Y23,DG4:DI7,3,FALSE),"")</f>
        <v/>
      </c>
      <c r="BC23" s="2133"/>
      <c r="BD23" s="2314" t="s">
        <v>161</v>
      </c>
      <c r="BE23" s="2251" t="s">
        <v>396</v>
      </c>
      <c r="BF23" s="2252"/>
      <c r="BG23" s="2252"/>
      <c r="BH23" s="2252"/>
      <c r="BI23" s="2253"/>
      <c r="BJ23" s="242">
        <f>IF(ISERROR(VLOOKUP(BE23,FD22:FE23,2,FALSE)),0,VLOOKUP(BE23,FD22:FE23,2,FALSE))</f>
        <v>0</v>
      </c>
      <c r="BK23" s="243">
        <v>99</v>
      </c>
      <c r="BL23" s="2254">
        <v>99</v>
      </c>
      <c r="BM23" s="2161"/>
      <c r="BN23" s="244"/>
      <c r="BO23" s="244"/>
      <c r="BP23" s="244"/>
      <c r="BQ23" s="244"/>
      <c r="BR23" s="2161"/>
      <c r="BS23" s="2161"/>
      <c r="BT23" s="2161"/>
      <c r="BU23" s="2263"/>
      <c r="BV23" s="2183" t="str">
        <f>IF(BK23=BL23+BN23+BO23+BP23+BQ23+BR23+BT23,"無料","人数を再確認！")</f>
        <v>無料</v>
      </c>
      <c r="BW23" s="2184"/>
      <c r="BX23" s="338"/>
      <c r="BY23" s="2234"/>
      <c r="BZ23" s="2129"/>
      <c r="CA23" s="2174" t="s">
        <v>154</v>
      </c>
      <c r="CB23" s="2175"/>
      <c r="CC23" s="2175"/>
      <c r="CD23" s="2175"/>
      <c r="CE23" s="2176"/>
      <c r="CF23" s="333">
        <f>IF(ISERROR(VLOOKUP(CA23,FI3:FJ15,2,FALSE)),0,VLOOKUP(CA23,FI3:FJ15,2,FALSE))</f>
        <v>0</v>
      </c>
      <c r="CG23" s="325">
        <f>SUM(CH23:CX23)</f>
        <v>0</v>
      </c>
      <c r="CH23" s="1895"/>
      <c r="CI23" s="1896"/>
      <c r="CJ23" s="1897"/>
      <c r="CK23" s="1907"/>
      <c r="CL23" s="1896"/>
      <c r="CM23" s="1897"/>
      <c r="CN23" s="1907"/>
      <c r="CO23" s="1896"/>
      <c r="CP23" s="1897"/>
      <c r="CQ23" s="1907"/>
      <c r="CR23" s="1896"/>
      <c r="CS23" s="1897"/>
      <c r="CT23" s="1907"/>
      <c r="CU23" s="1896"/>
      <c r="CV23" s="1897"/>
      <c r="CW23" s="314"/>
      <c r="CX23" s="542"/>
      <c r="CY23" s="324">
        <f>IF(CG23=CH23+CK23+CT23+CN23+CQ23+CW23+CX23,CG23*CF23,"数量を再確認！")</f>
        <v>0</v>
      </c>
      <c r="CZ23" s="33"/>
      <c r="DA23" s="6"/>
      <c r="DB23" s="6"/>
      <c r="DC23" s="809"/>
      <c r="DD23" s="810"/>
      <c r="DE23" s="800"/>
      <c r="DF23" s="805"/>
      <c r="DG23" s="7"/>
      <c r="DH23" s="6"/>
      <c r="DI23" s="33"/>
      <c r="DJ23" s="33"/>
    </row>
    <row r="24" spans="1:114" ht="27" customHeight="1">
      <c r="A24" s="2133"/>
      <c r="B24" s="2242"/>
      <c r="C24" s="2246" t="s">
        <v>336</v>
      </c>
      <c r="D24" s="2247"/>
      <c r="E24" s="2247"/>
      <c r="F24" s="2247"/>
      <c r="G24" s="2248"/>
      <c r="H24" s="245">
        <v>290</v>
      </c>
      <c r="I24" s="246">
        <f>'04 利用者名簿'!BR6+'04 利用者名簿'!BS6</f>
        <v>0</v>
      </c>
      <c r="J24" s="2185"/>
      <c r="K24" s="2186"/>
      <c r="L24" s="247"/>
      <c r="M24" s="247"/>
      <c r="N24" s="247"/>
      <c r="O24" s="247"/>
      <c r="P24" s="2186"/>
      <c r="Q24" s="2186"/>
      <c r="R24" s="2186"/>
      <c r="S24" s="2187"/>
      <c r="T24" s="2181">
        <f>IF(I24=J24+L24+M24+N24+O24+P24+R24,I24*H24,"人数を再確認！")</f>
        <v>0</v>
      </c>
      <c r="U24" s="2182"/>
      <c r="V24" s="10"/>
      <c r="W24" s="2234"/>
      <c r="X24" s="2129"/>
      <c r="Y24" s="2174" t="s">
        <v>339</v>
      </c>
      <c r="Z24" s="2175"/>
      <c r="AA24" s="2175"/>
      <c r="AB24" s="2175"/>
      <c r="AC24" s="2176"/>
      <c r="AD24" s="333">
        <f>IF(ISERROR(VLOOKUP(Y24,DG3:DH15,2,FALSE)),0,VLOOKUP(Y24,DG3:DH15,2,FALSE))</f>
        <v>0</v>
      </c>
      <c r="AE24" s="327">
        <f t="shared" si="3"/>
        <v>0</v>
      </c>
      <c r="AF24" s="1889"/>
      <c r="AG24" s="1890"/>
      <c r="AH24" s="1890"/>
      <c r="AI24" s="1890"/>
      <c r="AJ24" s="1890"/>
      <c r="AK24" s="1890"/>
      <c r="AL24" s="1890"/>
      <c r="AM24" s="1890"/>
      <c r="AN24" s="1890"/>
      <c r="AO24" s="1932"/>
      <c r="AP24" s="1932"/>
      <c r="AQ24" s="1932"/>
      <c r="AR24" s="1890"/>
      <c r="AS24" s="1890"/>
      <c r="AT24" s="1890"/>
      <c r="AU24" s="1890"/>
      <c r="AV24" s="1890"/>
      <c r="AW24" s="1890"/>
      <c r="AX24" s="1890"/>
      <c r="AY24" s="1890"/>
      <c r="AZ24" s="1899"/>
      <c r="BA24" s="324">
        <f t="shared" si="2"/>
        <v>0</v>
      </c>
      <c r="BB24" s="799" t="str">
        <f>IFERROR(VLOOKUP(Y24,DG5:DI8,3,FALSE),"")</f>
        <v/>
      </c>
      <c r="BC24" s="2133"/>
      <c r="BD24" s="2315"/>
      <c r="BE24" s="2246" t="s">
        <v>336</v>
      </c>
      <c r="BF24" s="2247"/>
      <c r="BG24" s="2247"/>
      <c r="BH24" s="2247"/>
      <c r="BI24" s="2248"/>
      <c r="BJ24" s="245">
        <v>290</v>
      </c>
      <c r="BK24" s="246">
        <v>8</v>
      </c>
      <c r="BL24" s="2185"/>
      <c r="BM24" s="2186"/>
      <c r="BN24" s="247"/>
      <c r="BO24" s="247"/>
      <c r="BP24" s="247">
        <v>1</v>
      </c>
      <c r="BQ24" s="247"/>
      <c r="BR24" s="2186">
        <v>7</v>
      </c>
      <c r="BS24" s="2186"/>
      <c r="BT24" s="2186"/>
      <c r="BU24" s="2187"/>
      <c r="BV24" s="2181">
        <f>IF(BK24=BL24+BN24+BO24+BP24+BQ24+BR24+BT24,BK24*BJ24,"人数を再確認！")</f>
        <v>2320</v>
      </c>
      <c r="BW24" s="2182"/>
      <c r="BX24" s="338"/>
      <c r="BY24" s="2234"/>
      <c r="BZ24" s="2129"/>
      <c r="CA24" s="2174" t="s">
        <v>339</v>
      </c>
      <c r="CB24" s="2175"/>
      <c r="CC24" s="2175"/>
      <c r="CD24" s="2175"/>
      <c r="CE24" s="2176"/>
      <c r="CF24" s="333">
        <f>IF(ISERROR(VLOOKUP(CA24,FI3:FJ15,2,FALSE)),0,VLOOKUP(CA24,FI3:FJ15,2,FALSE))</f>
        <v>0</v>
      </c>
      <c r="CG24" s="327">
        <f>SUM(CH24:CX24)</f>
        <v>0</v>
      </c>
      <c r="CH24" s="1895"/>
      <c r="CI24" s="1896"/>
      <c r="CJ24" s="1897"/>
      <c r="CK24" s="1907"/>
      <c r="CL24" s="1896"/>
      <c r="CM24" s="1897"/>
      <c r="CN24" s="1907"/>
      <c r="CO24" s="1896"/>
      <c r="CP24" s="1897"/>
      <c r="CQ24" s="1907"/>
      <c r="CR24" s="1896"/>
      <c r="CS24" s="1897"/>
      <c r="CT24" s="1907"/>
      <c r="CU24" s="1896"/>
      <c r="CV24" s="1897"/>
      <c r="CW24" s="314"/>
      <c r="CX24" s="542"/>
      <c r="CY24" s="324">
        <f>IF(CG24=CH24+CK24+CT24+CN24+CQ24+CW24+CX24,CG24*CF24,"数量を再確認！")</f>
        <v>0</v>
      </c>
      <c r="CZ24" s="33"/>
      <c r="DA24" s="6"/>
      <c r="DB24" s="6"/>
      <c r="DC24" s="806"/>
      <c r="DD24" s="802"/>
      <c r="DE24" s="807"/>
      <c r="DF24" s="805"/>
      <c r="DG24" s="7"/>
      <c r="DH24" s="6"/>
      <c r="DI24" s="33"/>
      <c r="DJ24" s="33"/>
    </row>
    <row r="25" spans="1:114" ht="27" customHeight="1">
      <c r="A25" s="2133"/>
      <c r="B25" s="2242"/>
      <c r="C25" s="2246" t="s">
        <v>337</v>
      </c>
      <c r="D25" s="2247"/>
      <c r="E25" s="2247"/>
      <c r="F25" s="2247"/>
      <c r="G25" s="2248"/>
      <c r="H25" s="248">
        <v>350</v>
      </c>
      <c r="I25" s="246">
        <f>'04 利用者名簿'!BK70</f>
        <v>0</v>
      </c>
      <c r="J25" s="2185"/>
      <c r="K25" s="2186"/>
      <c r="L25" s="247"/>
      <c r="M25" s="247"/>
      <c r="N25" s="247"/>
      <c r="O25" s="247"/>
      <c r="P25" s="2186"/>
      <c r="Q25" s="2186"/>
      <c r="R25" s="2186"/>
      <c r="S25" s="2187"/>
      <c r="T25" s="2181">
        <f>IF(I25=J25+L25+M25+N25+O25+P25+R25,I25*H25,"人数を再確認！")</f>
        <v>0</v>
      </c>
      <c r="U25" s="2182"/>
      <c r="V25" s="10"/>
      <c r="W25" s="2234"/>
      <c r="X25" s="2129"/>
      <c r="Y25" s="2262" t="s">
        <v>3082</v>
      </c>
      <c r="Z25" s="2169"/>
      <c r="AA25" s="2169"/>
      <c r="AB25" s="2169"/>
      <c r="AC25" s="2170"/>
      <c r="AD25" s="537">
        <v>160</v>
      </c>
      <c r="AE25" s="536">
        <f t="shared" si="3"/>
        <v>0</v>
      </c>
      <c r="AF25" s="1889"/>
      <c r="AG25" s="1890"/>
      <c r="AH25" s="1890"/>
      <c r="AI25" s="1890"/>
      <c r="AJ25" s="1890"/>
      <c r="AK25" s="1890"/>
      <c r="AL25" s="1890"/>
      <c r="AM25" s="1890"/>
      <c r="AN25" s="1890"/>
      <c r="AO25" s="1890"/>
      <c r="AP25" s="1890"/>
      <c r="AQ25" s="1890"/>
      <c r="AR25" s="1890"/>
      <c r="AS25" s="1890"/>
      <c r="AT25" s="1890"/>
      <c r="AU25" s="1890"/>
      <c r="AV25" s="1890"/>
      <c r="AW25" s="1890"/>
      <c r="AX25" s="1890"/>
      <c r="AY25" s="1890"/>
      <c r="AZ25" s="1899"/>
      <c r="BA25" s="541">
        <f t="shared" si="2"/>
        <v>0</v>
      </c>
      <c r="BB25" s="798" t="s">
        <v>2983</v>
      </c>
      <c r="BC25" s="2133"/>
      <c r="BD25" s="2315"/>
      <c r="BE25" s="2246" t="s">
        <v>337</v>
      </c>
      <c r="BF25" s="2247"/>
      <c r="BG25" s="2247"/>
      <c r="BH25" s="2247"/>
      <c r="BI25" s="2248"/>
      <c r="BJ25" s="248">
        <v>350</v>
      </c>
      <c r="BK25" s="246">
        <v>1</v>
      </c>
      <c r="BL25" s="2185"/>
      <c r="BM25" s="2186"/>
      <c r="BN25" s="247"/>
      <c r="BO25" s="247">
        <v>1</v>
      </c>
      <c r="BP25" s="247"/>
      <c r="BQ25" s="247"/>
      <c r="BR25" s="2186"/>
      <c r="BS25" s="2186"/>
      <c r="BT25" s="2186"/>
      <c r="BU25" s="2187"/>
      <c r="BV25" s="2181">
        <f>IF(BK25=BL25+BN25+BO25+BP25+BQ25+BR25+BT25,BK25*BJ25,"人数を再確認！")</f>
        <v>350</v>
      </c>
      <c r="BW25" s="2182"/>
      <c r="BX25" s="338"/>
      <c r="BY25" s="2234"/>
      <c r="BZ25" s="2129"/>
      <c r="CA25" s="2168" t="s">
        <v>2947</v>
      </c>
      <c r="CB25" s="2169"/>
      <c r="CC25" s="2169"/>
      <c r="CD25" s="2169"/>
      <c r="CE25" s="2170"/>
      <c r="CF25" s="537">
        <v>160</v>
      </c>
      <c r="CG25" s="536">
        <f>SUM(CH25:CX25)</f>
        <v>0</v>
      </c>
      <c r="CH25" s="1895"/>
      <c r="CI25" s="1896"/>
      <c r="CJ25" s="1897"/>
      <c r="CK25" s="1907"/>
      <c r="CL25" s="1896"/>
      <c r="CM25" s="1897"/>
      <c r="CN25" s="1907"/>
      <c r="CO25" s="1896"/>
      <c r="CP25" s="1897"/>
      <c r="CQ25" s="1907"/>
      <c r="CR25" s="1896"/>
      <c r="CS25" s="1897"/>
      <c r="CT25" s="1907"/>
      <c r="CU25" s="1896"/>
      <c r="CV25" s="1897"/>
      <c r="CW25" s="314"/>
      <c r="CX25" s="542"/>
      <c r="CY25" s="541">
        <f>IF(CG25=CH25+CK25+CT25+CN25+CQ25+CW25+CX25,CG25*CF25,"数量を再確認！")</f>
        <v>0</v>
      </c>
      <c r="CZ25" s="33"/>
      <c r="DA25" s="6"/>
      <c r="DB25" s="6"/>
      <c r="DC25" s="809"/>
      <c r="DD25" s="802"/>
      <c r="DE25" s="807"/>
      <c r="DF25" s="805"/>
      <c r="DG25" s="7"/>
      <c r="DH25" s="6"/>
      <c r="DI25" s="33"/>
      <c r="DJ25" s="33"/>
    </row>
    <row r="26" spans="1:114" ht="27" customHeight="1" thickBot="1">
      <c r="A26" s="2133"/>
      <c r="B26" s="2242"/>
      <c r="C26" s="2200" t="s">
        <v>1221</v>
      </c>
      <c r="D26" s="2201"/>
      <c r="E26" s="2201"/>
      <c r="F26" s="2201"/>
      <c r="G26" s="2201"/>
      <c r="H26" s="249">
        <v>0</v>
      </c>
      <c r="I26" s="246">
        <f>SUM('04 利用者名簿'!BT39:CA39)</f>
        <v>0</v>
      </c>
      <c r="J26" s="2249"/>
      <c r="K26" s="2229"/>
      <c r="L26" s="250"/>
      <c r="M26" s="250"/>
      <c r="N26" s="250"/>
      <c r="O26" s="250"/>
      <c r="P26" s="2229"/>
      <c r="Q26" s="2229"/>
      <c r="R26" s="2229"/>
      <c r="S26" s="2264"/>
      <c r="T26" s="2244" t="str">
        <f>IF(I26=J26+L26+M26+N26+O26+P26+R26,"無料","人数を再確認！")</f>
        <v>無料</v>
      </c>
      <c r="U26" s="2245"/>
      <c r="V26" s="10"/>
      <c r="W26" s="2234"/>
      <c r="X26" s="2129"/>
      <c r="Y26" s="2236" t="s">
        <v>3081</v>
      </c>
      <c r="Z26" s="2237"/>
      <c r="AA26" s="2237"/>
      <c r="AB26" s="2237"/>
      <c r="AC26" s="2238"/>
      <c r="AD26" s="538">
        <v>110</v>
      </c>
      <c r="AE26" s="536">
        <f t="shared" si="3"/>
        <v>0</v>
      </c>
      <c r="AF26" s="1889"/>
      <c r="AG26" s="1890"/>
      <c r="AH26" s="1890"/>
      <c r="AI26" s="1890"/>
      <c r="AJ26" s="1890"/>
      <c r="AK26" s="1890"/>
      <c r="AL26" s="1890"/>
      <c r="AM26" s="1890"/>
      <c r="AN26" s="1890"/>
      <c r="AO26" s="1890"/>
      <c r="AP26" s="1890"/>
      <c r="AQ26" s="1890"/>
      <c r="AR26" s="1890"/>
      <c r="AS26" s="1890"/>
      <c r="AT26" s="1890"/>
      <c r="AU26" s="1890"/>
      <c r="AV26" s="1890"/>
      <c r="AW26" s="1890"/>
      <c r="AX26" s="1890"/>
      <c r="AY26" s="1890"/>
      <c r="AZ26" s="1899"/>
      <c r="BA26" s="541">
        <f t="shared" si="2"/>
        <v>0</v>
      </c>
      <c r="BB26" s="798" t="s">
        <v>2984</v>
      </c>
      <c r="BC26" s="2133"/>
      <c r="BD26" s="2315"/>
      <c r="BE26" s="2200" t="s">
        <v>1221</v>
      </c>
      <c r="BF26" s="2201"/>
      <c r="BG26" s="2201"/>
      <c r="BH26" s="2201"/>
      <c r="BI26" s="2201"/>
      <c r="BJ26" s="249">
        <v>0</v>
      </c>
      <c r="BK26" s="246">
        <v>2</v>
      </c>
      <c r="BL26" s="2249">
        <v>1</v>
      </c>
      <c r="BM26" s="2229"/>
      <c r="BN26" s="250"/>
      <c r="BO26" s="250"/>
      <c r="BP26" s="250"/>
      <c r="BQ26" s="250"/>
      <c r="BR26" s="2229">
        <v>1</v>
      </c>
      <c r="BS26" s="2229"/>
      <c r="BT26" s="2229"/>
      <c r="BU26" s="2264"/>
      <c r="BV26" s="2244" t="str">
        <f>IF(BK26=BL26+BN26+BO26+BP26+BQ26+BR26+BT26,"無料","人数を再確認！")</f>
        <v>無料</v>
      </c>
      <c r="BW26" s="2245"/>
      <c r="BX26" s="338"/>
      <c r="BY26" s="2234"/>
      <c r="BZ26" s="2129"/>
      <c r="CA26" s="2317" t="s">
        <v>2946</v>
      </c>
      <c r="CB26" s="2237"/>
      <c r="CC26" s="2237"/>
      <c r="CD26" s="2237"/>
      <c r="CE26" s="2238"/>
      <c r="CF26" s="538">
        <v>110</v>
      </c>
      <c r="CG26" s="536">
        <f t="shared" ref="CG26:CG30" si="4">SUM(CH26:CX26)</f>
        <v>100</v>
      </c>
      <c r="CH26" s="2190">
        <v>100</v>
      </c>
      <c r="CI26" s="2191"/>
      <c r="CJ26" s="2191"/>
      <c r="CK26" s="2192"/>
      <c r="CL26" s="2192"/>
      <c r="CM26" s="2192"/>
      <c r="CN26" s="1907"/>
      <c r="CO26" s="1896"/>
      <c r="CP26" s="1897"/>
      <c r="CQ26" s="1907"/>
      <c r="CR26" s="1896"/>
      <c r="CS26" s="1897"/>
      <c r="CT26" s="1907"/>
      <c r="CU26" s="1896"/>
      <c r="CV26" s="1897"/>
      <c r="CW26" s="314"/>
      <c r="CX26" s="542"/>
      <c r="CY26" s="541">
        <f t="shared" ref="CY26:CY30" si="5">IF(CG26=CH26+CK26+CT26+CN26+CQ26+CW26+CX26,CG26*CF26,"数量を再確認！")</f>
        <v>11000</v>
      </c>
      <c r="CZ26" s="6"/>
      <c r="DA26" s="6"/>
      <c r="DB26" s="6"/>
      <c r="DC26" s="809"/>
      <c r="DD26" s="802"/>
      <c r="DE26" s="807"/>
      <c r="DF26" s="805"/>
      <c r="DG26" s="7"/>
      <c r="DH26" s="6"/>
      <c r="DI26" s="33"/>
      <c r="DJ26" s="33"/>
    </row>
    <row r="27" spans="1:114" ht="27" customHeight="1" thickTop="1">
      <c r="A27" s="2133"/>
      <c r="B27" s="2242"/>
      <c r="C27" s="2158"/>
      <c r="D27" s="2159"/>
      <c r="E27" s="2159"/>
      <c r="F27" s="2159"/>
      <c r="G27" s="2160"/>
      <c r="H27" s="251" t="str">
        <f>IF(C27="","",VLOOKUP(C27,$DG$22:$DH$30,2,FALSE))</f>
        <v/>
      </c>
      <c r="I27" s="252"/>
      <c r="J27" s="2155"/>
      <c r="K27" s="2156"/>
      <c r="L27" s="253"/>
      <c r="M27" s="253"/>
      <c r="N27" s="253"/>
      <c r="O27" s="253"/>
      <c r="P27" s="2156"/>
      <c r="Q27" s="2156"/>
      <c r="R27" s="2157"/>
      <c r="S27" s="2157"/>
      <c r="T27" s="2198"/>
      <c r="U27" s="2199"/>
      <c r="V27" s="10"/>
      <c r="W27" s="2234"/>
      <c r="X27" s="2129"/>
      <c r="Y27" s="1961" t="s">
        <v>2948</v>
      </c>
      <c r="Z27" s="1962"/>
      <c r="AA27" s="1962"/>
      <c r="AB27" s="1962"/>
      <c r="AC27" s="1963"/>
      <c r="AD27" s="762">
        <v>120</v>
      </c>
      <c r="AE27" s="536">
        <f t="shared" si="3"/>
        <v>0</v>
      </c>
      <c r="AF27" s="1889"/>
      <c r="AG27" s="1890"/>
      <c r="AH27" s="1890"/>
      <c r="AI27" s="1890"/>
      <c r="AJ27" s="1890"/>
      <c r="AK27" s="1890"/>
      <c r="AL27" s="1890"/>
      <c r="AM27" s="1890"/>
      <c r="AN27" s="1890"/>
      <c r="AO27" s="1890"/>
      <c r="AP27" s="1890"/>
      <c r="AQ27" s="1890"/>
      <c r="AR27" s="1890"/>
      <c r="AS27" s="1890"/>
      <c r="AT27" s="1890"/>
      <c r="AU27" s="1890"/>
      <c r="AV27" s="1890"/>
      <c r="AW27" s="1890"/>
      <c r="AX27" s="1890"/>
      <c r="AY27" s="1890"/>
      <c r="AZ27" s="1899"/>
      <c r="BA27" s="541">
        <f t="shared" si="2"/>
        <v>0</v>
      </c>
      <c r="BB27" s="798" t="s">
        <v>2985</v>
      </c>
      <c r="BC27" s="2133"/>
      <c r="BD27" s="2315"/>
      <c r="BE27" s="2158"/>
      <c r="BF27" s="2159"/>
      <c r="BG27" s="2159"/>
      <c r="BH27" s="2159"/>
      <c r="BI27" s="2160"/>
      <c r="BJ27" s="251" t="str">
        <f>IF(BE27="","",VLOOKUP(BE27,$DG$22:$DH$30,2,FALSE))</f>
        <v/>
      </c>
      <c r="BK27" s="252"/>
      <c r="BL27" s="2155"/>
      <c r="BM27" s="2156"/>
      <c r="BN27" s="253"/>
      <c r="BO27" s="253"/>
      <c r="BP27" s="253"/>
      <c r="BQ27" s="253"/>
      <c r="BR27" s="2156"/>
      <c r="BS27" s="2156"/>
      <c r="BT27" s="2157"/>
      <c r="BU27" s="2157"/>
      <c r="BV27" s="2198"/>
      <c r="BW27" s="2199"/>
      <c r="BX27" s="338"/>
      <c r="BY27" s="2234"/>
      <c r="BZ27" s="2129"/>
      <c r="CA27" s="1961" t="s">
        <v>2945</v>
      </c>
      <c r="CB27" s="1962"/>
      <c r="CC27" s="1962"/>
      <c r="CD27" s="1962"/>
      <c r="CE27" s="1963"/>
      <c r="CF27" s="762">
        <v>120</v>
      </c>
      <c r="CG27" s="536">
        <f t="shared" si="4"/>
        <v>0</v>
      </c>
      <c r="CH27" s="1895"/>
      <c r="CI27" s="1896"/>
      <c r="CJ27" s="1897"/>
      <c r="CK27" s="1907"/>
      <c r="CL27" s="1896"/>
      <c r="CM27" s="1897"/>
      <c r="CN27" s="1907"/>
      <c r="CO27" s="1896"/>
      <c r="CP27" s="1897"/>
      <c r="CQ27" s="1907"/>
      <c r="CR27" s="1896"/>
      <c r="CS27" s="1897"/>
      <c r="CT27" s="1907"/>
      <c r="CU27" s="1896"/>
      <c r="CV27" s="1897"/>
      <c r="CW27" s="314"/>
      <c r="CX27" s="314"/>
      <c r="CY27" s="540">
        <f t="shared" si="5"/>
        <v>0</v>
      </c>
      <c r="CZ27" s="6"/>
      <c r="DA27" s="6"/>
      <c r="DB27" s="6"/>
      <c r="DC27" s="809"/>
      <c r="DD27" s="802"/>
      <c r="DE27" s="807"/>
      <c r="DF27" s="805"/>
      <c r="DG27" s="7"/>
      <c r="DH27" s="6"/>
      <c r="DI27" s="33"/>
      <c r="DJ27" s="33"/>
    </row>
    <row r="28" spans="1:114" ht="27" customHeight="1" thickBot="1">
      <c r="A28" s="2133"/>
      <c r="B28" s="2242"/>
      <c r="C28" s="2260"/>
      <c r="D28" s="2261"/>
      <c r="E28" s="2261"/>
      <c r="F28" s="2261"/>
      <c r="G28" s="2261"/>
      <c r="H28" s="254"/>
      <c r="I28" s="255"/>
      <c r="J28" s="2250"/>
      <c r="K28" s="2240"/>
      <c r="L28" s="256"/>
      <c r="M28" s="257"/>
      <c r="N28" s="256"/>
      <c r="O28" s="257"/>
      <c r="P28" s="2239"/>
      <c r="Q28" s="2240"/>
      <c r="R28" s="2239"/>
      <c r="S28" s="2240"/>
      <c r="T28" s="2196"/>
      <c r="U28" s="2197"/>
      <c r="V28" s="10"/>
      <c r="W28" s="2234"/>
      <c r="X28" s="2129"/>
      <c r="Y28" s="2180" t="s">
        <v>3011</v>
      </c>
      <c r="Z28" s="1962"/>
      <c r="AA28" s="1962"/>
      <c r="AB28" s="1962"/>
      <c r="AC28" s="1963"/>
      <c r="AD28" s="532">
        <v>350</v>
      </c>
      <c r="AE28" s="536">
        <f t="shared" si="3"/>
        <v>0</v>
      </c>
      <c r="AF28" s="1889"/>
      <c r="AG28" s="1890"/>
      <c r="AH28" s="1890"/>
      <c r="AI28" s="1890"/>
      <c r="AJ28" s="1890"/>
      <c r="AK28" s="1890"/>
      <c r="AL28" s="1890"/>
      <c r="AM28" s="1890"/>
      <c r="AN28" s="1890"/>
      <c r="AO28" s="1890"/>
      <c r="AP28" s="1890"/>
      <c r="AQ28" s="1890"/>
      <c r="AR28" s="1890"/>
      <c r="AS28" s="1890"/>
      <c r="AT28" s="1890"/>
      <c r="AU28" s="1890"/>
      <c r="AV28" s="1890"/>
      <c r="AW28" s="1890"/>
      <c r="AX28" s="1890"/>
      <c r="AY28" s="1890"/>
      <c r="AZ28" s="1899"/>
      <c r="BA28" s="541">
        <f t="shared" si="2"/>
        <v>0</v>
      </c>
      <c r="BB28" s="798" t="s">
        <v>2986</v>
      </c>
      <c r="BC28" s="2133"/>
      <c r="BD28" s="2315"/>
      <c r="BE28" s="2260"/>
      <c r="BF28" s="2261"/>
      <c r="BG28" s="2261"/>
      <c r="BH28" s="2261"/>
      <c r="BI28" s="2261"/>
      <c r="BJ28" s="254"/>
      <c r="BK28" s="255"/>
      <c r="BL28" s="2250"/>
      <c r="BM28" s="2240"/>
      <c r="BN28" s="256"/>
      <c r="BO28" s="257"/>
      <c r="BP28" s="256"/>
      <c r="BQ28" s="257"/>
      <c r="BR28" s="2239"/>
      <c r="BS28" s="2240"/>
      <c r="BT28" s="2239"/>
      <c r="BU28" s="2240"/>
      <c r="BV28" s="2196"/>
      <c r="BW28" s="2197"/>
      <c r="BX28" s="338"/>
      <c r="BY28" s="2234"/>
      <c r="BZ28" s="2129"/>
      <c r="CA28" s="2180" t="s">
        <v>2750</v>
      </c>
      <c r="CB28" s="1962"/>
      <c r="CC28" s="1962"/>
      <c r="CD28" s="1962"/>
      <c r="CE28" s="1963"/>
      <c r="CF28" s="532">
        <v>350</v>
      </c>
      <c r="CG28" s="536">
        <f t="shared" si="4"/>
        <v>0</v>
      </c>
      <c r="CH28" s="1895"/>
      <c r="CI28" s="1896"/>
      <c r="CJ28" s="1897"/>
      <c r="CK28" s="1907"/>
      <c r="CL28" s="1896"/>
      <c r="CM28" s="1897"/>
      <c r="CN28" s="1907"/>
      <c r="CO28" s="1896"/>
      <c r="CP28" s="1897"/>
      <c r="CQ28" s="1907"/>
      <c r="CR28" s="1896"/>
      <c r="CS28" s="1897"/>
      <c r="CT28" s="1907"/>
      <c r="CU28" s="1896"/>
      <c r="CV28" s="1897"/>
      <c r="CW28" s="314"/>
      <c r="CX28" s="314"/>
      <c r="CY28" s="540">
        <f t="shared" si="5"/>
        <v>0</v>
      </c>
      <c r="CZ28" s="6"/>
      <c r="DA28" s="6"/>
      <c r="DB28" s="6"/>
      <c r="DC28" s="809"/>
      <c r="DD28" s="802"/>
      <c r="DE28" s="807"/>
      <c r="DF28" s="805"/>
      <c r="DG28" s="7"/>
      <c r="DH28" s="6"/>
      <c r="DI28" s="33"/>
      <c r="DJ28" s="33"/>
    </row>
    <row r="29" spans="1:114" ht="27" customHeight="1" thickTop="1" thickBot="1">
      <c r="A29" s="2133"/>
      <c r="B29" s="2243"/>
      <c r="C29" s="1984" t="s">
        <v>397</v>
      </c>
      <c r="D29" s="1985"/>
      <c r="E29" s="1985"/>
      <c r="F29" s="1985"/>
      <c r="G29" s="1985"/>
      <c r="H29" s="1986"/>
      <c r="I29" s="258">
        <f>SUM(I23:I26)</f>
        <v>0</v>
      </c>
      <c r="J29" s="2227">
        <f>J24*$H$24+J25*$H$25</f>
        <v>0</v>
      </c>
      <c r="K29" s="2228"/>
      <c r="L29" s="259">
        <f>L24*$H$24+L25*$H$25</f>
        <v>0</v>
      </c>
      <c r="M29" s="259">
        <f>M24*$H$24+M25*$H$25</f>
        <v>0</v>
      </c>
      <c r="N29" s="260">
        <f>N24*$H$24+N25*$H$25</f>
        <v>0</v>
      </c>
      <c r="O29" s="260">
        <f>O24*$H$24+O25*$H$25</f>
        <v>0</v>
      </c>
      <c r="P29" s="1929">
        <f>P24*$H$24+P25*$H$25</f>
        <v>0</v>
      </c>
      <c r="Q29" s="1931"/>
      <c r="R29" s="1929">
        <f>R24*$H$24+R25*$H$25</f>
        <v>0</v>
      </c>
      <c r="S29" s="1931"/>
      <c r="T29" s="2144">
        <f>IF(COUNTIF(T23:U26,"人数を再確認！"),"人数を再確認！",SUM(T23:U26))</f>
        <v>0</v>
      </c>
      <c r="U29" s="2145"/>
      <c r="V29" s="417"/>
      <c r="W29" s="2234"/>
      <c r="X29" s="2129"/>
      <c r="Y29" s="2143" t="s">
        <v>3010</v>
      </c>
      <c r="Z29" s="2116"/>
      <c r="AA29" s="2116"/>
      <c r="AB29" s="2116"/>
      <c r="AC29" s="2117"/>
      <c r="AD29" s="537">
        <v>4500</v>
      </c>
      <c r="AE29" s="536">
        <f t="shared" si="3"/>
        <v>0</v>
      </c>
      <c r="AF29" s="1889"/>
      <c r="AG29" s="1890"/>
      <c r="AH29" s="1890"/>
      <c r="AI29" s="1890"/>
      <c r="AJ29" s="1890"/>
      <c r="AK29" s="1890"/>
      <c r="AL29" s="1890"/>
      <c r="AM29" s="1890"/>
      <c r="AN29" s="1890"/>
      <c r="AO29" s="1890"/>
      <c r="AP29" s="1890"/>
      <c r="AQ29" s="1890"/>
      <c r="AR29" s="1890"/>
      <c r="AS29" s="1890"/>
      <c r="AT29" s="1890"/>
      <c r="AU29" s="1890"/>
      <c r="AV29" s="1890"/>
      <c r="AW29" s="1890"/>
      <c r="AX29" s="1890"/>
      <c r="AY29" s="1890"/>
      <c r="AZ29" s="1899"/>
      <c r="BA29" s="541">
        <f t="shared" si="2"/>
        <v>0</v>
      </c>
      <c r="BB29" s="798" t="s">
        <v>2987</v>
      </c>
      <c r="BC29" s="2134"/>
      <c r="BD29" s="2316"/>
      <c r="BE29" s="1984" t="s">
        <v>397</v>
      </c>
      <c r="BF29" s="1985"/>
      <c r="BG29" s="1985"/>
      <c r="BH29" s="1985"/>
      <c r="BI29" s="1985"/>
      <c r="BJ29" s="1986"/>
      <c r="BK29" s="258">
        <f>SUM(BK23:BK26)</f>
        <v>110</v>
      </c>
      <c r="BL29" s="2227">
        <f>BL24*$H$24+BL25*$H$25</f>
        <v>0</v>
      </c>
      <c r="BM29" s="2228"/>
      <c r="BN29" s="259">
        <f>BN24*$H$24+BN25*$H$25</f>
        <v>0</v>
      </c>
      <c r="BO29" s="259">
        <f>BO24*$H$24+BO25*$H$25</f>
        <v>350</v>
      </c>
      <c r="BP29" s="260">
        <f>BP24*$H$24+BP25*$H$25</f>
        <v>290</v>
      </c>
      <c r="BQ29" s="260">
        <f>BQ24*$H$24+BQ25*$H$25</f>
        <v>0</v>
      </c>
      <c r="BR29" s="1929">
        <f>BR24*$H$24+BR25*$H$25</f>
        <v>2030</v>
      </c>
      <c r="BS29" s="1931"/>
      <c r="BT29" s="1929">
        <f>BT24*$H$24+BT25*$H$25</f>
        <v>0</v>
      </c>
      <c r="BU29" s="1931"/>
      <c r="BV29" s="2144">
        <f>SUM(BV24:BW27)</f>
        <v>2670</v>
      </c>
      <c r="BW29" s="2145"/>
      <c r="BX29" s="338"/>
      <c r="BY29" s="2234"/>
      <c r="BZ29" s="2129"/>
      <c r="CA29" s="2143" t="s">
        <v>2978</v>
      </c>
      <c r="CB29" s="2116"/>
      <c r="CC29" s="2116"/>
      <c r="CD29" s="2116"/>
      <c r="CE29" s="2117"/>
      <c r="CF29" s="537">
        <v>4500</v>
      </c>
      <c r="CG29" s="536">
        <f t="shared" si="4"/>
        <v>1</v>
      </c>
      <c r="CH29" s="2097">
        <v>1</v>
      </c>
      <c r="CI29" s="2098"/>
      <c r="CJ29" s="2099"/>
      <c r="CK29" s="2107"/>
      <c r="CL29" s="2098"/>
      <c r="CM29" s="2099"/>
      <c r="CN29" s="1907"/>
      <c r="CO29" s="1896"/>
      <c r="CP29" s="1897"/>
      <c r="CQ29" s="1907"/>
      <c r="CR29" s="1896"/>
      <c r="CS29" s="1897"/>
      <c r="CT29" s="1907"/>
      <c r="CU29" s="1896"/>
      <c r="CV29" s="1897"/>
      <c r="CW29" s="314"/>
      <c r="CX29" s="314"/>
      <c r="CY29" s="540">
        <f t="shared" si="5"/>
        <v>4500</v>
      </c>
      <c r="CZ29" s="6"/>
      <c r="DA29" s="6"/>
      <c r="DB29" s="6"/>
      <c r="DC29" s="809"/>
      <c r="DD29" s="802"/>
      <c r="DE29" s="807"/>
      <c r="DF29" s="6"/>
      <c r="DG29" s="7"/>
      <c r="DH29" s="6"/>
      <c r="DI29" s="33"/>
      <c r="DJ29" s="33"/>
    </row>
    <row r="30" spans="1:114" ht="27" customHeight="1" thickTop="1">
      <c r="A30" s="2222" t="s">
        <v>2961</v>
      </c>
      <c r="B30" s="2225" t="s">
        <v>164</v>
      </c>
      <c r="C30" s="2000" t="s">
        <v>165</v>
      </c>
      <c r="D30" s="2003" t="s">
        <v>166</v>
      </c>
      <c r="E30" s="2003"/>
      <c r="F30" s="2003"/>
      <c r="G30" s="2003"/>
      <c r="H30" s="261">
        <v>330</v>
      </c>
      <c r="I30" s="262">
        <f>SUM('04 利用者名簿'!BP3+'04 利用者名簿'!BQ3)-SUM('04 利用者名簿'!BT38+'04 利用者名簿'!BV38)</f>
        <v>0</v>
      </c>
      <c r="J30" s="2131"/>
      <c r="K30" s="2009"/>
      <c r="L30" s="263"/>
      <c r="M30" s="263"/>
      <c r="N30" s="263"/>
      <c r="O30" s="263"/>
      <c r="P30" s="2009"/>
      <c r="Q30" s="2009"/>
      <c r="R30" s="2009"/>
      <c r="S30" s="2108"/>
      <c r="T30" s="2068">
        <f>IF(I30=J30+L30+M30+N30+O30+P30+R30,H30*I30,"人数を再確認！")</f>
        <v>0</v>
      </c>
      <c r="U30" s="2069"/>
      <c r="V30" s="657" t="s">
        <v>2845</v>
      </c>
      <c r="W30" s="2234"/>
      <c r="X30" s="2129"/>
      <c r="Y30" s="2115" t="s">
        <v>3014</v>
      </c>
      <c r="Z30" s="2116"/>
      <c r="AA30" s="2116"/>
      <c r="AB30" s="2116"/>
      <c r="AC30" s="2117"/>
      <c r="AD30" s="827">
        <v>1250</v>
      </c>
      <c r="AE30" s="536">
        <f t="shared" si="3"/>
        <v>0</v>
      </c>
      <c r="AF30" s="1889"/>
      <c r="AG30" s="1890"/>
      <c r="AH30" s="1890"/>
      <c r="AI30" s="1890"/>
      <c r="AJ30" s="1890"/>
      <c r="AK30" s="1890"/>
      <c r="AL30" s="1890"/>
      <c r="AM30" s="1890"/>
      <c r="AN30" s="1890"/>
      <c r="AO30" s="1890"/>
      <c r="AP30" s="1890"/>
      <c r="AQ30" s="1890"/>
      <c r="AR30" s="1890"/>
      <c r="AS30" s="1890"/>
      <c r="AT30" s="1890"/>
      <c r="AU30" s="1890"/>
      <c r="AV30" s="1890"/>
      <c r="AW30" s="1890"/>
      <c r="AX30" s="1890"/>
      <c r="AY30" s="1890"/>
      <c r="AZ30" s="1899"/>
      <c r="BA30" s="829">
        <f t="shared" si="2"/>
        <v>0</v>
      </c>
      <c r="BB30" s="798" t="s">
        <v>3021</v>
      </c>
      <c r="BC30" s="2042" t="s">
        <v>1228</v>
      </c>
      <c r="BD30" s="1997" t="s">
        <v>164</v>
      </c>
      <c r="BE30" s="2000" t="s">
        <v>165</v>
      </c>
      <c r="BF30" s="2003" t="s">
        <v>166</v>
      </c>
      <c r="BG30" s="2003"/>
      <c r="BH30" s="2003"/>
      <c r="BI30" s="2003"/>
      <c r="BJ30" s="261">
        <v>330</v>
      </c>
      <c r="BK30" s="262">
        <v>90</v>
      </c>
      <c r="BL30" s="2131">
        <v>90</v>
      </c>
      <c r="BM30" s="2009"/>
      <c r="BN30" s="263"/>
      <c r="BO30" s="263"/>
      <c r="BP30" s="263"/>
      <c r="BQ30" s="263"/>
      <c r="BR30" s="2009"/>
      <c r="BS30" s="2009"/>
      <c r="BT30" s="2009"/>
      <c r="BU30" s="2108"/>
      <c r="BV30" s="2068">
        <f>IF(BK30=BL30+BN30+BO30+BP30+BQ30+BR30+BT30,BJ30*BK30,"人数を再確認！")</f>
        <v>29700</v>
      </c>
      <c r="BW30" s="2069"/>
      <c r="BX30" s="338"/>
      <c r="BY30" s="2234"/>
      <c r="BZ30" s="2129"/>
      <c r="CA30" s="1961" t="s">
        <v>2746</v>
      </c>
      <c r="CB30" s="1962"/>
      <c r="CC30" s="1962"/>
      <c r="CD30" s="1962"/>
      <c r="CE30" s="1963"/>
      <c r="CF30" s="580">
        <v>250</v>
      </c>
      <c r="CG30" s="536">
        <f t="shared" si="4"/>
        <v>108</v>
      </c>
      <c r="CH30" s="2097">
        <v>100</v>
      </c>
      <c r="CI30" s="2098"/>
      <c r="CJ30" s="2099"/>
      <c r="CK30" s="2107">
        <v>8</v>
      </c>
      <c r="CL30" s="2098"/>
      <c r="CM30" s="2099"/>
      <c r="CN30" s="1907"/>
      <c r="CO30" s="1896"/>
      <c r="CP30" s="1897"/>
      <c r="CQ30" s="1907"/>
      <c r="CR30" s="1896"/>
      <c r="CS30" s="1897"/>
      <c r="CT30" s="1907"/>
      <c r="CU30" s="1896"/>
      <c r="CV30" s="1897"/>
      <c r="CW30" s="314"/>
      <c r="CX30" s="314"/>
      <c r="CY30" s="540">
        <f t="shared" si="5"/>
        <v>27000</v>
      </c>
      <c r="CZ30" s="6"/>
      <c r="DA30" s="6"/>
      <c r="DB30" s="6"/>
      <c r="DC30" s="809"/>
      <c r="DD30" s="802"/>
      <c r="DE30" s="807"/>
      <c r="DF30" s="805"/>
      <c r="DG30" s="7"/>
      <c r="DH30" s="6"/>
      <c r="DI30" s="33"/>
      <c r="DJ30" s="33"/>
    </row>
    <row r="31" spans="1:114" ht="27" customHeight="1">
      <c r="A31" s="2223"/>
      <c r="B31" s="2225"/>
      <c r="C31" s="1978"/>
      <c r="D31" s="2004" t="s">
        <v>284</v>
      </c>
      <c r="E31" s="2005"/>
      <c r="F31" s="2006"/>
      <c r="G31" s="2007"/>
      <c r="H31" s="264">
        <v>330</v>
      </c>
      <c r="I31" s="265">
        <f>'04 利用者名簿'!BR3-'04 利用者名簿'!BX38</f>
        <v>0</v>
      </c>
      <c r="J31" s="2063"/>
      <c r="K31" s="2010"/>
      <c r="L31" s="266"/>
      <c r="M31" s="266"/>
      <c r="N31" s="266"/>
      <c r="O31" s="266"/>
      <c r="P31" s="2010"/>
      <c r="Q31" s="2010"/>
      <c r="R31" s="2010"/>
      <c r="S31" s="2058"/>
      <c r="T31" s="2105">
        <f>IF(I31=J31+L31+M31+N31+O31+P31+R31,H31*I31,"人数を再確認！")</f>
        <v>0</v>
      </c>
      <c r="U31" s="2106"/>
      <c r="V31" s="657" t="s">
        <v>2846</v>
      </c>
      <c r="W31" s="2234"/>
      <c r="X31" s="2129"/>
      <c r="Y31" s="1961" t="s">
        <v>2746</v>
      </c>
      <c r="Z31" s="1962"/>
      <c r="AA31" s="1962"/>
      <c r="AB31" s="1962"/>
      <c r="AC31" s="1963"/>
      <c r="AD31" s="580">
        <v>250</v>
      </c>
      <c r="AE31" s="826">
        <f t="shared" si="3"/>
        <v>0</v>
      </c>
      <c r="AF31" s="1889"/>
      <c r="AG31" s="1890"/>
      <c r="AH31" s="1890"/>
      <c r="AI31" s="1890"/>
      <c r="AJ31" s="1890"/>
      <c r="AK31" s="1890"/>
      <c r="AL31" s="1890"/>
      <c r="AM31" s="1890"/>
      <c r="AN31" s="1890"/>
      <c r="AO31" s="1890"/>
      <c r="AP31" s="1890"/>
      <c r="AQ31" s="1890"/>
      <c r="AR31" s="1890"/>
      <c r="AS31" s="1890"/>
      <c r="AT31" s="1890"/>
      <c r="AU31" s="1890"/>
      <c r="AV31" s="1890"/>
      <c r="AW31" s="1890"/>
      <c r="AX31" s="1890"/>
      <c r="AY31" s="1890"/>
      <c r="AZ31" s="1899"/>
      <c r="BA31" s="830">
        <f>IF(AE31=AF31+AI31+AL31+AO31+AR31+AU31+AX31,AE31*AD31,"人数を再確認！")</f>
        <v>0</v>
      </c>
      <c r="BB31" s="798" t="s">
        <v>3015</v>
      </c>
      <c r="BC31" s="2042"/>
      <c r="BD31" s="1997"/>
      <c r="BE31" s="1978"/>
      <c r="BF31" s="2004" t="s">
        <v>284</v>
      </c>
      <c r="BG31" s="2005"/>
      <c r="BH31" s="2006"/>
      <c r="BI31" s="2007"/>
      <c r="BJ31" s="264">
        <v>330</v>
      </c>
      <c r="BK31" s="265">
        <v>7</v>
      </c>
      <c r="BL31" s="2063"/>
      <c r="BM31" s="2010"/>
      <c r="BN31" s="266">
        <v>7</v>
      </c>
      <c r="BO31" s="266"/>
      <c r="BP31" s="266"/>
      <c r="BQ31" s="266"/>
      <c r="BR31" s="2010"/>
      <c r="BS31" s="2010"/>
      <c r="BT31" s="2010"/>
      <c r="BU31" s="2058"/>
      <c r="BV31" s="2105">
        <f>IF(BK31=BL31+BN31+BO31+BP31+BQ31+BR31+BT31,BJ31*BK31,"人数を再確認！")</f>
        <v>2310</v>
      </c>
      <c r="BW31" s="2106"/>
      <c r="BX31" s="338"/>
      <c r="BY31" s="2234"/>
      <c r="BZ31" s="2129"/>
      <c r="CA31" s="2115"/>
      <c r="CB31" s="2116"/>
      <c r="CC31" s="2116"/>
      <c r="CD31" s="2116"/>
      <c r="CE31" s="2117"/>
      <c r="CF31" s="2113"/>
      <c r="CG31" s="2089">
        <f>SUM(CH31:CX31)</f>
        <v>0</v>
      </c>
      <c r="CH31" s="2091"/>
      <c r="CI31" s="2092"/>
      <c r="CJ31" s="2093"/>
      <c r="CK31" s="2103"/>
      <c r="CL31" s="2092"/>
      <c r="CM31" s="2093"/>
      <c r="CN31" s="2103"/>
      <c r="CO31" s="2092"/>
      <c r="CP31" s="2093"/>
      <c r="CQ31" s="2103"/>
      <c r="CR31" s="2092"/>
      <c r="CS31" s="2093"/>
      <c r="CT31" s="2103"/>
      <c r="CU31" s="2092"/>
      <c r="CV31" s="2092"/>
      <c r="CW31" s="2307"/>
      <c r="CX31" s="2309"/>
      <c r="CY31" s="2296">
        <f>IF(CG31=CH31+CK31+CN31+CQ31+CT31+CW31+CX31,CG31*CF31,"人数を再確認！")</f>
        <v>0</v>
      </c>
      <c r="CZ31" s="6"/>
      <c r="DA31" s="6"/>
      <c r="DB31" s="6"/>
      <c r="DC31" s="809"/>
      <c r="DD31" s="802"/>
      <c r="DE31" s="807"/>
      <c r="DF31" s="805"/>
      <c r="DG31" s="7"/>
      <c r="DH31" s="6"/>
      <c r="DI31" s="33"/>
      <c r="DJ31" s="33"/>
    </row>
    <row r="32" spans="1:114" ht="27" customHeight="1" thickBot="1">
      <c r="A32" s="2223"/>
      <c r="B32" s="2226"/>
      <c r="C32" s="2001"/>
      <c r="D32" s="2008" t="s">
        <v>167</v>
      </c>
      <c r="E32" s="2008"/>
      <c r="F32" s="2008"/>
      <c r="G32" s="2008"/>
      <c r="H32" s="267">
        <v>0</v>
      </c>
      <c r="I32" s="265">
        <f>'04 利用者名簿'!BT38+'04 利用者名簿'!BV38+'04 利用者名簿'!BX38+'04 利用者名簿'!BZ38</f>
        <v>0</v>
      </c>
      <c r="J32" s="2063"/>
      <c r="K32" s="2010"/>
      <c r="L32" s="266"/>
      <c r="M32" s="266"/>
      <c r="N32" s="266"/>
      <c r="O32" s="266"/>
      <c r="P32" s="2010"/>
      <c r="Q32" s="2010"/>
      <c r="R32" s="2010"/>
      <c r="S32" s="2058"/>
      <c r="T32" s="2064" t="str">
        <f>IF(I32=J32+L32+M32+N32+O32+P32+R32,"無料","人数を再確認！")</f>
        <v>無料</v>
      </c>
      <c r="U32" s="2065"/>
      <c r="V32" s="662"/>
      <c r="W32" s="2234"/>
      <c r="X32" s="2129"/>
      <c r="Y32" s="1961"/>
      <c r="Z32" s="1962"/>
      <c r="AA32" s="1962"/>
      <c r="AB32" s="1962"/>
      <c r="AC32" s="1963"/>
      <c r="AD32" s="580"/>
      <c r="AE32" s="828"/>
      <c r="AF32" s="1889"/>
      <c r="AG32" s="1890"/>
      <c r="AH32" s="1890"/>
      <c r="AI32" s="1890"/>
      <c r="AJ32" s="1890"/>
      <c r="AK32" s="1890"/>
      <c r="AL32" s="1890"/>
      <c r="AM32" s="1890"/>
      <c r="AN32" s="1890"/>
      <c r="AO32" s="1890"/>
      <c r="AP32" s="1890"/>
      <c r="AQ32" s="1890"/>
      <c r="AR32" s="1890"/>
      <c r="AS32" s="1890"/>
      <c r="AT32" s="1890"/>
      <c r="AU32" s="1890"/>
      <c r="AV32" s="1890"/>
      <c r="AW32" s="1890"/>
      <c r="AX32" s="1890"/>
      <c r="AY32" s="1890"/>
      <c r="AZ32" s="1899"/>
      <c r="BA32" s="829">
        <f>IF(AE32=AF32+AI32+AL32+AO32+AR32+AU32+AX32,AE32*AD32,"人数を再確認！")</f>
        <v>0</v>
      </c>
      <c r="BB32" s="796"/>
      <c r="BC32" s="2043"/>
      <c r="BD32" s="1998"/>
      <c r="BE32" s="2001"/>
      <c r="BF32" s="2008" t="s">
        <v>167</v>
      </c>
      <c r="BG32" s="2008"/>
      <c r="BH32" s="2008"/>
      <c r="BI32" s="2008"/>
      <c r="BJ32" s="267">
        <v>0</v>
      </c>
      <c r="BK32" s="265">
        <v>11</v>
      </c>
      <c r="BL32" s="2063">
        <v>10</v>
      </c>
      <c r="BM32" s="2010"/>
      <c r="BN32" s="266">
        <v>1</v>
      </c>
      <c r="BO32" s="266"/>
      <c r="BP32" s="266"/>
      <c r="BQ32" s="266"/>
      <c r="BR32" s="2010"/>
      <c r="BS32" s="2010"/>
      <c r="BT32" s="2010"/>
      <c r="BU32" s="2058"/>
      <c r="BV32" s="2064" t="str">
        <f>IF(BK32=BL32+BN32+BO32+BP32+BQ32+BR32+BT32,"無料","人数を再確認！")</f>
        <v>無料</v>
      </c>
      <c r="BW32" s="2065"/>
      <c r="BX32" s="344"/>
      <c r="BY32" s="2234"/>
      <c r="BZ32" s="2129"/>
      <c r="CA32" s="2118"/>
      <c r="CB32" s="2119"/>
      <c r="CC32" s="2119"/>
      <c r="CD32" s="2119"/>
      <c r="CE32" s="2120"/>
      <c r="CF32" s="2114"/>
      <c r="CG32" s="2090"/>
      <c r="CH32" s="2094"/>
      <c r="CI32" s="2095"/>
      <c r="CJ32" s="2096"/>
      <c r="CK32" s="2104"/>
      <c r="CL32" s="2095"/>
      <c r="CM32" s="2096"/>
      <c r="CN32" s="2104"/>
      <c r="CO32" s="2095"/>
      <c r="CP32" s="2096"/>
      <c r="CQ32" s="2104"/>
      <c r="CR32" s="2095"/>
      <c r="CS32" s="2096"/>
      <c r="CT32" s="2104"/>
      <c r="CU32" s="2095"/>
      <c r="CV32" s="2095"/>
      <c r="CW32" s="2308"/>
      <c r="CX32" s="2310"/>
      <c r="CY32" s="2297"/>
      <c r="CZ32" s="6"/>
      <c r="DA32" s="6"/>
      <c r="DB32" s="6"/>
      <c r="DC32" s="809"/>
      <c r="DD32" s="802"/>
      <c r="DE32" s="807"/>
      <c r="DF32" s="805"/>
      <c r="DG32" s="7"/>
      <c r="DH32" s="6"/>
      <c r="DI32" s="33"/>
      <c r="DJ32" s="33"/>
    </row>
    <row r="33" spans="1:114" ht="27" customHeight="1" thickBot="1">
      <c r="A33" s="2223"/>
      <c r="B33" s="2225"/>
      <c r="C33" s="1978"/>
      <c r="D33" s="2008" t="s">
        <v>168</v>
      </c>
      <c r="E33" s="2008"/>
      <c r="F33" s="2008"/>
      <c r="G33" s="2008"/>
      <c r="H33" s="268">
        <v>1100</v>
      </c>
      <c r="I33" s="265">
        <f>'04 利用者名簿'!BS3-'04 利用者名簿'!BS10</f>
        <v>0</v>
      </c>
      <c r="J33" s="2041"/>
      <c r="K33" s="1983"/>
      <c r="L33" s="269"/>
      <c r="M33" s="269"/>
      <c r="N33" s="269"/>
      <c r="O33" s="270"/>
      <c r="P33" s="1983"/>
      <c r="Q33" s="1983"/>
      <c r="R33" s="1983"/>
      <c r="S33" s="2046"/>
      <c r="T33" s="2068">
        <f>IF(I33=J33+L33+M33+N33+O33+P33+R33,H33*I33,"人数を再確認！")</f>
        <v>0</v>
      </c>
      <c r="U33" s="2069"/>
      <c r="V33" s="657" t="s">
        <v>2847</v>
      </c>
      <c r="W33" s="2234"/>
      <c r="X33" s="2129"/>
      <c r="Y33" s="1961"/>
      <c r="Z33" s="1962"/>
      <c r="AA33" s="1962"/>
      <c r="AB33" s="1962"/>
      <c r="AC33" s="1963"/>
      <c r="AD33" s="334"/>
      <c r="AE33" s="335">
        <f>SUM(AF33:AX33)</f>
        <v>0</v>
      </c>
      <c r="AF33" s="1889"/>
      <c r="AG33" s="1890"/>
      <c r="AH33" s="1890"/>
      <c r="AI33" s="1890"/>
      <c r="AJ33" s="1890"/>
      <c r="AK33" s="1890"/>
      <c r="AL33" s="1890"/>
      <c r="AM33" s="1890"/>
      <c r="AN33" s="1890"/>
      <c r="AO33" s="1932"/>
      <c r="AP33" s="1932"/>
      <c r="AQ33" s="1932"/>
      <c r="AR33" s="1932"/>
      <c r="AS33" s="1932"/>
      <c r="AT33" s="1932"/>
      <c r="AU33" s="1932"/>
      <c r="AV33" s="1932"/>
      <c r="AW33" s="1932"/>
      <c r="AX33" s="1932"/>
      <c r="AY33" s="1932"/>
      <c r="AZ33" s="2016"/>
      <c r="BA33" s="586">
        <f>IF(AE33=AF33+AI33+AL33+AO33+AR33+AU33+AX33,AE33*AD33,"数量を再確認！")</f>
        <v>0</v>
      </c>
      <c r="BB33" s="796"/>
      <c r="BC33" s="2042"/>
      <c r="BD33" s="1997"/>
      <c r="BE33" s="1978"/>
      <c r="BF33" s="2008" t="s">
        <v>168</v>
      </c>
      <c r="BG33" s="2008"/>
      <c r="BH33" s="2008"/>
      <c r="BI33" s="2008"/>
      <c r="BJ33" s="268">
        <v>1100</v>
      </c>
      <c r="BK33" s="265">
        <f>'04 利用者名簿'!DP3-'04 利用者名簿'!DP10</f>
        <v>0</v>
      </c>
      <c r="BL33" s="2041"/>
      <c r="BM33" s="1983"/>
      <c r="BN33" s="269"/>
      <c r="BO33" s="269"/>
      <c r="BP33" s="269"/>
      <c r="BQ33" s="270"/>
      <c r="BR33" s="1983"/>
      <c r="BS33" s="1983"/>
      <c r="BT33" s="1983"/>
      <c r="BU33" s="2046"/>
      <c r="BV33" s="2068">
        <f>IF(BK33=BL33+BN33+BO33+BP33+BQ33+BR33+BT33,BJ33*BK33,"人数を再確認！")</f>
        <v>0</v>
      </c>
      <c r="BW33" s="2069"/>
      <c r="BX33" s="338"/>
      <c r="BY33" s="2234"/>
      <c r="BZ33" s="2129"/>
      <c r="CA33" s="1961"/>
      <c r="CB33" s="1962"/>
      <c r="CC33" s="1962"/>
      <c r="CD33" s="1962"/>
      <c r="CE33" s="1963"/>
      <c r="CF33" s="334"/>
      <c r="CG33" s="335">
        <f>SUM(CH33:CX33)</f>
        <v>0</v>
      </c>
      <c r="CH33" s="2298"/>
      <c r="CI33" s="2299"/>
      <c r="CJ33" s="2300"/>
      <c r="CK33" s="2301"/>
      <c r="CL33" s="2302"/>
      <c r="CM33" s="2303"/>
      <c r="CN33" s="2301"/>
      <c r="CO33" s="2302"/>
      <c r="CP33" s="2303"/>
      <c r="CQ33" s="2304"/>
      <c r="CR33" s="2305"/>
      <c r="CS33" s="2306"/>
      <c r="CT33" s="2304"/>
      <c r="CU33" s="2305"/>
      <c r="CV33" s="2306"/>
      <c r="CW33" s="328"/>
      <c r="CX33" s="329"/>
      <c r="CY33" s="330">
        <f>IF(CG33=CH33+CK33+CN33+CQ33+CT33+CW33+CX33,CG33*CF33,"数量を再確認！")</f>
        <v>0</v>
      </c>
      <c r="CZ33" s="6"/>
      <c r="DA33" s="6"/>
      <c r="DB33" s="6"/>
      <c r="DC33" s="809"/>
      <c r="DD33" s="802"/>
      <c r="DE33" s="807"/>
      <c r="DF33" s="805"/>
      <c r="DG33" s="7"/>
      <c r="DH33" s="6"/>
      <c r="DI33" s="33"/>
      <c r="DJ33" s="33"/>
    </row>
    <row r="34" spans="1:114" ht="27" customHeight="1" thickTop="1" thickBot="1">
      <c r="A34" s="2223"/>
      <c r="B34" s="2225"/>
      <c r="C34" s="1978"/>
      <c r="D34" s="2052"/>
      <c r="E34" s="2053"/>
      <c r="F34" s="2054"/>
      <c r="G34" s="2055"/>
      <c r="H34" s="271"/>
      <c r="I34" s="272"/>
      <c r="J34" s="2011"/>
      <c r="K34" s="2012"/>
      <c r="L34" s="273"/>
      <c r="M34" s="273"/>
      <c r="N34" s="273"/>
      <c r="O34" s="274"/>
      <c r="P34" s="2012"/>
      <c r="Q34" s="2012"/>
      <c r="R34" s="2012"/>
      <c r="S34" s="2012"/>
      <c r="T34" s="2035"/>
      <c r="U34" s="2036"/>
      <c r="V34" s="657"/>
      <c r="W34" s="2234"/>
      <c r="X34" s="2129"/>
      <c r="Y34" s="2124" t="s">
        <v>3125</v>
      </c>
      <c r="Z34" s="2125"/>
      <c r="AA34" s="2125"/>
      <c r="AB34" s="2125"/>
      <c r="AC34" s="2126"/>
      <c r="AD34" s="533">
        <v>300</v>
      </c>
      <c r="AE34" s="335">
        <f>SUM(AF34:AX34)</f>
        <v>0</v>
      </c>
      <c r="AF34" s="2205"/>
      <c r="AG34" s="1928"/>
      <c r="AH34" s="1928"/>
      <c r="AI34" s="1928"/>
      <c r="AJ34" s="1928"/>
      <c r="AK34" s="1928"/>
      <c r="AL34" s="1928"/>
      <c r="AM34" s="1928"/>
      <c r="AN34" s="1928"/>
      <c r="AO34" s="1933"/>
      <c r="AP34" s="1933"/>
      <c r="AQ34" s="1933"/>
      <c r="AR34" s="1933"/>
      <c r="AS34" s="1933"/>
      <c r="AT34" s="1933"/>
      <c r="AU34" s="1933"/>
      <c r="AV34" s="1933"/>
      <c r="AW34" s="1933"/>
      <c r="AX34" s="1933"/>
      <c r="AY34" s="1933"/>
      <c r="AZ34" s="2017"/>
      <c r="BA34" s="587">
        <f>IF(AE34=AF34+AI34+AL34+AO34+AR34+AU34+AX34,AE34*AD34,"数量を再確認！")</f>
        <v>0</v>
      </c>
      <c r="BB34" s="796"/>
      <c r="BC34" s="2042"/>
      <c r="BD34" s="1997"/>
      <c r="BE34" s="1978"/>
      <c r="BF34" s="2052"/>
      <c r="BG34" s="2053"/>
      <c r="BH34" s="2054"/>
      <c r="BI34" s="2055"/>
      <c r="BJ34" s="271"/>
      <c r="BK34" s="272"/>
      <c r="BL34" s="2011"/>
      <c r="BM34" s="2012"/>
      <c r="BN34" s="273"/>
      <c r="BO34" s="273"/>
      <c r="BP34" s="273"/>
      <c r="BQ34" s="274"/>
      <c r="BR34" s="2012"/>
      <c r="BS34" s="2012"/>
      <c r="BT34" s="2012"/>
      <c r="BU34" s="2012"/>
      <c r="BV34" s="2035"/>
      <c r="BW34" s="2036"/>
      <c r="BX34" s="338"/>
      <c r="BY34" s="2234"/>
      <c r="BZ34" s="2129"/>
      <c r="CA34" s="2124" t="s">
        <v>3125</v>
      </c>
      <c r="CB34" s="2125"/>
      <c r="CC34" s="2125"/>
      <c r="CD34" s="2125"/>
      <c r="CE34" s="2126"/>
      <c r="CF34" s="533">
        <v>300</v>
      </c>
      <c r="CG34" s="335">
        <f>SUM(CH34:CX34)</f>
        <v>0</v>
      </c>
      <c r="CH34" s="1895"/>
      <c r="CI34" s="1896"/>
      <c r="CJ34" s="1897"/>
      <c r="CK34" s="1969"/>
      <c r="CL34" s="1970"/>
      <c r="CM34" s="1971"/>
      <c r="CN34" s="1969"/>
      <c r="CO34" s="1970"/>
      <c r="CP34" s="1971"/>
      <c r="CQ34" s="2109"/>
      <c r="CR34" s="2110"/>
      <c r="CS34" s="2111"/>
      <c r="CT34" s="2109"/>
      <c r="CU34" s="2110"/>
      <c r="CV34" s="2111"/>
      <c r="CW34" s="539"/>
      <c r="CX34" s="326"/>
      <c r="CY34" s="331">
        <f>IF(CG34=CH34+CK34+CN34+CQ34+CT34+CW34+CX34,CG34*CF34,"数量を再確認！")</f>
        <v>0</v>
      </c>
      <c r="CZ34" s="6"/>
      <c r="DA34" s="6"/>
      <c r="DB34" s="6"/>
      <c r="DC34" s="809"/>
      <c r="DD34" s="802"/>
      <c r="DE34" s="807"/>
      <c r="DF34" s="6"/>
      <c r="DG34" s="7"/>
      <c r="DH34" s="6"/>
      <c r="DI34" s="33"/>
      <c r="DJ34" s="33"/>
    </row>
    <row r="35" spans="1:114" ht="27" customHeight="1" thickTop="1" thickBot="1">
      <c r="A35" s="2223"/>
      <c r="B35" s="2225"/>
      <c r="C35" s="1978"/>
      <c r="D35" s="2052"/>
      <c r="E35" s="2053"/>
      <c r="F35" s="2054"/>
      <c r="G35" s="2055"/>
      <c r="H35" s="271"/>
      <c r="I35" s="272"/>
      <c r="J35" s="2056"/>
      <c r="K35" s="2057"/>
      <c r="L35" s="275"/>
      <c r="M35" s="275"/>
      <c r="N35" s="275"/>
      <c r="O35" s="276"/>
      <c r="P35" s="2057"/>
      <c r="Q35" s="2057"/>
      <c r="R35" s="2057"/>
      <c r="S35" s="2057"/>
      <c r="T35" s="2035"/>
      <c r="U35" s="2036"/>
      <c r="V35" s="657"/>
      <c r="W35" s="2235"/>
      <c r="X35" s="2130"/>
      <c r="Y35" s="2121" t="s">
        <v>1229</v>
      </c>
      <c r="Z35" s="2122"/>
      <c r="AA35" s="2122"/>
      <c r="AB35" s="2122"/>
      <c r="AC35" s="2122"/>
      <c r="AD35" s="2122"/>
      <c r="AE35" s="2123"/>
      <c r="AF35" s="1945">
        <f>$AD26*AF26+$AD28*AF28+$AD30*AF30+$AD31*AF31+$AD22*AF22+$AD23*AF23+$AD24*AF24+$AD25*AF25+$AD27*AF27+$AD29*AF29+$AD33*AF33+$AD34*AF34</f>
        <v>0</v>
      </c>
      <c r="AG35" s="1946"/>
      <c r="AH35" s="1947"/>
      <c r="AI35" s="1945">
        <f>$AD26*AI26+$AD28*AI28+$AD30*AI30+$AD31*AI31+$AD22*AI22+$AD23*AI23+$AD24*AI24+$AD25*AI25+$AD27*AI27+$AD29*AI29+$AD33*AI33+$AD34*AI34</f>
        <v>0</v>
      </c>
      <c r="AJ35" s="1946"/>
      <c r="AK35" s="1947"/>
      <c r="AL35" s="1945">
        <f>$AD26*AL26+$AD28*AL28+$AD30*AL30+$AD31*AL31+$AD22*AL22+$AD23*AL23+$AD24*AL24+$AD25*AL25+$AD27*AL27+$AD29*AL29+$AD33*AL33+$AD34*AL34</f>
        <v>0</v>
      </c>
      <c r="AM35" s="1946"/>
      <c r="AN35" s="1947"/>
      <c r="AO35" s="1945">
        <f>$AD26*AO26+$AD28*AO28+$AD30*AO30+$AD31*AO31+$AD22*AO22+$AD23*AO23+$AD24*AO24+$AD25*AO25+$AD27*AO27+$AD29*AO29+$AD33*AO33+$AD34*AO34</f>
        <v>0</v>
      </c>
      <c r="AP35" s="1946"/>
      <c r="AQ35" s="1947"/>
      <c r="AR35" s="1945">
        <f>$AD26*AR26+$AD28*AR28+$AD30*AR30+$AD31*AR31+$AD22*AR22+$AD23*AR23+$AD24*AR24+$AD25*AR25+$AD27*AR27+$AD29*AR29+$AD33*AR33+$AD34*AR34</f>
        <v>0</v>
      </c>
      <c r="AS35" s="1946"/>
      <c r="AT35" s="1947"/>
      <c r="AU35" s="1954">
        <f>$AD26*AU26+$AD28*AU28+$AD30*AU30+$AD31*AU31+$AD22*AU22+$AD23*AU23+$AD24*AU24+$AD25*AU25+$AD27*AU27+$AD29*AU29+$AD33*AU33+$AD34*AU34</f>
        <v>0</v>
      </c>
      <c r="AV35" s="1955"/>
      <c r="AW35" s="1956"/>
      <c r="AX35" s="1954">
        <f>$AD26*AX26+$AD28*AX28+$AD30*AX30+$AD31*AX31+$AD22*AX22+$AD23*AX23+$AD24*AX24+$AD25*AX25+$AD27*AX27+$AD29*AX29+$AD33*AX33+$AD34*AX34</f>
        <v>0</v>
      </c>
      <c r="AY35" s="1955"/>
      <c r="AZ35" s="1956"/>
      <c r="BA35" s="420">
        <f>IF(COUNTIF(BA22:BA34,"数量を再確認！"),"数量を再確認！",SUM(BA22:BA34))</f>
        <v>0</v>
      </c>
      <c r="BB35" s="795"/>
      <c r="BC35" s="2042"/>
      <c r="BD35" s="1997"/>
      <c r="BE35" s="1978"/>
      <c r="BF35" s="2052"/>
      <c r="BG35" s="2053"/>
      <c r="BH35" s="2054"/>
      <c r="BI35" s="2055"/>
      <c r="BJ35" s="271"/>
      <c r="BK35" s="272"/>
      <c r="BL35" s="2056"/>
      <c r="BM35" s="2057"/>
      <c r="BN35" s="275"/>
      <c r="BO35" s="275"/>
      <c r="BP35" s="275"/>
      <c r="BQ35" s="276"/>
      <c r="BR35" s="2057"/>
      <c r="BS35" s="2057"/>
      <c r="BT35" s="2057"/>
      <c r="BU35" s="2057"/>
      <c r="BV35" s="2035"/>
      <c r="BW35" s="2036"/>
      <c r="BX35" s="338"/>
      <c r="BY35" s="2235"/>
      <c r="BZ35" s="2130"/>
      <c r="CA35" s="2121" t="s">
        <v>1229</v>
      </c>
      <c r="CB35" s="2122"/>
      <c r="CC35" s="2122"/>
      <c r="CD35" s="2122"/>
      <c r="CE35" s="2122"/>
      <c r="CF35" s="2122"/>
      <c r="CG35" s="2123"/>
      <c r="CH35" s="2100">
        <f>$CF31*CG31+$CF22*CG22+$CF23*CG23+$CF24*CG24+$CF25*CG25+$CF27*CG27+$CF29*CG29+CF33*CG33+CF34*CG34</f>
        <v>45540</v>
      </c>
      <c r="CI35" s="2101"/>
      <c r="CJ35" s="2102"/>
      <c r="CK35" s="2100">
        <f>$AD$22*CK22+$AD$23*CK23+$AD$24*CK24+$AD$25*CK25+$AD$27*CK27+$AD$29*CK29+$AD$31*CK31+$AD$33*CK33+$AD$34*CK34</f>
        <v>3040</v>
      </c>
      <c r="CL35" s="2101"/>
      <c r="CM35" s="2102"/>
      <c r="CN35" s="2100">
        <f>$AD22*CN22+$AD23*CN23+$AD24*CN24+$AD25*CN25+$AD27*CN27+$AD29*CN29+CN31*CF31+CN33*CF33+CN34*CF34</f>
        <v>0</v>
      </c>
      <c r="CO35" s="2101"/>
      <c r="CP35" s="2102"/>
      <c r="CQ35" s="2084">
        <f>$AD31*CQ31+$AD22*CQ22+$AD23*CQ23+$AD24*CQ24+$AD25*CQ25+$AD27*CQ27+$AD29*CQ29+CF33*CQ33+CF34*CQ34</f>
        <v>0</v>
      </c>
      <c r="CR35" s="2085"/>
      <c r="CS35" s="2086"/>
      <c r="CT35" s="2084">
        <f>$AD31*CT31+$AD22*CT22+$AD23*CT23+$AD24*CT24+$AD25*CT25+$AD27*CT27+$AD29*CT29+CF33*CT33+CF34*CT34</f>
        <v>0</v>
      </c>
      <c r="CU35" s="2085"/>
      <c r="CV35" s="2086"/>
      <c r="CW35" s="322">
        <f>$AD31*CW31+$AD22*CW22+$AD23*CW23+$AD24*CW24+$AD25*CW25+$AD27*CW27+$AD29*CW29+CF33*CW33+CF34*CW34</f>
        <v>0</v>
      </c>
      <c r="CX35" s="322">
        <f>$AD31*CX31+$AD22*CX22+$AD23*CX23+$AD24*CX24+$AD25*CX25+$AD27*CX27+$AD29*CX29+CF33*CX33+CF34*CX34</f>
        <v>0</v>
      </c>
      <c r="CY35" s="473">
        <f>SUM(CY22:CY34)</f>
        <v>83540</v>
      </c>
      <c r="CZ35" s="6"/>
      <c r="DA35" s="6"/>
      <c r="DB35" s="6"/>
      <c r="DC35" s="2070" t="s">
        <v>79</v>
      </c>
      <c r="DD35" s="2070"/>
      <c r="DE35" s="807"/>
      <c r="DF35" s="805"/>
      <c r="DG35" s="7"/>
      <c r="DH35" s="6"/>
      <c r="DI35" s="33"/>
      <c r="DJ35" s="33"/>
    </row>
    <row r="36" spans="1:114" ht="27" customHeight="1" thickTop="1">
      <c r="A36" s="2223"/>
      <c r="B36" s="2225"/>
      <c r="C36" s="1978"/>
      <c r="D36" s="2024"/>
      <c r="E36" s="2024"/>
      <c r="F36" s="2024"/>
      <c r="G36" s="2024"/>
      <c r="H36" s="277"/>
      <c r="I36" s="278"/>
      <c r="J36" s="2032"/>
      <c r="K36" s="2033"/>
      <c r="L36" s="279"/>
      <c r="M36" s="280"/>
      <c r="N36" s="279"/>
      <c r="O36" s="280"/>
      <c r="P36" s="2033"/>
      <c r="Q36" s="2033"/>
      <c r="R36" s="2033"/>
      <c r="S36" s="2033"/>
      <c r="T36" s="2066"/>
      <c r="U36" s="2067"/>
      <c r="V36" s="663"/>
      <c r="W36" s="2080" t="s">
        <v>68</v>
      </c>
      <c r="X36" s="2127" t="s">
        <v>1237</v>
      </c>
      <c r="Y36" s="2127"/>
      <c r="Z36" s="2127"/>
      <c r="AA36" s="2127"/>
      <c r="AB36" s="2127"/>
      <c r="AC36" s="2127"/>
      <c r="AD36" s="2127"/>
      <c r="AE36" s="2128"/>
      <c r="AF36" s="1939">
        <f>($AD26*AF26+$AD28*AF28+$AD30*AF30+AF22*$AD22+AF25*$AD25+AF27*$AD27+AF29*$AD29+AF31*$AD31+AF33*$AD33+AF34*$AD34)+AF21+J29+J46</f>
        <v>0</v>
      </c>
      <c r="AG36" s="1940"/>
      <c r="AH36" s="1941"/>
      <c r="AI36" s="1939">
        <f>($AD26*AI26+$AD28*AI28+$AD30*AI30+AI22*$AD22+AI25*$AD25+AI27*$AD27+AI29*$AD29+AI31*$AD31+AI33*$AD33+AI34*$AD34)+AI21+L29+L46</f>
        <v>0</v>
      </c>
      <c r="AJ36" s="1940"/>
      <c r="AK36" s="1941"/>
      <c r="AL36" s="1939">
        <f>($AD26*AL26+$AD28*AL28+$AD30*AL30+AL22*$AD22+AL25*$AD25+AL27*$AD27+AL29*$AD29+AL31*$AD31+AL33*$AD33+AL34*$AD34)+AL21+M29+M46</f>
        <v>0</v>
      </c>
      <c r="AM36" s="1940"/>
      <c r="AN36" s="1941"/>
      <c r="AO36" s="1939">
        <f>($AD26*AO26+$AD28*AO28+$AD30*AO30+AO22*$AD22+AO25*$AD25+AO27*$AD27+AO29*$AD29+AO31*$AD31+AO33*$AD33+AO34*$AD34)+AO21+N29+N46</f>
        <v>0</v>
      </c>
      <c r="AP36" s="1940"/>
      <c r="AQ36" s="1941"/>
      <c r="AR36" s="1939">
        <f>($AD26*AR26+$AD28*AR28+$AD30*AR30+AR22*$AD22+AR25*$AD25+AR27*$AD27+AR29*$AD29+AR31*$AD31+AR33*$AD33+AR34*$AD34)+AR21+O29+O46</f>
        <v>0</v>
      </c>
      <c r="AS36" s="1940"/>
      <c r="AT36" s="1941"/>
      <c r="AU36" s="2018">
        <f>(AD26*AU26+AD28*AU28+AD30*AU30+AU22*AD22+AU25*AD25+AU27*AD27+AU29*AD29+AU31*AD31+AU33*AD33+AU34*AD34)+AU21+P29+P46</f>
        <v>0</v>
      </c>
      <c r="AV36" s="2019"/>
      <c r="AW36" s="2020"/>
      <c r="AX36" s="2018">
        <f>(AD26*AX26+AD28*AX28+AD30*AX30+AX22*AD22+AX25*AD25+AX27*AD27+AX29*AD29+AX31*AD31+AX33*AD33+AX34*AD34)+AX21+R29+R46</f>
        <v>0</v>
      </c>
      <c r="AY36" s="2019"/>
      <c r="AZ36" s="2217"/>
      <c r="BA36" s="419">
        <f>SUM(AF36:AX36)</f>
        <v>0</v>
      </c>
      <c r="BB36" s="797"/>
      <c r="BC36" s="2042"/>
      <c r="BD36" s="1997"/>
      <c r="BE36" s="1978"/>
      <c r="BF36" s="2024"/>
      <c r="BG36" s="2024"/>
      <c r="BH36" s="2024"/>
      <c r="BI36" s="2024"/>
      <c r="BJ36" s="277"/>
      <c r="BK36" s="278"/>
      <c r="BL36" s="2032"/>
      <c r="BM36" s="2033"/>
      <c r="BN36" s="279"/>
      <c r="BO36" s="280"/>
      <c r="BP36" s="279"/>
      <c r="BQ36" s="280"/>
      <c r="BR36" s="2033"/>
      <c r="BS36" s="2033"/>
      <c r="BT36" s="2033"/>
      <c r="BU36" s="2033"/>
      <c r="BV36" s="2066"/>
      <c r="BW36" s="2067"/>
      <c r="BX36" s="338"/>
      <c r="BY36" s="2080" t="s">
        <v>68</v>
      </c>
      <c r="BZ36" s="2127" t="s">
        <v>1237</v>
      </c>
      <c r="CA36" s="2127"/>
      <c r="CB36" s="2127"/>
      <c r="CC36" s="2127"/>
      <c r="CD36" s="2127"/>
      <c r="CE36" s="2127"/>
      <c r="CF36" s="2127"/>
      <c r="CG36" s="2128"/>
      <c r="CH36" s="1939">
        <f>(CH22*CF22+CH25*CF25+CH27*CF27+CH29*CF29+CH31*CF31+CH33*CF33+CH34*CF34)+CH21+BL29+BL46</f>
        <v>399200</v>
      </c>
      <c r="CI36" s="1940"/>
      <c r="CJ36" s="1941"/>
      <c r="CK36" s="1939">
        <f>(CK22*CF22+CK25*CF25+CK27*CF27+CK29*CF29+CK31*CF31+CK33*CF33+CK34*CF34)+CK21+BN29+BN46</f>
        <v>32230</v>
      </c>
      <c r="CL36" s="1940"/>
      <c r="CM36" s="1941"/>
      <c r="CN36" s="1939">
        <f>(CN22*CF22+CN25*CF25+CN27*CF27+CN29*CF29+CN31*CF31+CN33*CF33+CN34*CF34)+CN21+BO29+BO46</f>
        <v>1050</v>
      </c>
      <c r="CO36" s="1940"/>
      <c r="CP36" s="1941"/>
      <c r="CQ36" s="1939">
        <f>(CQ22*CF22+CQ25*CF25+CQ27*CF27+CQ29*CF29+CQ31*CF31+CQ33*CF33+CQ34*CF34)+CQ21+BP29+BP46</f>
        <v>640</v>
      </c>
      <c r="CR36" s="1940"/>
      <c r="CS36" s="1941"/>
      <c r="CT36" s="1939">
        <f>(CT22*CF22+CT25*CF25+CT27*CF27+CT29*CF29+CT31*CF31+CT33*CF33+CT34*CF34)+CT21+BQ29+BQ46</f>
        <v>0</v>
      </c>
      <c r="CU36" s="1940"/>
      <c r="CV36" s="1941"/>
      <c r="CW36" s="437">
        <f>(CW22*CF22+CW25*CF25+CW27*CF27+CW29*CF29+CW31*CF31+CW33*CF33+CW34*CF34)+CW21+BR29+BR46</f>
        <v>2030</v>
      </c>
      <c r="CX36" s="436">
        <f>(CX22*CG22+CX25*CG25+CX27*CG27+CX29*CG29+CX31*CG31+CX33*CG33+CX34*CG34)+CX21+BT29+BT46</f>
        <v>0</v>
      </c>
      <c r="CY36" s="474">
        <f>SUM(CH36:CX36)</f>
        <v>435150</v>
      </c>
      <c r="CZ36" s="6"/>
      <c r="DA36" s="6"/>
      <c r="DB36" s="6"/>
      <c r="DC36" s="11"/>
      <c r="DD36" s="6">
        <v>300</v>
      </c>
      <c r="DE36" s="807"/>
      <c r="DF36" s="805"/>
      <c r="DG36" s="7"/>
      <c r="DH36" s="6"/>
      <c r="DI36" s="33"/>
      <c r="DJ36" s="33"/>
    </row>
    <row r="37" spans="1:114" ht="27" customHeight="1" thickBot="1">
      <c r="A37" s="2223"/>
      <c r="B37" s="2225"/>
      <c r="C37" s="2002"/>
      <c r="D37" s="2027" t="s">
        <v>398</v>
      </c>
      <c r="E37" s="2028"/>
      <c r="F37" s="2028"/>
      <c r="G37" s="2028"/>
      <c r="H37" s="2029"/>
      <c r="I37" s="281">
        <f>SUM(I30:I33)</f>
        <v>0</v>
      </c>
      <c r="J37" s="2231">
        <f>$H$30*J30+$H$31*J31+$H$33*J33</f>
        <v>0</v>
      </c>
      <c r="K37" s="2232"/>
      <c r="L37" s="763">
        <f>$H$30*L30+$H$31*L31+$H$33*L33</f>
        <v>0</v>
      </c>
      <c r="M37" s="763">
        <f>$H$30*M30+$H$31*M31+$H$33*M33</f>
        <v>0</v>
      </c>
      <c r="N37" s="763">
        <f>$H$30*N30+$H$31*N31+$H$33*N33</f>
        <v>0</v>
      </c>
      <c r="O37" s="763">
        <f>$H$30*O30+$H$31*O31+$H$33*O33</f>
        <v>0</v>
      </c>
      <c r="P37" s="2233">
        <f>$H$30*P30+$H$31*P31+$H$33*P33</f>
        <v>0</v>
      </c>
      <c r="Q37" s="2232"/>
      <c r="R37" s="2233">
        <f>$H$30*R30+$H$31*R31+$H$33*R33</f>
        <v>0</v>
      </c>
      <c r="S37" s="2232"/>
      <c r="T37" s="2078">
        <f>IF(COUNTIF(T30:U33,"人数を再確認！"),"人数を再確認！",SUM(T30:U33))</f>
        <v>0</v>
      </c>
      <c r="U37" s="2079"/>
      <c r="V37" s="663"/>
      <c r="W37" s="2081"/>
      <c r="X37" s="1958" t="s">
        <v>1238</v>
      </c>
      <c r="Y37" s="1958"/>
      <c r="Z37" s="1958"/>
      <c r="AA37" s="1958"/>
      <c r="AB37" s="1958"/>
      <c r="AC37" s="1958"/>
      <c r="AD37" s="1958"/>
      <c r="AE37" s="1959"/>
      <c r="AF37" s="1942">
        <f>(J29-AF36)*-1</f>
        <v>0</v>
      </c>
      <c r="AG37" s="1943"/>
      <c r="AH37" s="1944"/>
      <c r="AI37" s="1951">
        <f>(L29-AI36)*-1</f>
        <v>0</v>
      </c>
      <c r="AJ37" s="1952"/>
      <c r="AK37" s="1953"/>
      <c r="AL37" s="1951">
        <f>(M29-AL36)*-1</f>
        <v>0</v>
      </c>
      <c r="AM37" s="1952"/>
      <c r="AN37" s="1953"/>
      <c r="AO37" s="1951">
        <f>(N29-AO36)*-1</f>
        <v>0</v>
      </c>
      <c r="AP37" s="1952"/>
      <c r="AQ37" s="1953"/>
      <c r="AR37" s="1951">
        <f>(O29-AR36)*-1</f>
        <v>0</v>
      </c>
      <c r="AS37" s="1952"/>
      <c r="AT37" s="1953"/>
      <c r="AU37" s="2218">
        <f>(P29-AU36)*-1</f>
        <v>0</v>
      </c>
      <c r="AV37" s="2219"/>
      <c r="AW37" s="2219"/>
      <c r="AX37" s="2218">
        <f>(R29-AX36)*-1</f>
        <v>0</v>
      </c>
      <c r="AY37" s="2219"/>
      <c r="AZ37" s="2220"/>
      <c r="BA37" s="427">
        <f>SUM(AF37:AX37)</f>
        <v>0</v>
      </c>
      <c r="BB37" s="797"/>
      <c r="BC37" s="2042"/>
      <c r="BD37" s="1997"/>
      <c r="BE37" s="2002"/>
      <c r="BF37" s="2027" t="s">
        <v>398</v>
      </c>
      <c r="BG37" s="2028"/>
      <c r="BH37" s="2028"/>
      <c r="BI37" s="2028"/>
      <c r="BJ37" s="2029"/>
      <c r="BK37" s="281">
        <f>SUM(BK30:BK33)</f>
        <v>108</v>
      </c>
      <c r="BL37" s="2025">
        <f>$H$30*BL30+$H$31*BL31+$H$33*BL33</f>
        <v>29700</v>
      </c>
      <c r="BM37" s="2026"/>
      <c r="BN37" s="282">
        <f>$H$30*BN30+$H$31*BN31+$H$33*BN33</f>
        <v>2310</v>
      </c>
      <c r="BO37" s="282">
        <f>$H$30*BO30+$H$31*BO31+$H$33*BO33</f>
        <v>0</v>
      </c>
      <c r="BP37" s="282">
        <f>$H$30*BP30+$H$31*BP31+$H$33*BP33</f>
        <v>0</v>
      </c>
      <c r="BQ37" s="282">
        <f>$H$30*BQ30+$H$31*BQ31+$H$33*BQ33</f>
        <v>0</v>
      </c>
      <c r="BR37" s="2112">
        <f>$H$30*BR30+$H$31*BR31+$H$33*BR33</f>
        <v>0</v>
      </c>
      <c r="BS37" s="2026"/>
      <c r="BT37" s="2112">
        <f>$H$30*BT30+$H$31*BT31+$H$33*BT33</f>
        <v>0</v>
      </c>
      <c r="BU37" s="2026"/>
      <c r="BV37" s="2078">
        <f>SUM(BV30:BW33)</f>
        <v>32010</v>
      </c>
      <c r="BW37" s="2079"/>
      <c r="BX37" s="338"/>
      <c r="BY37" s="2081"/>
      <c r="BZ37" s="1958" t="s">
        <v>1238</v>
      </c>
      <c r="CA37" s="1958"/>
      <c r="CB37" s="1958"/>
      <c r="CC37" s="1958"/>
      <c r="CD37" s="1958"/>
      <c r="CE37" s="1958"/>
      <c r="CF37" s="1958"/>
      <c r="CG37" s="1959"/>
      <c r="CH37" s="1942">
        <f>(BL29-CH36)*-1</f>
        <v>399200</v>
      </c>
      <c r="CI37" s="1943"/>
      <c r="CJ37" s="1944"/>
      <c r="CK37" s="1951">
        <f>(BN29-CK36)*-1</f>
        <v>32230</v>
      </c>
      <c r="CL37" s="1952"/>
      <c r="CM37" s="1953"/>
      <c r="CN37" s="1951">
        <f>(BO29-CN36)*-1</f>
        <v>700</v>
      </c>
      <c r="CO37" s="1952"/>
      <c r="CP37" s="1953"/>
      <c r="CQ37" s="1951">
        <f>(BP29-CQ36)*-1</f>
        <v>350</v>
      </c>
      <c r="CR37" s="1952"/>
      <c r="CS37" s="1953"/>
      <c r="CT37" s="1951">
        <f>(BQ29-CT36)*-1</f>
        <v>0</v>
      </c>
      <c r="CU37" s="1952"/>
      <c r="CV37" s="1953"/>
      <c r="CW37" s="438">
        <f>(BR29-CW36)*-1</f>
        <v>0</v>
      </c>
      <c r="CX37" s="439">
        <f>(BT29-CX36)*-1</f>
        <v>0</v>
      </c>
      <c r="CY37" s="475">
        <f>SUM(CH37:CX37)</f>
        <v>432480</v>
      </c>
      <c r="CZ37" s="6"/>
      <c r="DA37" s="6"/>
      <c r="DB37" s="6"/>
      <c r="DC37" s="11"/>
      <c r="DD37" s="6">
        <v>300</v>
      </c>
      <c r="DE37" s="807"/>
      <c r="DF37" s="805"/>
      <c r="DG37" s="7"/>
      <c r="DH37" s="6"/>
      <c r="DI37" s="33"/>
      <c r="DJ37" s="33"/>
    </row>
    <row r="38" spans="1:114" ht="27" customHeight="1" thickTop="1">
      <c r="A38" s="2223"/>
      <c r="B38" s="1997"/>
      <c r="C38" s="1977" t="s">
        <v>169</v>
      </c>
      <c r="D38" s="1980" t="s">
        <v>166</v>
      </c>
      <c r="E38" s="1980"/>
      <c r="F38" s="1980"/>
      <c r="G38" s="1980"/>
      <c r="H38" s="283">
        <v>110</v>
      </c>
      <c r="I38" s="265">
        <f>SUM('04 利用者名簿'!BP4:BQ4)-SUM('04 利用者名簿'!BU38+'04 利用者名簿'!BW38)</f>
        <v>0</v>
      </c>
      <c r="J38" s="1981"/>
      <c r="K38" s="1982"/>
      <c r="L38" s="263"/>
      <c r="M38" s="284"/>
      <c r="N38" s="263"/>
      <c r="O38" s="284"/>
      <c r="P38" s="2074"/>
      <c r="Q38" s="1982"/>
      <c r="R38" s="2074"/>
      <c r="S38" s="2075"/>
      <c r="T38" s="2076">
        <f>IF(I38=J38+L38+M38+N38+O38+P38+R38,H38*I38,"人数を再確認！")</f>
        <v>0</v>
      </c>
      <c r="U38" s="2077"/>
      <c r="V38" s="663" t="s">
        <v>2848</v>
      </c>
      <c r="W38" s="2082" t="s">
        <v>67</v>
      </c>
      <c r="X38" s="2072" t="s">
        <v>1240</v>
      </c>
      <c r="Y38" s="2072"/>
      <c r="Z38" s="2072"/>
      <c r="AA38" s="2072"/>
      <c r="AB38" s="2072"/>
      <c r="AC38" s="2072"/>
      <c r="AD38" s="2072"/>
      <c r="AE38" s="2073"/>
      <c r="AF38" s="1939">
        <f>J29+J46+AF21+AF35</f>
        <v>0</v>
      </c>
      <c r="AG38" s="1940"/>
      <c r="AH38" s="1941"/>
      <c r="AI38" s="1936">
        <f>L29+L46+AI21+AI35</f>
        <v>0</v>
      </c>
      <c r="AJ38" s="1937"/>
      <c r="AK38" s="1938"/>
      <c r="AL38" s="1936">
        <f>M29+M46+AL21+AL35</f>
        <v>0</v>
      </c>
      <c r="AM38" s="1937"/>
      <c r="AN38" s="1938"/>
      <c r="AO38" s="1948">
        <f>N29+N46+AO21+AO35</f>
        <v>0</v>
      </c>
      <c r="AP38" s="1949"/>
      <c r="AQ38" s="1950"/>
      <c r="AR38" s="1948">
        <f>O29+O46+AR21+AR35</f>
        <v>0</v>
      </c>
      <c r="AS38" s="1949"/>
      <c r="AT38" s="1950"/>
      <c r="AU38" s="2018">
        <f>P29+P46+AU21+AU35</f>
        <v>0</v>
      </c>
      <c r="AV38" s="2019"/>
      <c r="AW38" s="2020"/>
      <c r="AX38" s="2019">
        <f>R29+R46+AX21+AX35</f>
        <v>0</v>
      </c>
      <c r="AY38" s="2019"/>
      <c r="AZ38" s="2217"/>
      <c r="BA38" s="418">
        <f>SUM(AF38:AX38)</f>
        <v>0</v>
      </c>
      <c r="BB38" s="797"/>
      <c r="BC38" s="2042"/>
      <c r="BD38" s="1997"/>
      <c r="BE38" s="1977" t="s">
        <v>169</v>
      </c>
      <c r="BF38" s="1980" t="s">
        <v>166</v>
      </c>
      <c r="BG38" s="1980"/>
      <c r="BH38" s="1980"/>
      <c r="BI38" s="1980"/>
      <c r="BJ38" s="283">
        <v>110</v>
      </c>
      <c r="BK38" s="265">
        <f>SUM('04 利用者名簿'!DM4:DN4)-SUM('04 利用者名簿'!DR38+'04 利用者名簿'!DT38)</f>
        <v>0</v>
      </c>
      <c r="BL38" s="1981"/>
      <c r="BM38" s="1982"/>
      <c r="BN38" s="263"/>
      <c r="BO38" s="284"/>
      <c r="BP38" s="263"/>
      <c r="BQ38" s="284"/>
      <c r="BR38" s="2074"/>
      <c r="BS38" s="1982"/>
      <c r="BT38" s="2074"/>
      <c r="BU38" s="2075"/>
      <c r="BV38" s="2076">
        <f>IF(BK38=BL38+BN38+BO38+BP38+BQ38+BR38+BT38,BJ38*BK38,"人数を再確認！")</f>
        <v>0</v>
      </c>
      <c r="BW38" s="2077"/>
      <c r="BX38" s="338"/>
      <c r="BY38" s="2082" t="s">
        <v>67</v>
      </c>
      <c r="BZ38" s="2072" t="s">
        <v>1240</v>
      </c>
      <c r="CA38" s="2072"/>
      <c r="CB38" s="2072"/>
      <c r="CC38" s="2072"/>
      <c r="CD38" s="2072"/>
      <c r="CE38" s="2072"/>
      <c r="CF38" s="2072"/>
      <c r="CG38" s="2073"/>
      <c r="CH38" s="1939">
        <f>BL29+BL46+CH21+CH35</f>
        <v>402240</v>
      </c>
      <c r="CI38" s="1940"/>
      <c r="CJ38" s="1941"/>
      <c r="CK38" s="1936">
        <f>BN29+BN46+CK21+CK35</f>
        <v>32230</v>
      </c>
      <c r="CL38" s="1937"/>
      <c r="CM38" s="1938"/>
      <c r="CN38" s="1936">
        <f>BO29+BO46+CN21+CN35</f>
        <v>1050</v>
      </c>
      <c r="CO38" s="1937"/>
      <c r="CP38" s="1938"/>
      <c r="CQ38" s="1948">
        <f>BP29+BP46+CQ21+CQ35</f>
        <v>640</v>
      </c>
      <c r="CR38" s="1949"/>
      <c r="CS38" s="1950"/>
      <c r="CT38" s="1948">
        <f>BQ29+BQ46+CT21+CT35</f>
        <v>0</v>
      </c>
      <c r="CU38" s="1949"/>
      <c r="CV38" s="1950"/>
      <c r="CW38" s="437">
        <f>BR29+BR46+CW21+CW35</f>
        <v>2030</v>
      </c>
      <c r="CX38" s="436">
        <f>BT29+BT46+CX21+CX35</f>
        <v>0</v>
      </c>
      <c r="CY38" s="476">
        <f>SUM(CH38:CX38)</f>
        <v>438190</v>
      </c>
      <c r="CZ38" s="6"/>
      <c r="DA38" s="6"/>
      <c r="DB38" s="6"/>
      <c r="DC38" s="11" t="s">
        <v>2950</v>
      </c>
      <c r="DD38" s="6">
        <v>370</v>
      </c>
      <c r="DE38" s="807" t="s">
        <v>2997</v>
      </c>
      <c r="DF38" s="33"/>
      <c r="DG38" s="33"/>
      <c r="DH38" s="6"/>
      <c r="DI38" s="33"/>
      <c r="DJ38" s="33"/>
    </row>
    <row r="39" spans="1:114" ht="27" customHeight="1" thickBot="1">
      <c r="A39" s="2223"/>
      <c r="B39" s="1997"/>
      <c r="C39" s="1978"/>
      <c r="D39" s="2004" t="s">
        <v>284</v>
      </c>
      <c r="E39" s="2005"/>
      <c r="F39" s="2006"/>
      <c r="G39" s="2007"/>
      <c r="H39" s="268">
        <v>110</v>
      </c>
      <c r="I39" s="265">
        <f>'04 利用者名簿'!BR7</f>
        <v>0</v>
      </c>
      <c r="J39" s="2063"/>
      <c r="K39" s="2010"/>
      <c r="L39" s="266"/>
      <c r="M39" s="285"/>
      <c r="N39" s="266"/>
      <c r="O39" s="285"/>
      <c r="P39" s="2010"/>
      <c r="Q39" s="2010"/>
      <c r="R39" s="2010"/>
      <c r="S39" s="2058"/>
      <c r="T39" s="2064">
        <f>IF(I39=J39+L39+M39+N39+O39+P39+R39,H39*I39,"人数を再確認！")</f>
        <v>0</v>
      </c>
      <c r="U39" s="2065"/>
      <c r="V39" s="663" t="s">
        <v>2849</v>
      </c>
      <c r="W39" s="2083"/>
      <c r="X39" s="1958" t="s">
        <v>1239</v>
      </c>
      <c r="Y39" s="1958"/>
      <c r="Z39" s="1958"/>
      <c r="AA39" s="1958"/>
      <c r="AB39" s="1958"/>
      <c r="AC39" s="1958"/>
      <c r="AD39" s="1958"/>
      <c r="AE39" s="1959"/>
      <c r="AF39" s="1942">
        <f>(J29-AF38)*-1</f>
        <v>0</v>
      </c>
      <c r="AG39" s="1943"/>
      <c r="AH39" s="1944"/>
      <c r="AI39" s="1942">
        <f>(L29-AI38)*-1</f>
        <v>0</v>
      </c>
      <c r="AJ39" s="1943"/>
      <c r="AK39" s="1944"/>
      <c r="AL39" s="1942">
        <f>(M29-AL38)*-1</f>
        <v>0</v>
      </c>
      <c r="AM39" s="1943"/>
      <c r="AN39" s="1944"/>
      <c r="AO39" s="1942">
        <f>(N29-AO38)*-1</f>
        <v>0</v>
      </c>
      <c r="AP39" s="1943"/>
      <c r="AQ39" s="1944"/>
      <c r="AR39" s="1942">
        <f>(O29-AR38)*-1</f>
        <v>0</v>
      </c>
      <c r="AS39" s="1943"/>
      <c r="AT39" s="1944"/>
      <c r="AU39" s="2218">
        <f>(P29-AU38)*-1</f>
        <v>0</v>
      </c>
      <c r="AV39" s="2219"/>
      <c r="AW39" s="2221"/>
      <c r="AX39" s="2218">
        <f>(R29-AX38)*-1</f>
        <v>0</v>
      </c>
      <c r="AY39" s="2219"/>
      <c r="AZ39" s="2220"/>
      <c r="BA39" s="428">
        <f>SUM(AF39:AX39)</f>
        <v>0</v>
      </c>
      <c r="BB39" s="797"/>
      <c r="BC39" s="2042"/>
      <c r="BD39" s="1997"/>
      <c r="BE39" s="1978"/>
      <c r="BF39" s="2004" t="s">
        <v>284</v>
      </c>
      <c r="BG39" s="2005"/>
      <c r="BH39" s="2006"/>
      <c r="BI39" s="2007"/>
      <c r="BJ39" s="268">
        <v>110</v>
      </c>
      <c r="BK39" s="265">
        <f>'04 利用者名簿'!DO7</f>
        <v>0</v>
      </c>
      <c r="BL39" s="2063"/>
      <c r="BM39" s="2010"/>
      <c r="BN39" s="266"/>
      <c r="BO39" s="285"/>
      <c r="BP39" s="266"/>
      <c r="BQ39" s="285"/>
      <c r="BR39" s="2010"/>
      <c r="BS39" s="2010"/>
      <c r="BT39" s="2010"/>
      <c r="BU39" s="2058"/>
      <c r="BV39" s="2064">
        <f>IF(BK39=BL39+BN39+BO39+BP39+BQ39+BR39+BT39,BJ39*BK39,"人数を再確認！")</f>
        <v>0</v>
      </c>
      <c r="BW39" s="2065"/>
      <c r="BX39" s="338"/>
      <c r="BY39" s="2083"/>
      <c r="BZ39" s="1958" t="s">
        <v>1239</v>
      </c>
      <c r="CA39" s="1958"/>
      <c r="CB39" s="1958"/>
      <c r="CC39" s="1958"/>
      <c r="CD39" s="1958"/>
      <c r="CE39" s="1958"/>
      <c r="CF39" s="1958"/>
      <c r="CG39" s="1959"/>
      <c r="CH39" s="1942">
        <f>(BL29-CH38)*-1</f>
        <v>402240</v>
      </c>
      <c r="CI39" s="1943"/>
      <c r="CJ39" s="1944"/>
      <c r="CK39" s="1942">
        <f>(BN29-CK38)*-1</f>
        <v>32230</v>
      </c>
      <c r="CL39" s="1943"/>
      <c r="CM39" s="1944"/>
      <c r="CN39" s="1942">
        <f>(BO29-CN38)*-1</f>
        <v>700</v>
      </c>
      <c r="CO39" s="1943"/>
      <c r="CP39" s="1944"/>
      <c r="CQ39" s="1942">
        <f>(BP29-CQ38)*-1</f>
        <v>350</v>
      </c>
      <c r="CR39" s="1943"/>
      <c r="CS39" s="1944"/>
      <c r="CT39" s="1942">
        <f>(BQ29-CT38)*-1</f>
        <v>0</v>
      </c>
      <c r="CU39" s="1943"/>
      <c r="CV39" s="1944"/>
      <c r="CW39" s="440">
        <f>(BR29-CW38)*-1</f>
        <v>0</v>
      </c>
      <c r="CX39" s="441">
        <f>(BT29-CX38)*-1</f>
        <v>0</v>
      </c>
      <c r="CY39" s="477">
        <f>SUM(CH39:CX39)</f>
        <v>435520</v>
      </c>
      <c r="CZ39" s="6"/>
      <c r="DA39" s="6"/>
      <c r="DB39" s="6"/>
      <c r="DC39" s="11" t="s">
        <v>2974</v>
      </c>
      <c r="DD39" s="6">
        <v>610</v>
      </c>
      <c r="DE39" s="807" t="s">
        <v>2998</v>
      </c>
      <c r="DF39" s="33"/>
      <c r="DG39" s="33"/>
      <c r="DH39" s="6"/>
      <c r="DI39" s="33"/>
      <c r="DJ39" s="33"/>
    </row>
    <row r="40" spans="1:114" ht="27" customHeight="1" thickTop="1">
      <c r="A40" s="2223"/>
      <c r="B40" s="1997"/>
      <c r="C40" s="1978"/>
      <c r="D40" s="2008" t="s">
        <v>167</v>
      </c>
      <c r="E40" s="2008"/>
      <c r="F40" s="2008"/>
      <c r="G40" s="2008"/>
      <c r="H40" s="286">
        <v>0</v>
      </c>
      <c r="I40" s="265">
        <f>'04 利用者名簿'!BU38+'04 利用者名簿'!BW38+'04 利用者名簿'!BY38+'04 利用者名簿'!CA38</f>
        <v>0</v>
      </c>
      <c r="J40" s="2063"/>
      <c r="K40" s="2010"/>
      <c r="L40" s="266"/>
      <c r="M40" s="285"/>
      <c r="N40" s="266"/>
      <c r="O40" s="285"/>
      <c r="P40" s="2010"/>
      <c r="Q40" s="2010"/>
      <c r="R40" s="2010"/>
      <c r="S40" s="2058"/>
      <c r="T40" s="2064" t="str">
        <f>IF(I40=J40+L40+M40+N40+O40+P40+R40,"無料","人数を再確認！")</f>
        <v>無料</v>
      </c>
      <c r="U40" s="2065"/>
      <c r="V40" s="657"/>
      <c r="W40" s="12"/>
      <c r="X40" s="12"/>
      <c r="Y40" s="12"/>
      <c r="Z40" s="12"/>
      <c r="AA40" s="12"/>
      <c r="AB40" s="12"/>
      <c r="AC40" s="2206" t="s">
        <v>3184</v>
      </c>
      <c r="AD40" s="2207"/>
      <c r="AE40" s="2207"/>
      <c r="AF40" s="2207"/>
      <c r="AG40" s="2207"/>
      <c r="AH40" s="2207"/>
      <c r="AI40" s="2207"/>
      <c r="AJ40" s="2207"/>
      <c r="AK40" s="2207"/>
      <c r="AL40" s="2207"/>
      <c r="AM40" s="2207"/>
      <c r="AN40" s="2207"/>
      <c r="AO40" s="2207"/>
      <c r="AP40" s="2207"/>
      <c r="AQ40" s="2207"/>
      <c r="AR40" s="2207"/>
      <c r="AS40" s="2207"/>
      <c r="AT40" s="2207"/>
      <c r="AU40" s="2207"/>
      <c r="AV40" s="2207"/>
      <c r="AW40" s="2207"/>
      <c r="AX40" s="2207"/>
      <c r="AY40" s="2207"/>
      <c r="AZ40" s="2207"/>
      <c r="BA40" s="2207"/>
      <c r="BB40" s="12"/>
      <c r="BC40" s="2042"/>
      <c r="BD40" s="1997"/>
      <c r="BE40" s="1978"/>
      <c r="BF40" s="2008" t="s">
        <v>167</v>
      </c>
      <c r="BG40" s="2008"/>
      <c r="BH40" s="2008"/>
      <c r="BI40" s="2008"/>
      <c r="BJ40" s="286">
        <v>0</v>
      </c>
      <c r="BK40" s="265">
        <f>'04 利用者名簿'!DR38+'04 利用者名簿'!DT38+'04 利用者名簿'!DV38+'04 利用者名簿'!DX38</f>
        <v>0</v>
      </c>
      <c r="BL40" s="2063"/>
      <c r="BM40" s="2010"/>
      <c r="BN40" s="266"/>
      <c r="BO40" s="285"/>
      <c r="BP40" s="266"/>
      <c r="BQ40" s="285"/>
      <c r="BR40" s="2010"/>
      <c r="BS40" s="2010"/>
      <c r="BT40" s="2010"/>
      <c r="BU40" s="2058"/>
      <c r="BV40" s="2064" t="str">
        <f>IF(BK40=BL40+BN40+BO40+BP40+BQ40+BR40+BT40,"無料","人数を再確認！")</f>
        <v>無料</v>
      </c>
      <c r="BW40" s="2065"/>
      <c r="BX40" s="338"/>
      <c r="BY40" s="2071"/>
      <c r="BZ40" s="2071"/>
      <c r="CA40" s="2071"/>
      <c r="CB40" s="2071"/>
      <c r="CC40" s="2071"/>
      <c r="CD40" s="2071"/>
      <c r="CE40" s="2071"/>
      <c r="CF40" s="2071"/>
      <c r="CG40" s="2071"/>
      <c r="CH40" s="2071"/>
      <c r="CI40" s="2071"/>
      <c r="CJ40" s="2071"/>
      <c r="CK40" s="2071"/>
      <c r="CL40" s="2071"/>
      <c r="CM40" s="2071"/>
      <c r="CN40" s="2071"/>
      <c r="CO40" s="2071"/>
      <c r="CP40" s="2071"/>
      <c r="CQ40" s="2071"/>
      <c r="CR40" s="2071"/>
      <c r="CS40" s="2071"/>
      <c r="CT40" s="2071"/>
      <c r="CU40" s="2071"/>
      <c r="CV40" s="2071"/>
      <c r="CW40" s="2071"/>
      <c r="CX40" s="345"/>
      <c r="CY40" s="338"/>
      <c r="CZ40" s="6"/>
      <c r="DA40" s="6"/>
      <c r="DB40" s="6"/>
      <c r="DC40" s="11"/>
      <c r="DD40" s="6">
        <v>500</v>
      </c>
      <c r="DE40" s="807"/>
      <c r="DF40" s="33"/>
      <c r="DG40" s="33"/>
      <c r="DH40" s="33"/>
      <c r="DI40" s="33"/>
      <c r="DJ40" s="33"/>
    </row>
    <row r="41" spans="1:114" ht="27" customHeight="1" thickBot="1">
      <c r="A41" s="2223"/>
      <c r="B41" s="1997"/>
      <c r="C41" s="1978"/>
      <c r="D41" s="2008" t="s">
        <v>168</v>
      </c>
      <c r="E41" s="2008"/>
      <c r="F41" s="2008"/>
      <c r="G41" s="2008"/>
      <c r="H41" s="287">
        <v>350</v>
      </c>
      <c r="I41" s="265">
        <f>'04 利用者名簿'!BS4-'04 利用者名簿'!BS9</f>
        <v>0</v>
      </c>
      <c r="J41" s="2041"/>
      <c r="K41" s="1983"/>
      <c r="L41" s="269"/>
      <c r="M41" s="270"/>
      <c r="N41" s="269"/>
      <c r="O41" s="270"/>
      <c r="P41" s="1983"/>
      <c r="Q41" s="1983"/>
      <c r="R41" s="1983"/>
      <c r="S41" s="2046"/>
      <c r="T41" s="2064">
        <f>IF(I41=J41+L41+M41+N41+O41+P41+R41,H41*I41,"人数を再確認！")</f>
        <v>0</v>
      </c>
      <c r="U41" s="2065"/>
      <c r="V41" s="657" t="s">
        <v>2850</v>
      </c>
      <c r="W41" s="1957" t="s">
        <v>2772</v>
      </c>
      <c r="X41" s="1957"/>
      <c r="Y41" s="1957"/>
      <c r="Z41" s="1957"/>
      <c r="AA41" s="1957"/>
      <c r="AB41" s="160"/>
      <c r="AC41" s="2208"/>
      <c r="AD41" s="2208"/>
      <c r="AE41" s="2208"/>
      <c r="AF41" s="2208"/>
      <c r="AG41" s="2208"/>
      <c r="AH41" s="2208"/>
      <c r="AI41" s="2208"/>
      <c r="AJ41" s="2208"/>
      <c r="AK41" s="2208"/>
      <c r="AL41" s="2208"/>
      <c r="AM41" s="2208"/>
      <c r="AN41" s="2208"/>
      <c r="AO41" s="2208"/>
      <c r="AP41" s="2208"/>
      <c r="AQ41" s="2208"/>
      <c r="AR41" s="2208"/>
      <c r="AS41" s="2208"/>
      <c r="AT41" s="2208"/>
      <c r="AU41" s="2208"/>
      <c r="AV41" s="2208"/>
      <c r="AW41" s="2208"/>
      <c r="AX41" s="2208"/>
      <c r="AY41" s="2208"/>
      <c r="AZ41" s="2208"/>
      <c r="BA41" s="2208"/>
      <c r="BB41" s="12"/>
      <c r="BC41" s="2044"/>
      <c r="BD41" s="1997"/>
      <c r="BE41" s="1978"/>
      <c r="BF41" s="2008" t="s">
        <v>168</v>
      </c>
      <c r="BG41" s="2008"/>
      <c r="BH41" s="2008"/>
      <c r="BI41" s="2008"/>
      <c r="BJ41" s="287">
        <v>350</v>
      </c>
      <c r="BK41" s="265">
        <v>3</v>
      </c>
      <c r="BL41" s="2041"/>
      <c r="BM41" s="1983"/>
      <c r="BN41" s="269"/>
      <c r="BO41" s="270">
        <v>2</v>
      </c>
      <c r="BP41" s="269">
        <v>1</v>
      </c>
      <c r="BQ41" s="270"/>
      <c r="BR41" s="1983"/>
      <c r="BS41" s="1983"/>
      <c r="BT41" s="1983"/>
      <c r="BU41" s="2046"/>
      <c r="BV41" s="2064">
        <f>IF(BK41=BL41+BN41+BO41+BP41+BQ41+BR41+BT41,BJ41*BK41,"人数を再確認！")</f>
        <v>1050</v>
      </c>
      <c r="BW41" s="2065"/>
      <c r="BX41" s="338"/>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6"/>
      <c r="DA41" s="6"/>
      <c r="DB41" s="6"/>
      <c r="DC41" s="11" t="s">
        <v>2972</v>
      </c>
      <c r="DD41" s="6">
        <v>610</v>
      </c>
      <c r="DE41" s="807" t="s">
        <v>2999</v>
      </c>
      <c r="DF41" s="33"/>
      <c r="DG41" s="33"/>
      <c r="DH41" s="33"/>
      <c r="DI41" s="33"/>
      <c r="DJ41" s="33"/>
    </row>
    <row r="42" spans="1:114" ht="27" customHeight="1" thickTop="1">
      <c r="A42" s="2223"/>
      <c r="B42" s="1997"/>
      <c r="C42" s="1978"/>
      <c r="D42" s="2037"/>
      <c r="E42" s="2038"/>
      <c r="F42" s="2039"/>
      <c r="G42" s="2040"/>
      <c r="H42" s="288"/>
      <c r="I42" s="272"/>
      <c r="J42" s="2011"/>
      <c r="K42" s="2012"/>
      <c r="L42" s="273"/>
      <c r="M42" s="274"/>
      <c r="N42" s="273"/>
      <c r="O42" s="274"/>
      <c r="P42" s="2012"/>
      <c r="Q42" s="2012"/>
      <c r="R42" s="2012"/>
      <c r="S42" s="2012"/>
      <c r="T42" s="2035"/>
      <c r="U42" s="2036"/>
      <c r="V42" s="654"/>
      <c r="W42" s="2213" t="s">
        <v>129</v>
      </c>
      <c r="X42" s="1934"/>
      <c r="Y42" s="1934" t="s">
        <v>3170</v>
      </c>
      <c r="Z42" s="1934"/>
      <c r="AA42" s="1934"/>
      <c r="AB42" s="1934"/>
      <c r="AC42" s="1934" t="s">
        <v>2770</v>
      </c>
      <c r="AD42" s="1934"/>
      <c r="AE42" s="1934"/>
      <c r="AF42" s="1934" t="s">
        <v>2770</v>
      </c>
      <c r="AG42" s="1934"/>
      <c r="AH42" s="1934"/>
      <c r="AI42" s="1934" t="s">
        <v>2770</v>
      </c>
      <c r="AJ42" s="1934"/>
      <c r="AK42" s="1934"/>
      <c r="AL42" s="1934" t="s">
        <v>2770</v>
      </c>
      <c r="AM42" s="1934"/>
      <c r="AN42" s="1934"/>
      <c r="AO42" s="1934" t="s">
        <v>2770</v>
      </c>
      <c r="AP42" s="1934"/>
      <c r="AQ42" s="1934"/>
      <c r="AR42" s="1934" t="s">
        <v>98</v>
      </c>
      <c r="AS42" s="1934"/>
      <c r="AT42" s="1934"/>
      <c r="AU42" s="1935"/>
      <c r="AV42" s="583"/>
      <c r="AW42" s="583"/>
      <c r="AX42" s="126"/>
      <c r="AY42" s="126"/>
      <c r="AZ42" s="126"/>
      <c r="BA42" s="126"/>
      <c r="BB42" s="126"/>
      <c r="BC42" s="2044"/>
      <c r="BD42" s="1997"/>
      <c r="BE42" s="1978"/>
      <c r="BF42" s="2037"/>
      <c r="BG42" s="2038"/>
      <c r="BH42" s="2039"/>
      <c r="BI42" s="2040"/>
      <c r="BJ42" s="288"/>
      <c r="BK42" s="272"/>
      <c r="BL42" s="2011"/>
      <c r="BM42" s="2012"/>
      <c r="BN42" s="273"/>
      <c r="BO42" s="274"/>
      <c r="BP42" s="273"/>
      <c r="BQ42" s="274"/>
      <c r="BR42" s="2012"/>
      <c r="BS42" s="2012"/>
      <c r="BT42" s="2012"/>
      <c r="BU42" s="2012"/>
      <c r="BV42" s="2035"/>
      <c r="BW42" s="2036"/>
      <c r="BX42" s="338"/>
      <c r="BY42" s="149"/>
      <c r="BZ42" s="126"/>
      <c r="CA42" s="126"/>
      <c r="CB42" s="126"/>
      <c r="CC42" s="147"/>
      <c r="CD42" s="147"/>
      <c r="CE42" s="147"/>
      <c r="CF42" s="145"/>
      <c r="CG42" s="146"/>
      <c r="CH42" s="146"/>
      <c r="CI42" s="145"/>
      <c r="CJ42" s="145"/>
      <c r="CK42" s="145"/>
      <c r="CL42" s="145"/>
      <c r="CM42" s="145"/>
      <c r="CN42" s="145"/>
      <c r="CO42" s="145"/>
      <c r="CP42" s="145"/>
      <c r="CQ42" s="145"/>
      <c r="CR42" s="145"/>
      <c r="CS42" s="145"/>
      <c r="CT42" s="145"/>
      <c r="CU42" s="145"/>
      <c r="CV42" s="126"/>
      <c r="CW42" s="126"/>
      <c r="CX42" s="126"/>
      <c r="CY42" s="126"/>
      <c r="CZ42" s="6"/>
      <c r="DA42" s="6"/>
      <c r="DB42" s="6"/>
      <c r="DC42" s="2070" t="s">
        <v>97</v>
      </c>
      <c r="DD42" s="2070"/>
      <c r="DE42" s="807"/>
      <c r="DF42" s="6"/>
      <c r="DG42" s="33"/>
      <c r="DH42" s="33"/>
      <c r="DI42" s="33"/>
      <c r="DJ42" s="33"/>
    </row>
    <row r="43" spans="1:114" ht="27" customHeight="1">
      <c r="A43" s="2223"/>
      <c r="B43" s="1997"/>
      <c r="C43" s="1978"/>
      <c r="D43" s="2052"/>
      <c r="E43" s="2053"/>
      <c r="F43" s="2054"/>
      <c r="G43" s="2055"/>
      <c r="H43" s="289"/>
      <c r="I43" s="272"/>
      <c r="J43" s="2056"/>
      <c r="K43" s="2057"/>
      <c r="L43" s="275"/>
      <c r="M43" s="276"/>
      <c r="N43" s="275"/>
      <c r="O43" s="276"/>
      <c r="P43" s="2057"/>
      <c r="Q43" s="2057"/>
      <c r="R43" s="2057"/>
      <c r="S43" s="2057"/>
      <c r="T43" s="2035"/>
      <c r="U43" s="2036"/>
      <c r="V43" s="654"/>
      <c r="W43" s="1055">
        <f>'03 食事申込書'!A44</f>
        <v>0</v>
      </c>
      <c r="X43" s="589" t="s">
        <v>12</v>
      </c>
      <c r="Y43" s="2202">
        <f>'03 食事申込書'!C44</f>
        <v>0</v>
      </c>
      <c r="Z43" s="2203"/>
      <c r="AA43" s="2203"/>
      <c r="AB43" s="2204"/>
      <c r="AC43" s="588">
        <f>'03 食事申込書'!H44</f>
        <v>0</v>
      </c>
      <c r="AD43" s="590" t="s">
        <v>99</v>
      </c>
      <c r="AE43" s="591">
        <f>'03 食事申込書'!J44</f>
        <v>0</v>
      </c>
      <c r="AF43" s="592">
        <f>'03 食事申込書'!K44</f>
        <v>0</v>
      </c>
      <c r="AG43" s="590" t="s">
        <v>99</v>
      </c>
      <c r="AH43" s="593">
        <f>'03 食事申込書'!M44</f>
        <v>0</v>
      </c>
      <c r="AI43" s="594">
        <f>'03 食事申込書'!N44</f>
        <v>0</v>
      </c>
      <c r="AJ43" s="590" t="s">
        <v>99</v>
      </c>
      <c r="AK43" s="593">
        <f>'03 食事申込書'!P44</f>
        <v>0</v>
      </c>
      <c r="AL43" s="594">
        <f>'03 食事申込書'!Q44</f>
        <v>0</v>
      </c>
      <c r="AM43" s="590" t="s">
        <v>99</v>
      </c>
      <c r="AN43" s="593">
        <f>'03 食事申込書'!S44</f>
        <v>0</v>
      </c>
      <c r="AO43" s="594">
        <f>'03 食事申込書'!T44</f>
        <v>0</v>
      </c>
      <c r="AP43" s="590" t="s">
        <v>99</v>
      </c>
      <c r="AQ43" s="593">
        <f>'03 食事申込書'!V44</f>
        <v>0</v>
      </c>
      <c r="AR43" s="595">
        <f>'03 食事申込書'!W44</f>
        <v>0</v>
      </c>
      <c r="AS43" s="596" t="s">
        <v>24</v>
      </c>
      <c r="AT43" s="596">
        <f>'03 食事申込書'!Y44</f>
        <v>0</v>
      </c>
      <c r="AU43" s="597" t="s">
        <v>2771</v>
      </c>
      <c r="AV43" s="146"/>
      <c r="AW43" s="146"/>
      <c r="BB43" s="33"/>
      <c r="BC43" s="2044"/>
      <c r="BD43" s="1997"/>
      <c r="BE43" s="1978"/>
      <c r="BF43" s="2052"/>
      <c r="BG43" s="2053"/>
      <c r="BH43" s="2054"/>
      <c r="BI43" s="2055"/>
      <c r="BJ43" s="289"/>
      <c r="BK43" s="272"/>
      <c r="BL43" s="2056"/>
      <c r="BM43" s="2057"/>
      <c r="BN43" s="275"/>
      <c r="BO43" s="276"/>
      <c r="BP43" s="275"/>
      <c r="BQ43" s="276"/>
      <c r="BR43" s="2057"/>
      <c r="BS43" s="2057"/>
      <c r="BT43" s="2057"/>
      <c r="BU43" s="2057"/>
      <c r="BV43" s="2035"/>
      <c r="BW43" s="2036"/>
      <c r="BX43" s="338"/>
      <c r="BY43" s="149"/>
      <c r="BZ43" s="148"/>
      <c r="CA43" s="148"/>
      <c r="CB43" s="148"/>
      <c r="CC43" s="125"/>
      <c r="CD43" s="124"/>
      <c r="CE43" s="125"/>
      <c r="CF43" s="125"/>
      <c r="CG43" s="124"/>
      <c r="CH43" s="125"/>
      <c r="CI43" s="125"/>
      <c r="CJ43" s="124"/>
      <c r="CK43" s="125"/>
      <c r="CL43" s="125"/>
      <c r="CM43" s="124"/>
      <c r="CN43" s="26"/>
      <c r="CO43" s="144"/>
      <c r="CP43" s="144"/>
      <c r="CQ43" s="144"/>
      <c r="CR43" s="124"/>
      <c r="CS43" s="144"/>
      <c r="CT43" s="144"/>
      <c r="CU43" s="143"/>
      <c r="CZ43" s="6"/>
      <c r="DA43" s="6"/>
      <c r="DB43" s="6"/>
      <c r="DC43" s="507" t="s">
        <v>2924</v>
      </c>
      <c r="DD43" s="511">
        <v>120</v>
      </c>
      <c r="DE43" s="807" t="s">
        <v>3000</v>
      </c>
      <c r="DF43" s="6"/>
      <c r="DG43" s="33"/>
      <c r="DH43" s="33"/>
      <c r="DI43" s="33"/>
      <c r="DJ43" s="33"/>
    </row>
    <row r="44" spans="1:114" ht="27" customHeight="1" thickBot="1">
      <c r="A44" s="2223"/>
      <c r="B44" s="1997"/>
      <c r="C44" s="1978"/>
      <c r="D44" s="2024"/>
      <c r="E44" s="2024"/>
      <c r="F44" s="2024"/>
      <c r="G44" s="2024"/>
      <c r="H44" s="290"/>
      <c r="I44" s="291"/>
      <c r="J44" s="2032"/>
      <c r="K44" s="2033"/>
      <c r="L44" s="279"/>
      <c r="M44" s="280"/>
      <c r="N44" s="279"/>
      <c r="O44" s="280"/>
      <c r="P44" s="2033"/>
      <c r="Q44" s="2033"/>
      <c r="R44" s="2033"/>
      <c r="S44" s="2033"/>
      <c r="T44" s="2066"/>
      <c r="U44" s="2067"/>
      <c r="V44" s="654"/>
      <c r="W44" s="598">
        <f>'03 食事申込書'!A46</f>
        <v>0</v>
      </c>
      <c r="X44" s="599" t="s">
        <v>12</v>
      </c>
      <c r="Y44" s="2214">
        <f>'03 食事申込書'!C46</f>
        <v>0</v>
      </c>
      <c r="Z44" s="2215"/>
      <c r="AA44" s="2215"/>
      <c r="AB44" s="2216"/>
      <c r="AC44" s="600">
        <f>'03 食事申込書'!H46</f>
        <v>0</v>
      </c>
      <c r="AD44" s="601" t="s">
        <v>2767</v>
      </c>
      <c r="AE44" s="602">
        <f>'03 食事申込書'!J46</f>
        <v>0</v>
      </c>
      <c r="AF44" s="600">
        <f>'03 食事申込書'!K46</f>
        <v>0</v>
      </c>
      <c r="AG44" s="601" t="s">
        <v>2767</v>
      </c>
      <c r="AH44" s="602">
        <f>'03 食事申込書'!M46</f>
        <v>0</v>
      </c>
      <c r="AI44" s="600">
        <f>'03 食事申込書'!N46</f>
        <v>0</v>
      </c>
      <c r="AJ44" s="601" t="s">
        <v>2767</v>
      </c>
      <c r="AK44" s="602">
        <f>'03 食事申込書'!P46</f>
        <v>0</v>
      </c>
      <c r="AL44" s="600">
        <f>'03 食事申込書'!Q46</f>
        <v>0</v>
      </c>
      <c r="AM44" s="601" t="s">
        <v>2767</v>
      </c>
      <c r="AN44" s="602">
        <f>'03 食事申込書'!S46</f>
        <v>0</v>
      </c>
      <c r="AO44" s="600">
        <f>'03 食事申込書'!T46</f>
        <v>0</v>
      </c>
      <c r="AP44" s="601" t="s">
        <v>2767</v>
      </c>
      <c r="AQ44" s="602">
        <f>'03 食事申込書'!V46</f>
        <v>0</v>
      </c>
      <c r="AR44" s="603">
        <f>'03 食事申込書'!W46</f>
        <v>0</v>
      </c>
      <c r="AS44" s="604" t="s">
        <v>2773</v>
      </c>
      <c r="AT44" s="605">
        <f>'03 食事申込書'!Y46</f>
        <v>0</v>
      </c>
      <c r="AU44" s="606" t="s">
        <v>2774</v>
      </c>
      <c r="BB44" s="33"/>
      <c r="BC44" s="2044"/>
      <c r="BD44" s="1997"/>
      <c r="BE44" s="1978"/>
      <c r="BF44" s="2024"/>
      <c r="BG44" s="2024"/>
      <c r="BH44" s="2024"/>
      <c r="BI44" s="2024"/>
      <c r="BJ44" s="290"/>
      <c r="BK44" s="291"/>
      <c r="BL44" s="2032"/>
      <c r="BM44" s="2033"/>
      <c r="BN44" s="279"/>
      <c r="BO44" s="280"/>
      <c r="BP44" s="279"/>
      <c r="BQ44" s="280"/>
      <c r="BR44" s="2033"/>
      <c r="BS44" s="2033"/>
      <c r="BT44" s="2033"/>
      <c r="BU44" s="2033"/>
      <c r="BV44" s="2066"/>
      <c r="BW44" s="2067"/>
      <c r="BX44" s="338"/>
      <c r="BY44" s="149"/>
      <c r="BZ44" s="148"/>
      <c r="CA44" s="148"/>
      <c r="CB44" s="148"/>
      <c r="CC44" s="125"/>
      <c r="CD44" s="124"/>
      <c r="CE44" s="125"/>
      <c r="CF44" s="125"/>
      <c r="CG44" s="124"/>
      <c r="CH44" s="125"/>
      <c r="CI44" s="125"/>
      <c r="CJ44" s="124"/>
      <c r="CK44" s="125"/>
      <c r="CL44" s="125"/>
      <c r="CM44" s="124"/>
      <c r="CN44" s="26"/>
      <c r="CO44" s="144"/>
      <c r="CP44" s="144"/>
      <c r="CQ44" s="144"/>
      <c r="CR44" s="124"/>
      <c r="CS44" s="144"/>
      <c r="CT44" s="144"/>
      <c r="CU44" s="143"/>
      <c r="CZ44" s="6"/>
      <c r="DA44" s="6"/>
      <c r="DB44" s="6"/>
      <c r="DC44" s="507" t="s">
        <v>2925</v>
      </c>
      <c r="DD44" s="511">
        <v>120</v>
      </c>
      <c r="DE44" s="807" t="s">
        <v>3001</v>
      </c>
      <c r="DF44" s="6"/>
      <c r="DG44" s="33"/>
      <c r="DH44" s="33"/>
      <c r="DI44" s="33"/>
      <c r="DJ44" s="33"/>
    </row>
    <row r="45" spans="1:114" ht="27" customHeight="1" thickBot="1">
      <c r="A45" s="2223"/>
      <c r="B45" s="1997"/>
      <c r="C45" s="1979"/>
      <c r="D45" s="2013" t="s">
        <v>399</v>
      </c>
      <c r="E45" s="2014"/>
      <c r="F45" s="2014"/>
      <c r="G45" s="2014"/>
      <c r="H45" s="2015"/>
      <c r="I45" s="292">
        <f>SUM(I38:I41)</f>
        <v>0</v>
      </c>
      <c r="J45" s="2230">
        <f>J38*H38+J39*H39+J40*H40+J41*H41</f>
        <v>0</v>
      </c>
      <c r="K45" s="2211"/>
      <c r="L45" s="764">
        <f>L38*$H$38+L39*$H$39+L40*$H$40+L41*$H$41</f>
        <v>0</v>
      </c>
      <c r="M45" s="764">
        <f>M38*$H$38+M39*$H$39+M40*$H$40+M41*$H$41</f>
        <v>0</v>
      </c>
      <c r="N45" s="764">
        <f>N38*$H$38+N39*$H$39+N40*$H$40+N41*$H$41</f>
        <v>0</v>
      </c>
      <c r="O45" s="764">
        <f>O38*$H$38+O39*$H$39+O40*$H$40+O41*$H$41</f>
        <v>0</v>
      </c>
      <c r="P45" s="2210">
        <f>P38*$H$38+P39*$H$39+P40*$H$40+P41*$H$41</f>
        <v>0</v>
      </c>
      <c r="Q45" s="2211"/>
      <c r="R45" s="2210">
        <f>R38*$H$38+R39*$H$39+R40*$H$40+R41*$H$41</f>
        <v>0</v>
      </c>
      <c r="S45" s="2211"/>
      <c r="T45" s="2212">
        <f>IF(COUNTIF(T38:U41,"人数を再確認！"),"人数を再確認！",SUM(T38:U41))</f>
        <v>0</v>
      </c>
      <c r="U45" s="2212"/>
      <c r="V45" s="10"/>
      <c r="W45" s="149"/>
      <c r="X45" s="148"/>
      <c r="Y45" s="148"/>
      <c r="Z45" s="148"/>
      <c r="AA45" s="125"/>
      <c r="AB45" s="124"/>
      <c r="AC45" s="125"/>
      <c r="AD45" s="125"/>
      <c r="AE45" s="124"/>
      <c r="AF45" s="125"/>
      <c r="AG45" s="125"/>
      <c r="AH45" s="124"/>
      <c r="AI45" s="125"/>
      <c r="AJ45" s="125"/>
      <c r="AK45" s="124"/>
      <c r="AL45" s="26"/>
      <c r="AM45" s="144"/>
      <c r="AN45" s="144"/>
      <c r="AO45" s="144"/>
      <c r="AP45" s="124"/>
      <c r="AQ45" s="144"/>
      <c r="AR45" s="144"/>
      <c r="AS45" s="143"/>
      <c r="BB45" s="33"/>
      <c r="BC45" s="2044"/>
      <c r="BD45" s="1997"/>
      <c r="BE45" s="1979"/>
      <c r="BF45" s="2013" t="s">
        <v>399</v>
      </c>
      <c r="BG45" s="2014"/>
      <c r="BH45" s="2014"/>
      <c r="BI45" s="2014"/>
      <c r="BJ45" s="2015"/>
      <c r="BK45" s="292">
        <f>SUM(BK38:BK41)</f>
        <v>3</v>
      </c>
      <c r="BL45" s="2021">
        <f>BL38*BJ38+BL39*BJ39+BL40*BJ40+BL41*BJ41</f>
        <v>0</v>
      </c>
      <c r="BM45" s="2022"/>
      <c r="BN45" s="293">
        <f>BN38*$H$38+BN39*$H$39+BN40*$H$40+BN41*$H$41</f>
        <v>0</v>
      </c>
      <c r="BO45" s="293">
        <f>BO38*$H$38+BO39*$H$39+BO40*$H$40+BO41*$H$41</f>
        <v>700</v>
      </c>
      <c r="BP45" s="293">
        <f>BP38*$H$38+BP39*$H$39+BP40*$H$40+BP41*$H$41</f>
        <v>350</v>
      </c>
      <c r="BQ45" s="293">
        <f>BQ38*$H$38+BQ39*$H$39+BQ40*$H$40+BQ41*$H$41</f>
        <v>0</v>
      </c>
      <c r="BR45" s="2023">
        <f>BR38*$H$38+BR39*$H$39+BR40*$H$40+BR41*$H$41</f>
        <v>0</v>
      </c>
      <c r="BS45" s="2022"/>
      <c r="BT45" s="2023">
        <f>BT38*$H$38+BT39*$H$39+BT40*$H$40+BT41*$H$41</f>
        <v>0</v>
      </c>
      <c r="BU45" s="2022"/>
      <c r="BV45" s="2059">
        <f>SUM(BV38:BW41)</f>
        <v>1050</v>
      </c>
      <c r="BW45" s="2059"/>
      <c r="BX45" s="338"/>
      <c r="BY45" s="149"/>
      <c r="BZ45" s="148"/>
      <c r="CA45" s="148"/>
      <c r="CB45" s="148"/>
      <c r="CC45" s="125"/>
      <c r="CD45" s="124"/>
      <c r="CE45" s="125"/>
      <c r="CF45" s="125"/>
      <c r="CG45" s="124"/>
      <c r="CH45" s="125"/>
      <c r="CI45" s="125"/>
      <c r="CJ45" s="124"/>
      <c r="CK45" s="125"/>
      <c r="CL45" s="125"/>
      <c r="CM45" s="124"/>
      <c r="CN45" s="26"/>
      <c r="CO45" s="144"/>
      <c r="CP45" s="144"/>
      <c r="CQ45" s="144"/>
      <c r="CR45" s="124"/>
      <c r="CS45" s="144"/>
      <c r="CT45" s="144"/>
      <c r="CU45" s="143"/>
      <c r="CZ45" s="6"/>
      <c r="DA45" s="6"/>
      <c r="DB45" s="6"/>
      <c r="DC45" s="507" t="s">
        <v>2926</v>
      </c>
      <c r="DD45" s="511">
        <v>120</v>
      </c>
      <c r="DE45" s="807" t="s">
        <v>3002</v>
      </c>
      <c r="DF45" s="6"/>
      <c r="DG45" s="33"/>
      <c r="DH45" s="33"/>
      <c r="DI45" s="33"/>
      <c r="DJ45" s="33"/>
    </row>
    <row r="46" spans="1:114" ht="27" customHeight="1" thickTop="1">
      <c r="A46" s="2224"/>
      <c r="B46" s="1999"/>
      <c r="C46" s="2060" t="s">
        <v>400</v>
      </c>
      <c r="D46" s="2061"/>
      <c r="E46" s="2061"/>
      <c r="F46" s="2061"/>
      <c r="G46" s="2061"/>
      <c r="H46" s="2062"/>
      <c r="I46" s="294">
        <f>I37+I45</f>
        <v>0</v>
      </c>
      <c r="J46" s="2047">
        <f>J37+J45</f>
        <v>0</v>
      </c>
      <c r="K46" s="2048"/>
      <c r="L46" s="295">
        <f>L37+L45</f>
        <v>0</v>
      </c>
      <c r="M46" s="295">
        <f>M37+M45</f>
        <v>0</v>
      </c>
      <c r="N46" s="295">
        <f>N37+N45</f>
        <v>0</v>
      </c>
      <c r="O46" s="295">
        <f>O37+O45</f>
        <v>0</v>
      </c>
      <c r="P46" s="2049">
        <f>P37+P45</f>
        <v>0</v>
      </c>
      <c r="Q46" s="2050"/>
      <c r="R46" s="2049">
        <f>R37+R45</f>
        <v>0</v>
      </c>
      <c r="S46" s="2050"/>
      <c r="T46" s="2209">
        <f>IFERROR(T37+T45,"人数を再確認！")</f>
        <v>0</v>
      </c>
      <c r="U46" s="2209"/>
      <c r="V46" s="31"/>
      <c r="W46" s="149"/>
      <c r="X46" s="148"/>
      <c r="Y46" s="148"/>
      <c r="Z46" s="148"/>
      <c r="AA46" s="125"/>
      <c r="AB46" s="124"/>
      <c r="AC46" s="125"/>
      <c r="AD46" s="125"/>
      <c r="AE46" s="124"/>
      <c r="AF46" s="125"/>
      <c r="AG46" s="125"/>
      <c r="AH46" s="124"/>
      <c r="AI46" s="125"/>
      <c r="AJ46" s="125"/>
      <c r="AK46" s="124"/>
      <c r="AL46" s="26"/>
      <c r="AM46" s="144"/>
      <c r="AN46" s="144"/>
      <c r="AO46" s="144"/>
      <c r="AP46" s="124"/>
      <c r="AQ46" s="144"/>
      <c r="AR46" s="144"/>
      <c r="AS46" s="143"/>
      <c r="BB46" s="33"/>
      <c r="BC46" s="2045"/>
      <c r="BD46" s="1999"/>
      <c r="BE46" s="2060" t="s">
        <v>400</v>
      </c>
      <c r="BF46" s="2061"/>
      <c r="BG46" s="2061"/>
      <c r="BH46" s="2061"/>
      <c r="BI46" s="2061"/>
      <c r="BJ46" s="2062"/>
      <c r="BK46" s="294">
        <f>BK37+BK45</f>
        <v>111</v>
      </c>
      <c r="BL46" s="2047">
        <f>BL37+BL45</f>
        <v>29700</v>
      </c>
      <c r="BM46" s="2048"/>
      <c r="BN46" s="295">
        <f>BN37+BN45</f>
        <v>2310</v>
      </c>
      <c r="BO46" s="295">
        <f>BO37+BO45</f>
        <v>700</v>
      </c>
      <c r="BP46" s="295">
        <f>BP37+BP45</f>
        <v>350</v>
      </c>
      <c r="BQ46" s="295">
        <f>BQ37+BQ45</f>
        <v>0</v>
      </c>
      <c r="BR46" s="2049">
        <f>BR37+BR45</f>
        <v>0</v>
      </c>
      <c r="BS46" s="2050"/>
      <c r="BT46" s="2049">
        <f>BT37+BT45</f>
        <v>0</v>
      </c>
      <c r="BU46" s="2050"/>
      <c r="BV46" s="2051">
        <f>BV37+BV45</f>
        <v>33060</v>
      </c>
      <c r="BW46" s="2051"/>
      <c r="BX46" s="346"/>
      <c r="BY46" s="149"/>
      <c r="BZ46" s="148"/>
      <c r="CA46" s="148"/>
      <c r="CB46" s="148"/>
      <c r="CC46" s="125"/>
      <c r="CD46" s="124"/>
      <c r="CE46" s="125"/>
      <c r="CF46" s="125"/>
      <c r="CG46" s="124"/>
      <c r="CH46" s="125"/>
      <c r="CI46" s="125"/>
      <c r="CJ46" s="124"/>
      <c r="CK46" s="125"/>
      <c r="CL46" s="125"/>
      <c r="CM46" s="124"/>
      <c r="CN46" s="26"/>
      <c r="CO46" s="144"/>
      <c r="CP46" s="144"/>
      <c r="CQ46" s="144"/>
      <c r="CR46" s="124"/>
      <c r="CS46" s="144"/>
      <c r="CT46" s="144"/>
      <c r="CU46" s="143"/>
      <c r="CZ46" s="6"/>
      <c r="DA46" s="6"/>
      <c r="DB46" s="6"/>
      <c r="DC46" s="507" t="s">
        <v>2927</v>
      </c>
      <c r="DD46" s="511">
        <v>180</v>
      </c>
      <c r="DE46" s="807" t="s">
        <v>3003</v>
      </c>
      <c r="DF46" s="6"/>
      <c r="DG46" s="33"/>
      <c r="DH46" s="33"/>
      <c r="DI46" s="33"/>
      <c r="DJ46" s="33"/>
    </row>
    <row r="47" spans="1:114" ht="25.5" customHeight="1">
      <c r="A47" s="2034" t="s">
        <v>2674</v>
      </c>
      <c r="B47" s="2034"/>
      <c r="C47" s="2034"/>
      <c r="D47" s="2034"/>
      <c r="E47" s="2034"/>
      <c r="F47" s="2034"/>
      <c r="G47" s="2034"/>
      <c r="H47" s="2034"/>
      <c r="I47" s="2034"/>
      <c r="J47" s="2034"/>
      <c r="K47" s="2034"/>
      <c r="L47" s="2034"/>
      <c r="M47" s="2034"/>
      <c r="N47" s="2034"/>
      <c r="O47" s="2034"/>
      <c r="P47" s="2034"/>
      <c r="Q47" s="2034"/>
      <c r="R47" s="2034"/>
      <c r="S47" s="2034"/>
      <c r="T47" s="2034"/>
      <c r="U47" s="2034"/>
      <c r="V47" s="12"/>
      <c r="W47" s="149"/>
      <c r="X47" s="148"/>
      <c r="Y47" s="148"/>
      <c r="Z47" s="148"/>
      <c r="AA47" s="125"/>
      <c r="AB47" s="124"/>
      <c r="AC47" s="125"/>
      <c r="AD47" s="125"/>
      <c r="AE47" s="124"/>
      <c r="AF47" s="125"/>
      <c r="AG47" s="125"/>
      <c r="AH47" s="124"/>
      <c r="AI47" s="125"/>
      <c r="AJ47" s="125"/>
      <c r="AK47" s="124"/>
      <c r="AL47" s="26"/>
      <c r="AM47" s="144"/>
      <c r="AN47" s="144"/>
      <c r="AO47" s="144"/>
      <c r="AP47" s="124"/>
      <c r="AQ47" s="144"/>
      <c r="AR47" s="144"/>
      <c r="AS47" s="143"/>
      <c r="BB47" s="33"/>
      <c r="BC47" s="2034" t="s">
        <v>2674</v>
      </c>
      <c r="BD47" s="2034"/>
      <c r="BE47" s="2034"/>
      <c r="BF47" s="2034"/>
      <c r="BG47" s="2034"/>
      <c r="BH47" s="2034"/>
      <c r="BI47" s="2034"/>
      <c r="BJ47" s="2034"/>
      <c r="BK47" s="2034"/>
      <c r="BL47" s="2034"/>
      <c r="BM47" s="2034"/>
      <c r="BN47" s="2034"/>
      <c r="BO47" s="2034"/>
      <c r="BP47" s="2034"/>
      <c r="BQ47" s="2034"/>
      <c r="BR47" s="2034"/>
      <c r="BS47" s="2034"/>
      <c r="BT47" s="2034"/>
      <c r="BU47" s="2034"/>
      <c r="BV47" s="2034"/>
      <c r="BW47" s="2034"/>
      <c r="BX47" s="347"/>
      <c r="BY47" s="149"/>
      <c r="BZ47" s="148"/>
      <c r="CA47" s="148"/>
      <c r="CB47" s="148"/>
      <c r="CC47" s="125"/>
      <c r="CD47" s="124"/>
      <c r="CE47" s="125"/>
      <c r="CF47" s="125"/>
      <c r="CG47" s="124"/>
      <c r="CH47" s="125"/>
      <c r="CI47" s="125"/>
      <c r="CJ47" s="124"/>
      <c r="CK47" s="125"/>
      <c r="CL47" s="125"/>
      <c r="CM47" s="124"/>
      <c r="CN47" s="26"/>
      <c r="CO47" s="144"/>
      <c r="CP47" s="144"/>
      <c r="CQ47" s="144"/>
      <c r="CR47" s="124"/>
      <c r="CS47" s="144"/>
      <c r="CT47" s="144"/>
      <c r="CU47" s="143"/>
      <c r="CZ47" s="6"/>
      <c r="DA47" s="6"/>
      <c r="DB47" s="6"/>
      <c r="DC47" s="507" t="s">
        <v>2928</v>
      </c>
      <c r="DD47" s="511">
        <v>180</v>
      </c>
      <c r="DE47" s="807" t="s">
        <v>3004</v>
      </c>
      <c r="DF47" s="6"/>
      <c r="DG47" s="33"/>
      <c r="DH47" s="33"/>
      <c r="DI47" s="33"/>
      <c r="DJ47" s="33"/>
    </row>
    <row r="48" spans="1:114" ht="25.5" hidden="1" customHeight="1">
      <c r="A48" s="73"/>
      <c r="B48" s="73"/>
      <c r="C48" s="73"/>
      <c r="D48" s="73"/>
      <c r="E48" s="73"/>
      <c r="F48" s="73"/>
      <c r="G48" s="73"/>
      <c r="H48" s="73"/>
      <c r="I48" s="73"/>
      <c r="J48" s="73"/>
      <c r="K48" s="73"/>
      <c r="L48" s="73"/>
      <c r="M48" s="73"/>
      <c r="N48" s="73"/>
      <c r="O48" s="73"/>
      <c r="P48" s="74"/>
      <c r="Q48" s="74"/>
      <c r="R48" s="74"/>
      <c r="S48" s="74"/>
      <c r="T48" s="74"/>
      <c r="U48" s="74"/>
      <c r="V48" s="41"/>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29"/>
      <c r="BD48" s="6"/>
      <c r="BE48" s="6"/>
      <c r="BF48" s="6"/>
      <c r="BG48" s="11"/>
      <c r="BH48" s="6"/>
      <c r="BI48" s="6"/>
      <c r="BJ48" s="7"/>
      <c r="BK48" s="6"/>
      <c r="BL48" s="33"/>
      <c r="BM48" s="33"/>
      <c r="BN48" s="33"/>
      <c r="BO48" s="33"/>
      <c r="BP48" s="33"/>
      <c r="BQ48" s="33"/>
      <c r="BR48" s="33"/>
      <c r="BS48" s="33"/>
      <c r="BT48" s="33"/>
      <c r="BU48" s="33"/>
      <c r="BV48" s="33"/>
      <c r="BW48" s="33"/>
      <c r="CZ48" s="33"/>
      <c r="DA48" s="33"/>
      <c r="DB48" s="33"/>
      <c r="DC48" s="507" t="s">
        <v>2929</v>
      </c>
      <c r="DD48" s="511">
        <v>180</v>
      </c>
      <c r="DE48" s="807" t="s">
        <v>3005</v>
      </c>
      <c r="DF48" s="33"/>
      <c r="DG48" s="33"/>
      <c r="DH48" s="33"/>
      <c r="DI48" s="33"/>
      <c r="DJ48" s="33"/>
    </row>
    <row r="49" spans="1:114" ht="25.5" hidden="1" customHeight="1">
      <c r="A49" s="73"/>
      <c r="B49" s="73"/>
      <c r="C49" s="73"/>
      <c r="D49" s="644" t="s">
        <v>2820</v>
      </c>
      <c r="F49" s="643"/>
      <c r="G49" s="643"/>
      <c r="H49" s="643"/>
      <c r="I49" s="643"/>
      <c r="J49" s="73"/>
      <c r="K49" s="73"/>
      <c r="L49" s="73"/>
      <c r="M49" s="73"/>
      <c r="N49" s="73"/>
      <c r="O49" s="73"/>
      <c r="P49" s="74"/>
      <c r="Q49" s="74"/>
      <c r="R49" s="74"/>
      <c r="S49" s="74"/>
      <c r="T49" s="74"/>
      <c r="U49" s="74"/>
      <c r="V49" s="36"/>
      <c r="W49" s="75"/>
      <c r="X49" s="75"/>
      <c r="Y49" s="75"/>
      <c r="Z49" s="75"/>
      <c r="AA49" s="75"/>
      <c r="AB49" s="75"/>
      <c r="AC49" s="75"/>
      <c r="AD49" s="75"/>
      <c r="AE49" s="75"/>
      <c r="AF49" s="75"/>
      <c r="AG49" s="75"/>
      <c r="AK49" s="75"/>
      <c r="AL49" s="75"/>
      <c r="AM49" s="75"/>
      <c r="AN49" s="75"/>
      <c r="AO49" s="75"/>
      <c r="AP49" s="75"/>
      <c r="AQ49" s="75"/>
      <c r="AR49" s="75"/>
      <c r="AS49" s="75"/>
      <c r="AT49" s="75"/>
      <c r="AU49" s="75"/>
      <c r="AV49" s="75"/>
      <c r="AW49" s="75"/>
      <c r="AX49" s="75"/>
      <c r="AY49" s="75"/>
      <c r="AZ49" s="75"/>
      <c r="BA49" s="75"/>
      <c r="BB49" s="75"/>
      <c r="BC49" s="8"/>
      <c r="BD49" s="6"/>
      <c r="BE49" s="6"/>
      <c r="BF49" s="6"/>
      <c r="BG49" s="462" t="s">
        <v>80</v>
      </c>
      <c r="BH49" s="459"/>
      <c r="BI49" s="458"/>
      <c r="BJ49" s="463" t="s">
        <v>131</v>
      </c>
      <c r="BK49" s="460" t="s">
        <v>406</v>
      </c>
      <c r="BL49" s="460" t="s">
        <v>407</v>
      </c>
      <c r="BM49" s="464"/>
      <c r="BN49" s="3"/>
      <c r="BO49" s="33"/>
      <c r="BP49" s="33"/>
      <c r="BQ49" s="33"/>
      <c r="BR49" s="33"/>
      <c r="BS49" s="33"/>
      <c r="BT49" s="33"/>
      <c r="BU49" s="33"/>
      <c r="BV49" s="33"/>
      <c r="BW49" s="33"/>
      <c r="CZ49" s="33"/>
      <c r="DA49" s="33"/>
      <c r="DB49" s="33"/>
      <c r="DC49" s="7" t="s">
        <v>80</v>
      </c>
      <c r="DD49" s="6"/>
      <c r="DE49" s="807"/>
      <c r="DF49" s="33"/>
      <c r="DG49" s="33"/>
      <c r="DH49" s="33"/>
      <c r="DI49" s="33"/>
      <c r="DJ49" s="33"/>
    </row>
    <row r="50" spans="1:114" ht="25.5" hidden="1" customHeight="1">
      <c r="A50" s="76"/>
      <c r="B50" s="76"/>
      <c r="C50" s="76"/>
      <c r="D50" s="2312" t="s">
        <v>2821</v>
      </c>
      <c r="E50" s="2312"/>
      <c r="F50" s="2312"/>
      <c r="G50" s="2312"/>
      <c r="H50" s="2312"/>
      <c r="I50" s="2312"/>
      <c r="J50" s="648"/>
      <c r="K50" s="79" t="s">
        <v>2827</v>
      </c>
      <c r="L50" s="645" t="s">
        <v>2837</v>
      </c>
      <c r="M50" s="77"/>
      <c r="N50" s="76"/>
      <c r="O50" s="76"/>
      <c r="P50" s="76"/>
      <c r="Q50" s="78"/>
      <c r="R50" s="78"/>
      <c r="S50" s="78"/>
      <c r="T50" s="78"/>
      <c r="U50" s="78"/>
      <c r="V50" s="655"/>
      <c r="W50" s="79" t="s">
        <v>2827</v>
      </c>
      <c r="X50" s="645" t="s">
        <v>2828</v>
      </c>
      <c r="Y50" s="80"/>
      <c r="Z50" s="80"/>
      <c r="AA50" s="80"/>
      <c r="AB50" s="80"/>
      <c r="AC50" s="80"/>
      <c r="AD50" s="42"/>
      <c r="AE50" s="81"/>
      <c r="AF50" s="82"/>
      <c r="AG50" s="82"/>
      <c r="AH50" s="82"/>
      <c r="AI50" s="82"/>
      <c r="AJ50" s="82"/>
      <c r="AK50" s="82"/>
      <c r="AL50" s="82"/>
      <c r="AM50" s="82"/>
      <c r="AN50" s="82"/>
      <c r="AO50" s="82"/>
      <c r="AP50" s="82"/>
      <c r="AQ50" s="82"/>
      <c r="AR50" s="82"/>
      <c r="AS50" s="82"/>
      <c r="AT50" s="82"/>
      <c r="AU50" s="82"/>
      <c r="AV50" s="82"/>
      <c r="AW50" s="82"/>
      <c r="AX50" s="82"/>
      <c r="AY50" s="82"/>
      <c r="AZ50" s="82"/>
      <c r="BA50" s="43"/>
      <c r="BB50" s="43"/>
      <c r="BC50" s="8"/>
      <c r="BD50" s="6"/>
      <c r="BE50" s="6"/>
      <c r="BF50" s="6"/>
      <c r="BG50" s="458" t="s">
        <v>81</v>
      </c>
      <c r="BH50" s="459">
        <v>90</v>
      </c>
      <c r="BI50" s="458"/>
      <c r="BJ50" s="465" t="s">
        <v>401</v>
      </c>
      <c r="BK50" s="466">
        <f>SUMIFS($AQ$43:$AQ$47,$X$43:$X$47,"カレーライス")*2</f>
        <v>0</v>
      </c>
      <c r="BL50" s="463"/>
      <c r="BM50" s="27"/>
      <c r="BN50" s="33"/>
      <c r="BO50" s="33"/>
      <c r="BP50" s="33"/>
      <c r="BQ50" s="33"/>
      <c r="BR50" s="33"/>
      <c r="BS50" s="33"/>
      <c r="BT50" s="33"/>
      <c r="BU50" s="33"/>
      <c r="BV50" s="33"/>
      <c r="BW50" s="33"/>
      <c r="CZ50" s="33"/>
      <c r="DA50" s="33"/>
      <c r="DB50" s="33"/>
      <c r="DC50" s="967" t="s">
        <v>2944</v>
      </c>
      <c r="DD50" s="968">
        <v>780</v>
      </c>
      <c r="DE50" s="811"/>
      <c r="DF50" s="33"/>
      <c r="DG50" s="33"/>
      <c r="DH50" s="33"/>
      <c r="DI50" s="33"/>
      <c r="DJ50" s="33"/>
    </row>
    <row r="51" spans="1:114" ht="25.5" hidden="1" customHeight="1">
      <c r="A51" s="76"/>
      <c r="B51" s="76"/>
      <c r="C51" s="76"/>
      <c r="D51" s="2312" t="s">
        <v>2822</v>
      </c>
      <c r="E51" s="2312"/>
      <c r="F51" s="2312"/>
      <c r="G51" s="2312"/>
      <c r="H51" s="2312"/>
      <c r="I51" s="2312"/>
      <c r="J51" s="649">
        <f>SUM('04 利用者名簿'!CD11:CD36,'04 利用者名簿'!CD63:CD88)</f>
        <v>0</v>
      </c>
      <c r="K51" s="44"/>
      <c r="L51" s="44"/>
      <c r="M51" s="45"/>
      <c r="N51" s="44"/>
      <c r="O51" s="45"/>
      <c r="P51" s="44"/>
      <c r="Q51" s="46"/>
      <c r="R51" s="47"/>
      <c r="S51" s="44"/>
      <c r="T51" s="47"/>
      <c r="U51" s="48"/>
      <c r="V51" s="656" t="s">
        <v>2854</v>
      </c>
      <c r="BC51" s="8"/>
      <c r="BD51" s="6"/>
      <c r="BE51" s="6"/>
      <c r="BF51" s="6"/>
      <c r="BG51" s="458" t="s">
        <v>171</v>
      </c>
      <c r="BH51" s="459">
        <v>600</v>
      </c>
      <c r="BI51" s="458"/>
      <c r="BJ51" s="461" t="s">
        <v>402</v>
      </c>
      <c r="BK51" s="466">
        <f>SUMIFS($AQ$43:$AQ$47,$Y$43:$Y$47,"牛丼")*2</f>
        <v>0</v>
      </c>
      <c r="BL51" s="463"/>
      <c r="BM51" s="27"/>
      <c r="BN51" s="33"/>
      <c r="BO51" s="33"/>
      <c r="BP51" s="33"/>
      <c r="BQ51" s="33"/>
      <c r="BR51" s="33"/>
      <c r="BS51" s="33"/>
      <c r="BT51" s="33"/>
      <c r="BU51" s="33"/>
      <c r="BV51" s="33"/>
      <c r="BW51" s="33"/>
      <c r="CZ51" s="33"/>
      <c r="DA51" s="33"/>
      <c r="DB51" s="33"/>
      <c r="DC51" s="970"/>
      <c r="DD51" s="971"/>
      <c r="DE51" s="807"/>
      <c r="DF51" s="33"/>
      <c r="DG51" s="33"/>
      <c r="DH51" s="33"/>
      <c r="DI51" s="33"/>
      <c r="DJ51" s="33"/>
    </row>
    <row r="52" spans="1:114" ht="25.5" hidden="1" customHeight="1">
      <c r="A52" s="86"/>
      <c r="B52" s="86"/>
      <c r="C52" s="86"/>
      <c r="D52" s="2312" t="s">
        <v>2823</v>
      </c>
      <c r="E52" s="2312"/>
      <c r="F52" s="2312"/>
      <c r="G52" s="2312"/>
      <c r="H52" s="2312"/>
      <c r="I52" s="2312"/>
      <c r="J52" s="650"/>
      <c r="K52" s="86"/>
      <c r="L52" s="86"/>
      <c r="M52" s="86"/>
      <c r="N52" s="86"/>
      <c r="O52" s="86"/>
      <c r="P52" s="86"/>
      <c r="Q52" s="86"/>
      <c r="R52" s="86"/>
      <c r="S52" s="86"/>
      <c r="T52" s="86"/>
      <c r="U52" s="86"/>
      <c r="V52" s="659"/>
      <c r="W52" s="84"/>
      <c r="X52" s="85"/>
      <c r="Y52" s="49"/>
      <c r="Z52" s="50"/>
      <c r="AA52" s="80"/>
      <c r="AB52" s="80"/>
      <c r="AC52" s="80"/>
      <c r="AD52" s="51"/>
      <c r="AE52" s="52"/>
      <c r="AF52" s="87"/>
      <c r="AG52" s="87"/>
      <c r="AH52" s="87"/>
      <c r="AI52" s="87"/>
      <c r="AJ52" s="87"/>
      <c r="AK52" s="87"/>
      <c r="AL52" s="87"/>
      <c r="AM52" s="87"/>
      <c r="AN52" s="87"/>
      <c r="AO52" s="87"/>
      <c r="AP52" s="87"/>
      <c r="AQ52" s="87"/>
      <c r="AR52" s="87"/>
      <c r="AS52" s="87"/>
      <c r="AT52" s="87"/>
      <c r="AU52" s="87"/>
      <c r="AV52" s="87"/>
      <c r="AW52" s="87"/>
      <c r="AX52" s="87"/>
      <c r="AY52" s="87"/>
      <c r="AZ52" s="87"/>
      <c r="BA52" s="53"/>
      <c r="BB52" s="53"/>
      <c r="BC52" s="8"/>
      <c r="BD52" s="6"/>
      <c r="BE52" s="6"/>
      <c r="BF52" s="6"/>
      <c r="BG52" s="458" t="s">
        <v>82</v>
      </c>
      <c r="BH52" s="459">
        <v>600</v>
      </c>
      <c r="BI52" s="458"/>
      <c r="BJ52" s="461" t="s">
        <v>403</v>
      </c>
      <c r="BK52" s="466">
        <f>SUMIFS($AQ$43:$AQ$47,$Y$43:$Y$47,"豚汁")*2</f>
        <v>0</v>
      </c>
      <c r="BL52" s="463"/>
      <c r="BM52" s="27"/>
      <c r="BN52" s="33"/>
      <c r="BO52" s="33"/>
      <c r="BP52" s="33"/>
      <c r="BQ52" s="33"/>
      <c r="BR52" s="33"/>
      <c r="BS52" s="33"/>
      <c r="BT52" s="33"/>
      <c r="BU52" s="33"/>
      <c r="BV52" s="33"/>
      <c r="BW52" s="33"/>
      <c r="CZ52" s="33"/>
      <c r="DA52" s="33"/>
      <c r="DB52" s="33"/>
      <c r="DC52" s="972" t="s">
        <v>3074</v>
      </c>
      <c r="DD52" s="968">
        <v>560</v>
      </c>
      <c r="DE52" s="811"/>
      <c r="DF52" s="33"/>
      <c r="DG52" s="33"/>
      <c r="DH52" s="33"/>
      <c r="DI52" s="33"/>
      <c r="DJ52" s="33"/>
    </row>
    <row r="53" spans="1:114" ht="25.5" hidden="1" customHeight="1">
      <c r="A53" s="86"/>
      <c r="B53" s="86"/>
      <c r="C53" s="86"/>
      <c r="D53" s="2312" t="s">
        <v>2824</v>
      </c>
      <c r="E53" s="2312"/>
      <c r="F53" s="2312"/>
      <c r="G53" s="2312"/>
      <c r="H53" s="2312"/>
      <c r="I53" s="2312"/>
      <c r="J53" s="650">
        <f>SUM('04 利用者名簿'!CD117)</f>
        <v>0</v>
      </c>
      <c r="K53" s="86"/>
      <c r="L53" s="86"/>
      <c r="M53" s="86"/>
      <c r="N53" s="86"/>
      <c r="O53" s="86"/>
      <c r="P53" s="86"/>
      <c r="Q53" s="86"/>
      <c r="R53" s="86"/>
      <c r="S53" s="86"/>
      <c r="T53" s="86"/>
      <c r="U53" s="86"/>
      <c r="V53" s="659" t="s">
        <v>2847</v>
      </c>
      <c r="W53" s="84"/>
      <c r="X53" s="85"/>
      <c r="Y53" s="49"/>
      <c r="Z53" s="50"/>
      <c r="AA53" s="80"/>
      <c r="AB53" s="80"/>
      <c r="AC53" s="80"/>
      <c r="AD53" s="51"/>
      <c r="AE53" s="52"/>
      <c r="AF53" s="87"/>
      <c r="AG53" s="87"/>
      <c r="AH53" s="87"/>
      <c r="AI53" s="87"/>
      <c r="AJ53" s="87"/>
      <c r="AK53" s="87"/>
      <c r="AL53" s="87"/>
      <c r="AM53" s="87"/>
      <c r="AN53" s="87"/>
      <c r="AO53" s="87"/>
      <c r="AP53" s="87"/>
      <c r="AQ53" s="87"/>
      <c r="AR53" s="87"/>
      <c r="AS53" s="87"/>
      <c r="AT53" s="87"/>
      <c r="AU53" s="87"/>
      <c r="AV53" s="87"/>
      <c r="AW53" s="87"/>
      <c r="AX53" s="87"/>
      <c r="AY53" s="87"/>
      <c r="AZ53" s="87"/>
      <c r="BA53" s="53"/>
      <c r="BB53" s="53"/>
      <c r="BC53" s="30"/>
      <c r="BD53" s="6"/>
      <c r="BE53" s="6"/>
      <c r="BF53" s="6"/>
      <c r="BG53" s="458" t="s">
        <v>83</v>
      </c>
      <c r="BH53" s="459">
        <v>600</v>
      </c>
      <c r="BI53" s="458"/>
      <c r="BJ53" s="461" t="s">
        <v>405</v>
      </c>
      <c r="BK53" s="466">
        <f>SUMIFS($AQ$43:$AQ$47,$X$43:$X$47,"焼きそば")</f>
        <v>0</v>
      </c>
      <c r="BL53" s="463"/>
      <c r="BM53" s="27"/>
      <c r="BN53" s="33"/>
      <c r="BO53" s="33"/>
      <c r="BP53" s="33"/>
      <c r="BQ53" s="33"/>
      <c r="BR53" s="33"/>
      <c r="BS53" s="33"/>
      <c r="BT53" s="33"/>
      <c r="BU53" s="33"/>
      <c r="BV53" s="33"/>
      <c r="BW53" s="33"/>
      <c r="CZ53" s="33"/>
      <c r="DA53" s="33"/>
      <c r="DB53" s="33"/>
      <c r="DC53" s="972" t="s">
        <v>3075</v>
      </c>
      <c r="DD53" s="968">
        <v>670</v>
      </c>
      <c r="DE53" s="807"/>
      <c r="DF53" s="33"/>
      <c r="DG53" s="33"/>
      <c r="DH53" s="33"/>
      <c r="DI53" s="33"/>
      <c r="DJ53" s="33"/>
    </row>
    <row r="54" spans="1:114" ht="25.5" hidden="1" customHeight="1">
      <c r="A54" s="86"/>
      <c r="B54" s="86"/>
      <c r="C54" s="86"/>
      <c r="D54" s="2312" t="s">
        <v>2825</v>
      </c>
      <c r="E54" s="2312"/>
      <c r="F54" s="2312"/>
      <c r="G54" s="2312"/>
      <c r="H54" s="2312"/>
      <c r="I54" s="2312"/>
      <c r="J54" s="650">
        <f>SUM('04 利用者名簿'!CD115)</f>
        <v>0</v>
      </c>
      <c r="K54" s="86"/>
      <c r="L54" s="86"/>
      <c r="M54" s="86"/>
      <c r="N54" s="86"/>
      <c r="O54" s="86"/>
      <c r="P54" s="86"/>
      <c r="Q54" s="86"/>
      <c r="R54" s="86"/>
      <c r="S54" s="86"/>
      <c r="T54" s="86"/>
      <c r="U54" s="86"/>
      <c r="V54" s="659" t="s">
        <v>2855</v>
      </c>
      <c r="W54" s="84"/>
      <c r="X54" s="85"/>
      <c r="Y54" s="49"/>
      <c r="Z54" s="50"/>
      <c r="AA54" s="80"/>
      <c r="AB54" s="80"/>
      <c r="AC54" s="80"/>
      <c r="AD54" s="51"/>
      <c r="AE54" s="52"/>
      <c r="AF54" s="87"/>
      <c r="AG54" s="87"/>
      <c r="AH54" s="87"/>
      <c r="AI54" s="87"/>
      <c r="AJ54" s="87"/>
      <c r="AK54" s="87"/>
      <c r="AL54" s="87"/>
      <c r="AM54" s="87"/>
      <c r="AN54" s="87"/>
      <c r="AO54" s="87"/>
      <c r="AP54" s="87"/>
      <c r="AQ54" s="87"/>
      <c r="AR54" s="87"/>
      <c r="AS54" s="87"/>
      <c r="AT54" s="87"/>
      <c r="AU54" s="87"/>
      <c r="AV54" s="87"/>
      <c r="AW54" s="87"/>
      <c r="AX54" s="87"/>
      <c r="AY54" s="87"/>
      <c r="AZ54" s="87"/>
      <c r="BA54" s="53"/>
      <c r="BB54" s="53"/>
      <c r="BC54" s="30"/>
      <c r="BD54" s="6"/>
      <c r="BE54" s="6"/>
      <c r="BF54" s="6"/>
      <c r="BG54" s="458" t="s">
        <v>173</v>
      </c>
      <c r="BH54" s="459">
        <v>600</v>
      </c>
      <c r="BI54" s="458"/>
      <c r="BJ54" s="461" t="s">
        <v>404</v>
      </c>
      <c r="BK54" s="466">
        <f>SUMIFS($AQ$43:$AQ$47,$X$43:$X$47,"ホットドッグ")/2</f>
        <v>0</v>
      </c>
      <c r="BL54" s="463"/>
      <c r="BM54" s="27"/>
      <c r="BN54" s="33"/>
      <c r="BO54" s="33"/>
      <c r="BP54" s="33"/>
      <c r="BQ54" s="33"/>
      <c r="BR54" s="33"/>
      <c r="BS54" s="33"/>
      <c r="BT54" s="33"/>
      <c r="BU54" s="33"/>
      <c r="BV54" s="33"/>
      <c r="BW54" s="33"/>
      <c r="CZ54" s="33"/>
      <c r="DA54" s="33"/>
      <c r="DB54" s="33"/>
      <c r="DC54" s="970"/>
      <c r="DD54" s="971"/>
      <c r="DE54" s="811"/>
      <c r="DF54" s="33"/>
      <c r="DG54" s="33"/>
      <c r="DH54" s="33"/>
      <c r="DI54" s="33"/>
      <c r="DJ54" s="33"/>
    </row>
    <row r="55" spans="1:114" ht="25.5" hidden="1" customHeight="1">
      <c r="A55" s="86"/>
      <c r="B55" s="86"/>
      <c r="C55" s="86"/>
      <c r="D55" s="2312" t="s">
        <v>2826</v>
      </c>
      <c r="E55" s="2312"/>
      <c r="F55" s="2312"/>
      <c r="G55" s="2312"/>
      <c r="H55" s="2312"/>
      <c r="I55" s="2312"/>
      <c r="J55" s="651"/>
      <c r="K55" s="86"/>
      <c r="L55" s="86"/>
      <c r="M55" s="86"/>
      <c r="N55" s="86"/>
      <c r="O55" s="86"/>
      <c r="P55" s="86"/>
      <c r="Q55" s="86"/>
      <c r="R55" s="86"/>
      <c r="S55" s="86"/>
      <c r="T55" s="86"/>
      <c r="U55" s="86"/>
      <c r="V55" s="660"/>
      <c r="W55" s="84"/>
      <c r="X55" s="85"/>
      <c r="Y55" s="49"/>
      <c r="Z55" s="50"/>
      <c r="AA55" s="80"/>
      <c r="AB55" s="80"/>
      <c r="AC55" s="80"/>
      <c r="AD55" s="51"/>
      <c r="AE55" s="52"/>
      <c r="AF55" s="87"/>
      <c r="AG55" s="87"/>
      <c r="AH55" s="87"/>
      <c r="AI55" s="87"/>
      <c r="AJ55" s="87"/>
      <c r="AK55" s="87"/>
      <c r="AL55" s="87"/>
      <c r="AM55" s="87"/>
      <c r="AN55" s="87"/>
      <c r="AO55" s="87"/>
      <c r="AP55" s="87"/>
      <c r="AQ55" s="87"/>
      <c r="AR55" s="87"/>
      <c r="AS55" s="87"/>
      <c r="AT55" s="87"/>
      <c r="AU55" s="87"/>
      <c r="AV55" s="87"/>
      <c r="AW55" s="87"/>
      <c r="AX55" s="87"/>
      <c r="AY55" s="87"/>
      <c r="AZ55" s="87"/>
      <c r="BA55" s="53"/>
      <c r="BB55" s="53"/>
      <c r="BC55" s="30"/>
      <c r="BD55" s="6"/>
      <c r="BE55" s="6"/>
      <c r="BF55" s="6"/>
      <c r="BG55" s="458" t="s">
        <v>84</v>
      </c>
      <c r="BH55" s="459">
        <v>600</v>
      </c>
      <c r="BI55" s="458"/>
      <c r="BJ55" s="2030" t="s">
        <v>102</v>
      </c>
      <c r="BK55" s="2031"/>
      <c r="BL55" s="466">
        <f>SUMIFS($AQ$43:$AQ$47,$X$43:$X$47,"ジンギスカン")</f>
        <v>0</v>
      </c>
      <c r="BM55" s="27"/>
      <c r="BN55" s="33"/>
      <c r="BO55" s="33"/>
      <c r="BP55" s="33"/>
      <c r="BQ55" s="33"/>
      <c r="BR55" s="33"/>
      <c r="BS55" s="33"/>
      <c r="BT55" s="33"/>
      <c r="BU55" s="33"/>
      <c r="BV55" s="33"/>
      <c r="BW55" s="33"/>
      <c r="CZ55" s="33"/>
      <c r="DA55" s="33"/>
      <c r="DB55" s="33"/>
      <c r="DC55" s="954" t="s">
        <v>3057</v>
      </c>
      <c r="DD55" s="968">
        <v>670</v>
      </c>
      <c r="DE55" s="807"/>
      <c r="DF55" s="33"/>
      <c r="DG55" s="33"/>
      <c r="DH55" s="33"/>
      <c r="DI55" s="33"/>
      <c r="DJ55" s="33"/>
    </row>
    <row r="56" spans="1:114" ht="25.5" hidden="1" customHeight="1">
      <c r="A56" s="86"/>
      <c r="B56" s="86"/>
      <c r="C56" s="86"/>
      <c r="D56" s="86"/>
      <c r="E56" s="86"/>
      <c r="F56" s="86"/>
      <c r="G56" s="86"/>
      <c r="H56" s="86"/>
      <c r="I56" s="86"/>
      <c r="J56" s="653"/>
      <c r="K56" s="86"/>
      <c r="L56" s="86"/>
      <c r="M56" s="86"/>
      <c r="N56" s="86"/>
      <c r="O56" s="86"/>
      <c r="P56" s="86"/>
      <c r="Q56" s="86"/>
      <c r="R56" s="86"/>
      <c r="S56" s="86"/>
      <c r="T56" s="86"/>
      <c r="U56" s="86"/>
      <c r="V56" s="661"/>
      <c r="W56" s="84"/>
      <c r="X56" s="85"/>
      <c r="Y56" s="49"/>
      <c r="Z56" s="50"/>
      <c r="AA56" s="80"/>
      <c r="AB56" s="80"/>
      <c r="AC56" s="80"/>
      <c r="AD56" s="51"/>
      <c r="AE56" s="52"/>
      <c r="AF56" s="87"/>
      <c r="AG56" s="87"/>
      <c r="AH56" s="87"/>
      <c r="AI56" s="87"/>
      <c r="AJ56" s="87"/>
      <c r="AK56" s="87"/>
      <c r="AL56" s="87"/>
      <c r="AM56" s="87"/>
      <c r="AN56" s="87"/>
      <c r="AO56" s="87"/>
      <c r="AP56" s="87"/>
      <c r="AQ56" s="87"/>
      <c r="AR56" s="87"/>
      <c r="AS56" s="87"/>
      <c r="AT56" s="87"/>
      <c r="AU56" s="87"/>
      <c r="AV56" s="87"/>
      <c r="AW56" s="87"/>
      <c r="AX56" s="87"/>
      <c r="AY56" s="87"/>
      <c r="AZ56" s="87"/>
      <c r="BA56" s="53"/>
      <c r="BB56" s="53"/>
      <c r="BC56" s="3"/>
      <c r="BD56" s="6"/>
      <c r="BE56" s="6"/>
      <c r="BF56" s="6"/>
      <c r="BG56" s="458" t="s">
        <v>172</v>
      </c>
      <c r="BH56" s="459">
        <v>750</v>
      </c>
      <c r="BI56" s="458"/>
      <c r="BJ56" s="467" t="s">
        <v>2697</v>
      </c>
      <c r="BK56" s="463">
        <f>SUMIFS($AQ$43:$AQ$47,$X$43:$X$47,"カレーライス")*-1</f>
        <v>0</v>
      </c>
      <c r="BL56" s="463"/>
      <c r="BM56" s="27"/>
      <c r="BN56" s="33"/>
      <c r="BO56" s="33"/>
      <c r="BP56" s="33"/>
      <c r="BQ56" s="33"/>
      <c r="BR56" s="33"/>
      <c r="BS56" s="33"/>
      <c r="BT56" s="33"/>
      <c r="BU56" s="33"/>
      <c r="BV56" s="33"/>
      <c r="BW56" s="33"/>
      <c r="CZ56" s="33"/>
      <c r="DA56" s="33"/>
      <c r="DB56" s="33"/>
      <c r="DC56" s="967" t="s">
        <v>2943</v>
      </c>
      <c r="DD56" s="968">
        <v>670</v>
      </c>
      <c r="DE56" s="811"/>
      <c r="DF56" s="33"/>
      <c r="DG56" s="33"/>
      <c r="DH56" s="33"/>
      <c r="DI56" s="33"/>
      <c r="DJ56" s="33"/>
    </row>
    <row r="57" spans="1:114" ht="25.5" hidden="1" customHeight="1">
      <c r="A57" s="86"/>
      <c r="B57" s="86"/>
      <c r="C57" s="86"/>
      <c r="D57" s="2311" t="s">
        <v>2829</v>
      </c>
      <c r="E57" s="2311"/>
      <c r="F57" s="2311"/>
      <c r="G57" s="2311"/>
      <c r="H57" s="646"/>
      <c r="I57" s="646"/>
      <c r="J57" s="653"/>
      <c r="K57" s="86"/>
      <c r="L57" s="86"/>
      <c r="M57" s="86"/>
      <c r="N57" s="86"/>
      <c r="O57" s="86"/>
      <c r="P57" s="86"/>
      <c r="Q57" s="86"/>
      <c r="R57" s="86"/>
      <c r="S57" s="86"/>
      <c r="T57" s="86"/>
      <c r="U57" s="86"/>
      <c r="V57" s="661"/>
      <c r="W57" s="84"/>
      <c r="X57" s="85"/>
      <c r="Y57" s="49"/>
      <c r="Z57" s="50"/>
      <c r="AA57" s="80"/>
      <c r="AB57" s="80"/>
      <c r="AC57" s="80"/>
      <c r="AD57" s="51"/>
      <c r="AE57" s="52"/>
      <c r="AF57" s="87"/>
      <c r="AG57" s="87"/>
      <c r="AH57" s="87"/>
      <c r="AI57" s="87"/>
      <c r="AJ57" s="87"/>
      <c r="AK57" s="87"/>
      <c r="AL57" s="87"/>
      <c r="AM57" s="87"/>
      <c r="AN57" s="87"/>
      <c r="AO57" s="87"/>
      <c r="AP57" s="87"/>
      <c r="AQ57" s="87"/>
      <c r="AR57" s="87"/>
      <c r="AS57" s="87"/>
      <c r="AT57" s="87"/>
      <c r="AU57" s="87"/>
      <c r="AV57" s="87"/>
      <c r="AW57" s="87"/>
      <c r="AX57" s="87"/>
      <c r="AY57" s="87"/>
      <c r="AZ57" s="87"/>
      <c r="BA57" s="53"/>
      <c r="BB57" s="53"/>
      <c r="BC57" s="8"/>
      <c r="BD57" s="6"/>
      <c r="BE57" s="6"/>
      <c r="BF57" s="6"/>
      <c r="BG57" s="458" t="s">
        <v>85</v>
      </c>
      <c r="BH57" s="459">
        <v>100</v>
      </c>
      <c r="BI57" s="459"/>
      <c r="BJ57" s="461" t="s">
        <v>98</v>
      </c>
      <c r="BK57" s="460">
        <f>SUM(BK50:BK54,BK56)</f>
        <v>0</v>
      </c>
      <c r="BL57" s="463">
        <f>BL55</f>
        <v>0</v>
      </c>
      <c r="BM57" s="27"/>
      <c r="BN57" s="33"/>
      <c r="BO57" s="33"/>
      <c r="BP57" s="33"/>
      <c r="BQ57" s="33"/>
      <c r="BR57" s="33"/>
      <c r="BS57" s="33"/>
      <c r="BT57" s="33"/>
      <c r="BU57" s="33"/>
      <c r="BV57" s="33"/>
      <c r="BW57" s="33"/>
      <c r="CZ57" s="33"/>
      <c r="DA57" s="33"/>
      <c r="DB57" s="33"/>
      <c r="DC57" s="958" t="s">
        <v>3062</v>
      </c>
      <c r="DD57" s="810">
        <v>710</v>
      </c>
      <c r="DE57" s="807"/>
      <c r="DF57" s="33"/>
      <c r="DG57" s="33"/>
      <c r="DH57" s="33"/>
      <c r="DI57" s="33"/>
      <c r="DJ57" s="33"/>
    </row>
    <row r="58" spans="1:114" ht="25.5" hidden="1" customHeight="1">
      <c r="A58" s="54"/>
      <c r="B58" s="55"/>
      <c r="C58" s="55"/>
      <c r="D58" s="2313" t="s">
        <v>2830</v>
      </c>
      <c r="E58" s="2313"/>
      <c r="F58" s="2313"/>
      <c r="G58" s="2313"/>
      <c r="H58" s="2313"/>
      <c r="I58" s="2313"/>
      <c r="J58" s="648"/>
      <c r="K58" s="79" t="s">
        <v>2827</v>
      </c>
      <c r="L58" s="645" t="s">
        <v>2837</v>
      </c>
      <c r="M58" s="40"/>
      <c r="N58" s="40"/>
      <c r="O58" s="40"/>
      <c r="P58" s="40"/>
      <c r="Q58" s="40"/>
      <c r="R58" s="56"/>
      <c r="S58" s="88"/>
      <c r="T58" s="88"/>
      <c r="U58" s="35"/>
      <c r="V58" s="655"/>
      <c r="W58" s="79" t="s">
        <v>2827</v>
      </c>
      <c r="X58" s="645" t="s">
        <v>2828</v>
      </c>
      <c r="Y58" s="49"/>
      <c r="Z58" s="50"/>
      <c r="AA58" s="80"/>
      <c r="AB58" s="80"/>
      <c r="AC58" s="80"/>
      <c r="AD58" s="51"/>
      <c r="AE58" s="52"/>
      <c r="AF58" s="87"/>
      <c r="AG58" s="87"/>
      <c r="AH58" s="87"/>
      <c r="AI58" s="87"/>
      <c r="AJ58" s="87"/>
      <c r="AK58" s="87"/>
      <c r="AL58" s="87"/>
      <c r="AM58" s="87"/>
      <c r="AN58" s="87"/>
      <c r="AO58" s="87"/>
      <c r="AP58" s="87"/>
      <c r="AQ58" s="87"/>
      <c r="AR58" s="87"/>
      <c r="AS58" s="87"/>
      <c r="AT58" s="87"/>
      <c r="AU58" s="87"/>
      <c r="AV58" s="87"/>
      <c r="AW58" s="87"/>
      <c r="AX58" s="87"/>
      <c r="AY58" s="87"/>
      <c r="AZ58" s="87"/>
      <c r="BA58" s="53"/>
      <c r="BB58" s="53"/>
      <c r="BC58" s="8"/>
      <c r="BD58" s="6"/>
      <c r="BE58" s="6"/>
      <c r="BF58" s="6"/>
      <c r="BG58" s="458" t="s">
        <v>174</v>
      </c>
      <c r="BH58" s="459">
        <v>50</v>
      </c>
      <c r="BI58" s="459"/>
      <c r="BJ58" s="462"/>
      <c r="BK58" s="459"/>
      <c r="BL58" s="27"/>
      <c r="BM58" s="27"/>
      <c r="BN58" s="33"/>
      <c r="BO58" s="33"/>
      <c r="BP58" s="33"/>
      <c r="BQ58" s="33"/>
      <c r="BR58" s="33"/>
      <c r="BS58" s="33"/>
      <c r="BT58" s="33"/>
      <c r="BU58" s="33"/>
      <c r="BV58" s="33"/>
      <c r="BW58" s="33"/>
      <c r="CZ58" s="33"/>
      <c r="DA58" s="33"/>
      <c r="DB58" s="33"/>
      <c r="DC58" s="958" t="s">
        <v>3063</v>
      </c>
      <c r="DD58" s="810">
        <v>440</v>
      </c>
      <c r="DE58" s="807"/>
      <c r="DF58" s="33"/>
      <c r="DG58" s="33"/>
      <c r="DH58" s="33"/>
      <c r="DI58" s="33"/>
      <c r="DJ58" s="33"/>
    </row>
    <row r="59" spans="1:114" ht="25.5" hidden="1" customHeight="1">
      <c r="A59" s="89"/>
      <c r="B59" s="89"/>
      <c r="C59" s="90"/>
      <c r="D59" s="2313" t="s">
        <v>2831</v>
      </c>
      <c r="E59" s="2313"/>
      <c r="F59" s="2313"/>
      <c r="G59" s="2313"/>
      <c r="H59" s="2313"/>
      <c r="I59" s="2313"/>
      <c r="J59" s="649">
        <f>SUM('04 利用者名簿'!CD37:CD62,'04 利用者名簿'!CD89:CD114)</f>
        <v>0</v>
      </c>
      <c r="K59" s="91"/>
      <c r="L59" s="91"/>
      <c r="M59" s="91"/>
      <c r="N59" s="91"/>
      <c r="O59" s="91"/>
      <c r="P59" s="91"/>
      <c r="Q59" s="91"/>
      <c r="R59" s="57"/>
      <c r="S59" s="57"/>
      <c r="T59" s="58"/>
      <c r="U59" s="35"/>
      <c r="V59" s="656" t="s">
        <v>2851</v>
      </c>
      <c r="Y59" s="49"/>
      <c r="Z59" s="50"/>
      <c r="AA59" s="80"/>
      <c r="AB59" s="80"/>
      <c r="AC59" s="80"/>
      <c r="AD59" s="51"/>
      <c r="AE59" s="52"/>
      <c r="AF59" s="87"/>
      <c r="AG59" s="87"/>
      <c r="AH59" s="87"/>
      <c r="AI59" s="87"/>
      <c r="AJ59" s="87"/>
      <c r="AK59" s="87"/>
      <c r="AL59" s="87"/>
      <c r="AM59" s="87"/>
      <c r="AN59" s="87"/>
      <c r="AO59" s="87"/>
      <c r="AP59" s="87"/>
      <c r="AQ59" s="87"/>
      <c r="AR59" s="87"/>
      <c r="AS59" s="87"/>
      <c r="AT59" s="87"/>
      <c r="AU59" s="87"/>
      <c r="AV59" s="87"/>
      <c r="AW59" s="87"/>
      <c r="AX59" s="87"/>
      <c r="AY59" s="87"/>
      <c r="AZ59" s="87"/>
      <c r="BA59" s="53"/>
      <c r="BB59" s="53"/>
      <c r="BC59" s="8"/>
      <c r="BD59" s="6"/>
      <c r="BE59" s="6"/>
      <c r="BF59" s="6"/>
      <c r="BG59" s="458" t="s">
        <v>175</v>
      </c>
      <c r="BH59" s="459">
        <v>70</v>
      </c>
      <c r="BI59" s="459"/>
      <c r="BJ59" s="462"/>
      <c r="BK59" s="459"/>
      <c r="BL59" s="27"/>
      <c r="BM59" s="27"/>
      <c r="BN59" s="33"/>
      <c r="BO59" s="33"/>
      <c r="BP59" s="33"/>
      <c r="BQ59" s="33"/>
      <c r="BR59" s="33"/>
      <c r="BS59" s="33"/>
      <c r="BT59" s="33"/>
      <c r="BU59" s="33"/>
      <c r="BV59" s="33"/>
      <c r="BW59" s="33"/>
      <c r="CZ59" s="33"/>
      <c r="DA59" s="33"/>
      <c r="DB59" s="33"/>
      <c r="DC59" s="974" t="s">
        <v>3077</v>
      </c>
      <c r="DD59" s="968">
        <v>60</v>
      </c>
      <c r="DE59" s="811"/>
      <c r="DF59" s="33"/>
      <c r="DG59" s="33"/>
      <c r="DH59" s="33"/>
      <c r="DI59" s="33"/>
      <c r="DJ59" s="33"/>
    </row>
    <row r="60" spans="1:114" ht="25.5" hidden="1" customHeight="1">
      <c r="A60" s="89"/>
      <c r="B60" s="89"/>
      <c r="C60" s="90"/>
      <c r="D60" s="2313" t="s">
        <v>2832</v>
      </c>
      <c r="E60" s="2313"/>
      <c r="F60" s="2313"/>
      <c r="G60" s="2313"/>
      <c r="H60" s="2313"/>
      <c r="I60" s="2313"/>
      <c r="J60" s="650"/>
      <c r="K60" s="91"/>
      <c r="L60" s="91"/>
      <c r="M60" s="91"/>
      <c r="N60" s="91"/>
      <c r="O60" s="91"/>
      <c r="P60" s="91"/>
      <c r="Q60" s="91"/>
      <c r="R60" s="57"/>
      <c r="S60" s="57"/>
      <c r="T60" s="58"/>
      <c r="U60" s="35"/>
      <c r="V60" s="659"/>
      <c r="W60" s="84"/>
      <c r="X60" s="85"/>
      <c r="Y60" s="49"/>
      <c r="Z60" s="50"/>
      <c r="AA60" s="80"/>
      <c r="AB60" s="80"/>
      <c r="AC60" s="80"/>
      <c r="AD60" s="51"/>
      <c r="AE60" s="52"/>
      <c r="AF60" s="87"/>
      <c r="AG60" s="87"/>
      <c r="AH60" s="87"/>
      <c r="AI60" s="87"/>
      <c r="AJ60" s="87"/>
      <c r="AK60" s="87"/>
      <c r="AL60" s="87"/>
      <c r="AM60" s="87"/>
      <c r="AN60" s="87"/>
      <c r="AO60" s="87"/>
      <c r="AP60" s="87"/>
      <c r="AQ60" s="87"/>
      <c r="AR60" s="87"/>
      <c r="AS60" s="87"/>
      <c r="AT60" s="87"/>
      <c r="AU60" s="87"/>
      <c r="AV60" s="87"/>
      <c r="AW60" s="87"/>
      <c r="AX60" s="87"/>
      <c r="AY60" s="87"/>
      <c r="AZ60" s="87"/>
      <c r="BA60" s="53"/>
      <c r="BB60" s="53"/>
      <c r="BC60" s="8"/>
      <c r="BD60" s="6"/>
      <c r="BE60" s="6"/>
      <c r="BF60" s="6"/>
      <c r="BG60" s="458" t="s">
        <v>176</v>
      </c>
      <c r="BH60" s="459">
        <v>110</v>
      </c>
      <c r="BI60" s="459"/>
      <c r="BJ60" s="462"/>
      <c r="BK60" s="459"/>
      <c r="BL60" s="27"/>
      <c r="BM60" s="27"/>
      <c r="BN60" s="33"/>
      <c r="BO60" s="33"/>
      <c r="BP60" s="33"/>
      <c r="BQ60" s="33"/>
      <c r="BR60" s="33"/>
      <c r="BS60" s="33"/>
      <c r="BT60" s="33"/>
      <c r="BU60" s="33"/>
      <c r="BV60" s="33"/>
      <c r="BW60" s="33"/>
      <c r="CZ60" s="33"/>
      <c r="DA60" s="33"/>
      <c r="DB60" s="33"/>
      <c r="DC60" s="959" t="s">
        <v>3058</v>
      </c>
      <c r="DD60" s="975">
        <v>670</v>
      </c>
      <c r="DE60" s="807"/>
      <c r="DF60" s="33"/>
      <c r="DG60" s="33"/>
      <c r="DH60" s="33"/>
      <c r="DI60" s="33"/>
      <c r="DJ60" s="33"/>
    </row>
    <row r="61" spans="1:114" ht="25.5" hidden="1" customHeight="1">
      <c r="A61" s="89"/>
      <c r="B61" s="89"/>
      <c r="C61" s="90"/>
      <c r="D61" s="2313" t="s">
        <v>2833</v>
      </c>
      <c r="E61" s="2313"/>
      <c r="F61" s="2313"/>
      <c r="G61" s="2313"/>
      <c r="H61" s="2313"/>
      <c r="I61" s="2313"/>
      <c r="J61" s="650">
        <f>SUM('04 利用者名簿'!CD118)</f>
        <v>0</v>
      </c>
      <c r="K61" s="91"/>
      <c r="L61" s="91"/>
      <c r="M61" s="91"/>
      <c r="N61" s="91"/>
      <c r="O61" s="91"/>
      <c r="P61" s="91"/>
      <c r="Q61" s="91"/>
      <c r="R61" s="57"/>
      <c r="S61" s="57"/>
      <c r="T61" s="58"/>
      <c r="U61" s="35"/>
      <c r="V61" s="659" t="s">
        <v>2852</v>
      </c>
      <c r="W61" s="84"/>
      <c r="X61" s="85"/>
      <c r="Y61" s="49"/>
      <c r="Z61" s="50"/>
      <c r="AA61" s="80"/>
      <c r="AB61" s="80"/>
      <c r="AC61" s="80"/>
      <c r="AD61" s="51"/>
      <c r="AE61" s="52"/>
      <c r="AF61" s="87"/>
      <c r="AG61" s="87"/>
      <c r="AH61" s="87"/>
      <c r="AI61" s="87"/>
      <c r="AJ61" s="87"/>
      <c r="AK61" s="87"/>
      <c r="AL61" s="87"/>
      <c r="AM61" s="87"/>
      <c r="AN61" s="87"/>
      <c r="AO61" s="87"/>
      <c r="AP61" s="87"/>
      <c r="AQ61" s="87"/>
      <c r="AR61" s="87"/>
      <c r="AS61" s="87"/>
      <c r="AT61" s="87"/>
      <c r="AU61" s="87"/>
      <c r="AV61" s="87"/>
      <c r="AW61" s="87"/>
      <c r="AX61" s="87"/>
      <c r="AY61" s="87"/>
      <c r="AZ61" s="87"/>
      <c r="BA61" s="53"/>
      <c r="BB61" s="53"/>
      <c r="BC61" s="8"/>
      <c r="BD61" s="6"/>
      <c r="BE61" s="6"/>
      <c r="BF61" s="6"/>
      <c r="BG61" s="11"/>
      <c r="BH61" s="6"/>
      <c r="BI61" s="6"/>
      <c r="BJ61" s="7"/>
      <c r="BK61" s="6"/>
      <c r="BL61" s="33"/>
      <c r="BM61" s="33"/>
      <c r="BN61" s="33"/>
      <c r="BO61" s="33"/>
      <c r="BP61" s="33"/>
      <c r="BQ61" s="33"/>
      <c r="BR61" s="33"/>
      <c r="BS61" s="33"/>
      <c r="BT61" s="33"/>
      <c r="BU61" s="33"/>
      <c r="BV61" s="33"/>
      <c r="BW61" s="33"/>
      <c r="CZ61" s="33"/>
      <c r="DA61" s="33"/>
      <c r="DB61" s="33"/>
      <c r="DC61" s="959" t="s">
        <v>3078</v>
      </c>
      <c r="DD61" s="810">
        <v>930</v>
      </c>
      <c r="DE61" s="807"/>
      <c r="DF61" s="33"/>
      <c r="DG61" s="33"/>
      <c r="DH61" s="33"/>
      <c r="DI61" s="33"/>
      <c r="DJ61" s="33"/>
    </row>
    <row r="62" spans="1:114" ht="25.5" hidden="1" customHeight="1">
      <c r="A62" s="89"/>
      <c r="B62" s="89"/>
      <c r="C62" s="90"/>
      <c r="D62" s="2313" t="s">
        <v>2834</v>
      </c>
      <c r="E62" s="2313"/>
      <c r="F62" s="2313"/>
      <c r="G62" s="2313"/>
      <c r="H62" s="2313"/>
      <c r="I62" s="2313"/>
      <c r="J62" s="650">
        <f>SUM('04 利用者名簿'!CD116)</f>
        <v>0</v>
      </c>
      <c r="K62" s="91"/>
      <c r="L62" s="91"/>
      <c r="M62" s="91"/>
      <c r="N62" s="91"/>
      <c r="O62" s="91"/>
      <c r="P62" s="91"/>
      <c r="Q62" s="91"/>
      <c r="R62" s="57"/>
      <c r="S62" s="57"/>
      <c r="T62" s="58"/>
      <c r="U62" s="35"/>
      <c r="V62" s="659" t="s">
        <v>2853</v>
      </c>
      <c r="W62" s="84"/>
      <c r="X62" s="85"/>
      <c r="Y62" s="49"/>
      <c r="Z62" s="50"/>
      <c r="AA62" s="80"/>
      <c r="AB62" s="80"/>
      <c r="AC62" s="80"/>
      <c r="AD62" s="51"/>
      <c r="AE62" s="52"/>
      <c r="AF62" s="87"/>
      <c r="AG62" s="87"/>
      <c r="AH62" s="87"/>
      <c r="AI62" s="87"/>
      <c r="AJ62" s="87"/>
      <c r="AK62" s="87"/>
      <c r="AL62" s="87"/>
      <c r="AM62" s="87"/>
      <c r="AN62" s="87"/>
      <c r="AO62" s="87"/>
      <c r="AP62" s="87"/>
      <c r="AQ62" s="87"/>
      <c r="AR62" s="87"/>
      <c r="AS62" s="87"/>
      <c r="AT62" s="87"/>
      <c r="AU62" s="87"/>
      <c r="AV62" s="87"/>
      <c r="AW62" s="87"/>
      <c r="AX62" s="87"/>
      <c r="AY62" s="87"/>
      <c r="AZ62" s="87"/>
      <c r="BA62" s="53"/>
      <c r="BB62" s="53"/>
      <c r="BC62" s="8"/>
      <c r="BD62" s="6"/>
      <c r="BE62" s="6"/>
      <c r="BF62" s="6"/>
      <c r="BG62" s="7"/>
      <c r="BH62" s="6"/>
      <c r="BI62" s="6"/>
      <c r="BJ62" s="7"/>
      <c r="BK62" s="6"/>
      <c r="BL62" s="33"/>
      <c r="BM62" s="33"/>
      <c r="BN62" s="33"/>
      <c r="BO62" s="33"/>
      <c r="BP62" s="33"/>
      <c r="BQ62" s="33"/>
      <c r="BR62" s="33"/>
      <c r="BS62" s="33"/>
      <c r="BT62" s="33"/>
      <c r="BU62" s="33"/>
      <c r="BV62" s="33"/>
      <c r="BW62" s="33"/>
      <c r="DC62" s="958" t="s">
        <v>3079</v>
      </c>
      <c r="DD62" s="810">
        <v>820</v>
      </c>
      <c r="DE62" s="791"/>
    </row>
    <row r="63" spans="1:114" ht="25.5" hidden="1" customHeight="1">
      <c r="A63" s="89"/>
      <c r="B63" s="89"/>
      <c r="C63" s="90"/>
      <c r="D63" s="2313" t="s">
        <v>2835</v>
      </c>
      <c r="E63" s="2313"/>
      <c r="F63" s="2313"/>
      <c r="G63" s="2313"/>
      <c r="H63" s="2313"/>
      <c r="I63" s="2313"/>
      <c r="J63" s="651"/>
      <c r="K63" s="91"/>
      <c r="L63" s="91"/>
      <c r="M63" s="91"/>
      <c r="N63" s="91"/>
      <c r="O63" s="91"/>
      <c r="P63" s="91"/>
      <c r="Q63" s="91"/>
      <c r="R63" s="57"/>
      <c r="S63" s="57"/>
      <c r="T63" s="58"/>
      <c r="U63" s="37"/>
      <c r="V63" s="660"/>
      <c r="W63" s="84"/>
      <c r="X63" s="85"/>
      <c r="Y63" s="49"/>
      <c r="Z63" s="50"/>
      <c r="AA63" s="80"/>
      <c r="AB63" s="80"/>
      <c r="AC63" s="80"/>
      <c r="AD63" s="51"/>
      <c r="AE63" s="52"/>
      <c r="AF63" s="87"/>
      <c r="AG63" s="87"/>
      <c r="AH63" s="87"/>
      <c r="AI63" s="87"/>
      <c r="AJ63" s="87"/>
      <c r="AK63" s="87"/>
      <c r="AL63" s="87"/>
      <c r="AM63" s="87"/>
      <c r="AN63" s="87"/>
      <c r="AO63" s="87"/>
      <c r="AP63" s="87"/>
      <c r="AQ63" s="87"/>
      <c r="AR63" s="87"/>
      <c r="AS63" s="87"/>
      <c r="AT63" s="87"/>
      <c r="AU63" s="87"/>
      <c r="AV63" s="87"/>
      <c r="AW63" s="87"/>
      <c r="AX63" s="87"/>
      <c r="AY63" s="87"/>
      <c r="AZ63" s="87"/>
      <c r="BA63" s="53"/>
      <c r="BB63" s="53"/>
      <c r="BC63" s="8"/>
      <c r="BD63" s="6"/>
      <c r="BE63" s="6"/>
      <c r="BF63" s="6"/>
      <c r="BG63" s="11"/>
      <c r="BH63" s="6"/>
      <c r="BI63" s="6"/>
      <c r="BJ63" s="7"/>
      <c r="BK63" s="6"/>
      <c r="BL63" s="33"/>
      <c r="BM63" s="33"/>
      <c r="BN63" s="33"/>
      <c r="BO63" s="33"/>
      <c r="BP63" s="33"/>
      <c r="BQ63" s="33"/>
      <c r="BR63" s="33"/>
      <c r="BS63" s="33"/>
      <c r="BT63" s="33"/>
      <c r="BU63" s="33"/>
      <c r="BV63" s="33"/>
      <c r="BW63" s="33"/>
      <c r="DC63" s="958" t="s">
        <v>3080</v>
      </c>
      <c r="DD63" s="810">
        <v>710</v>
      </c>
    </row>
    <row r="64" spans="1:114" ht="25.5" hidden="1" customHeight="1">
      <c r="A64" s="92"/>
      <c r="B64" s="92"/>
      <c r="C64" s="92"/>
      <c r="D64" s="92"/>
      <c r="E64" s="92"/>
      <c r="F64" s="92"/>
      <c r="G64" s="92"/>
      <c r="H64" s="92"/>
      <c r="I64" s="92"/>
      <c r="J64" s="647"/>
      <c r="K64" s="647"/>
      <c r="L64" s="647"/>
      <c r="M64" s="92"/>
      <c r="N64" s="92"/>
      <c r="O64" s="92"/>
      <c r="P64" s="92"/>
      <c r="Q64" s="92"/>
      <c r="R64" s="92"/>
      <c r="S64" s="92"/>
      <c r="T64" s="92"/>
      <c r="U64" s="92"/>
      <c r="V64" s="657"/>
      <c r="W64" s="84"/>
      <c r="X64" s="85"/>
      <c r="Y64" s="49"/>
      <c r="Z64" s="50"/>
      <c r="AA64" s="80"/>
      <c r="AB64" s="80"/>
      <c r="AC64" s="80"/>
      <c r="AD64" s="51"/>
      <c r="AE64" s="52"/>
      <c r="AF64" s="87"/>
      <c r="AG64" s="87"/>
      <c r="AH64" s="87"/>
      <c r="AI64" s="87"/>
      <c r="AJ64" s="87"/>
      <c r="AK64" s="87"/>
      <c r="AL64" s="87"/>
      <c r="AM64" s="87"/>
      <c r="AN64" s="87"/>
      <c r="AO64" s="87"/>
      <c r="AP64" s="87"/>
      <c r="AQ64" s="87"/>
      <c r="AR64" s="87"/>
      <c r="AS64" s="87"/>
      <c r="AT64" s="87"/>
      <c r="AU64" s="87"/>
      <c r="AV64" s="87"/>
      <c r="AW64" s="87"/>
      <c r="AX64" s="87"/>
      <c r="AY64" s="87"/>
      <c r="AZ64" s="87"/>
      <c r="BA64" s="53"/>
      <c r="BB64" s="53"/>
      <c r="BC64" s="8"/>
      <c r="BD64" s="6"/>
      <c r="BE64" s="6"/>
      <c r="BF64" s="6"/>
      <c r="BG64" s="11"/>
      <c r="BH64" s="6"/>
      <c r="BI64" s="6"/>
      <c r="BJ64" s="7"/>
      <c r="BK64" s="6"/>
      <c r="BL64" s="33"/>
      <c r="BM64" s="33"/>
      <c r="BN64" s="33"/>
      <c r="BO64" s="33"/>
      <c r="BP64" s="33"/>
      <c r="BQ64" s="33"/>
      <c r="BR64" s="33"/>
      <c r="BS64" s="33"/>
      <c r="BT64" s="33"/>
      <c r="BU64" s="33"/>
      <c r="BV64" s="33"/>
      <c r="BW64" s="33"/>
      <c r="DC64" s="958" t="s">
        <v>3063</v>
      </c>
      <c r="DD64" s="810">
        <v>440</v>
      </c>
    </row>
    <row r="65" spans="1:75" ht="25.5" hidden="1" customHeight="1">
      <c r="A65" s="92"/>
      <c r="B65" s="92"/>
      <c r="C65" s="92"/>
      <c r="D65" s="2311" t="s">
        <v>2836</v>
      </c>
      <c r="E65" s="2311"/>
      <c r="F65" s="2311"/>
      <c r="G65" s="2311"/>
      <c r="H65" s="92"/>
      <c r="I65" s="92"/>
      <c r="J65" s="652">
        <f>'07 補助的指導者'!G23</f>
        <v>0</v>
      </c>
      <c r="K65" s="79" t="s">
        <v>2827</v>
      </c>
      <c r="L65" s="645" t="s">
        <v>2837</v>
      </c>
      <c r="M65" s="92"/>
      <c r="N65" s="92"/>
      <c r="O65" s="92"/>
      <c r="P65" s="92"/>
      <c r="Q65" s="92"/>
      <c r="R65" s="92"/>
      <c r="S65" s="92"/>
      <c r="T65" s="92"/>
      <c r="U65" s="92"/>
      <c r="V65" s="658" t="s">
        <v>2856</v>
      </c>
      <c r="W65" s="79" t="s">
        <v>2827</v>
      </c>
      <c r="X65" s="645" t="s">
        <v>2828</v>
      </c>
      <c r="Y65" s="49"/>
      <c r="Z65" s="50"/>
      <c r="AA65" s="80"/>
      <c r="AB65" s="80"/>
      <c r="AC65" s="80"/>
      <c r="AD65" s="51"/>
      <c r="AE65" s="52"/>
      <c r="AF65" s="87"/>
      <c r="AG65" s="87"/>
      <c r="AH65" s="87"/>
      <c r="AI65" s="87"/>
      <c r="AJ65" s="87"/>
      <c r="AK65" s="87"/>
      <c r="AL65" s="87"/>
      <c r="AM65" s="87"/>
      <c r="AN65" s="87"/>
      <c r="AO65" s="87"/>
      <c r="AP65" s="87"/>
      <c r="AQ65" s="87"/>
      <c r="AR65" s="87"/>
      <c r="AS65" s="87"/>
      <c r="AT65" s="87"/>
      <c r="AU65" s="87"/>
      <c r="AV65" s="87"/>
      <c r="AW65" s="87"/>
      <c r="AX65" s="87"/>
      <c r="AY65" s="87"/>
      <c r="AZ65" s="87"/>
      <c r="BA65" s="53"/>
      <c r="BB65" s="53"/>
      <c r="BC65" s="8"/>
      <c r="BD65" s="6"/>
      <c r="BE65" s="6"/>
      <c r="BF65" s="6"/>
      <c r="BG65" s="11"/>
      <c r="BH65" s="6"/>
      <c r="BI65" s="6"/>
      <c r="BJ65" s="7"/>
      <c r="BK65" s="6"/>
      <c r="BL65" s="33"/>
      <c r="BM65" s="33"/>
      <c r="BN65" s="33"/>
      <c r="BO65" s="33"/>
      <c r="BP65" s="33"/>
      <c r="BQ65" s="33"/>
      <c r="BR65" s="33"/>
      <c r="BS65" s="33"/>
      <c r="BT65" s="33"/>
      <c r="BU65" s="33"/>
      <c r="BV65" s="33"/>
      <c r="BW65" s="33"/>
    </row>
    <row r="66" spans="1:75" ht="25.5" hidden="1" customHeight="1">
      <c r="A66" s="92"/>
      <c r="B66" s="92"/>
      <c r="C66" s="92"/>
      <c r="D66" s="92"/>
      <c r="E66" s="92"/>
      <c r="F66" s="92"/>
      <c r="G66" s="92"/>
      <c r="H66" s="92"/>
      <c r="I66" s="92"/>
      <c r="J66" s="92"/>
      <c r="K66" s="92"/>
      <c r="L66" s="92"/>
      <c r="M66" s="92"/>
      <c r="N66" s="92"/>
      <c r="O66" s="92"/>
      <c r="P66" s="92"/>
      <c r="Q66" s="92"/>
      <c r="R66" s="92"/>
      <c r="S66" s="92"/>
      <c r="T66" s="92"/>
      <c r="U66" s="92"/>
      <c r="V66" s="36"/>
      <c r="W66" s="84"/>
      <c r="X66" s="85"/>
      <c r="Y66" s="49"/>
      <c r="Z66" s="50"/>
      <c r="AA66" s="80"/>
      <c r="AB66" s="80"/>
      <c r="AC66" s="80"/>
      <c r="AD66" s="51"/>
      <c r="AE66" s="52"/>
      <c r="AF66" s="87"/>
      <c r="AG66" s="87"/>
      <c r="AH66" s="87"/>
      <c r="AI66" s="87"/>
      <c r="AJ66" s="87"/>
      <c r="AK66" s="87"/>
      <c r="AL66" s="87"/>
      <c r="AM66" s="87"/>
      <c r="AN66" s="87"/>
      <c r="AO66" s="87"/>
      <c r="AP66" s="87"/>
      <c r="AQ66" s="87"/>
      <c r="AR66" s="87"/>
      <c r="AS66" s="87"/>
      <c r="AT66" s="87"/>
      <c r="AU66" s="87"/>
      <c r="AV66" s="87"/>
      <c r="AW66" s="87"/>
      <c r="AX66" s="87"/>
      <c r="AY66" s="87"/>
      <c r="AZ66" s="87"/>
      <c r="BA66" s="53"/>
      <c r="BB66" s="53"/>
      <c r="BC66" s="8"/>
      <c r="BD66" s="6"/>
      <c r="BE66" s="6"/>
      <c r="BF66" s="6"/>
      <c r="BG66" s="11"/>
      <c r="BH66" s="6"/>
      <c r="BI66" s="6"/>
      <c r="BJ66" s="7"/>
      <c r="BK66" s="6"/>
      <c r="BL66" s="33"/>
      <c r="BM66" s="33"/>
      <c r="BN66" s="33"/>
      <c r="BO66" s="33"/>
      <c r="BP66" s="33"/>
      <c r="BQ66" s="33"/>
      <c r="BR66" s="33"/>
      <c r="BS66" s="33"/>
      <c r="BT66" s="33"/>
      <c r="BU66" s="33"/>
      <c r="BV66" s="33"/>
      <c r="BW66" s="33"/>
    </row>
    <row r="67" spans="1:75" ht="25.5" hidden="1" customHeight="1">
      <c r="A67" s="92"/>
      <c r="B67" s="92"/>
      <c r="C67" s="92"/>
      <c r="D67" s="665" t="s">
        <v>2857</v>
      </c>
      <c r="E67" s="92"/>
      <c r="F67" s="92"/>
      <c r="G67" s="92"/>
      <c r="H67" s="92"/>
      <c r="I67" s="92"/>
      <c r="J67" s="666">
        <f>SUM(M68:M73)</f>
        <v>0</v>
      </c>
      <c r="K67" s="92"/>
      <c r="L67" s="92"/>
      <c r="M67" s="92"/>
      <c r="N67" s="92"/>
      <c r="O67" s="92"/>
      <c r="P67" s="92"/>
      <c r="Q67" s="92"/>
      <c r="R67" s="92"/>
      <c r="S67" s="92"/>
      <c r="T67" s="92"/>
      <c r="U67" s="92"/>
      <c r="V67" s="36"/>
      <c r="W67" s="84"/>
      <c r="X67" s="85"/>
      <c r="Y67" s="49"/>
      <c r="Z67" s="50"/>
      <c r="AA67" s="80"/>
      <c r="AB67" s="80"/>
      <c r="AC67" s="80"/>
      <c r="AD67" s="51"/>
      <c r="AE67" s="52"/>
      <c r="AF67" s="87"/>
      <c r="AG67" s="87"/>
      <c r="AH67" s="87"/>
      <c r="AI67" s="87"/>
      <c r="AJ67" s="87"/>
      <c r="AK67" s="87"/>
      <c r="AL67" s="87"/>
      <c r="AM67" s="87"/>
      <c r="AN67" s="87"/>
      <c r="AO67" s="87"/>
      <c r="AP67" s="87"/>
      <c r="AQ67" s="87"/>
      <c r="AR67" s="87"/>
      <c r="AS67" s="87"/>
      <c r="AT67" s="87"/>
      <c r="AU67" s="87"/>
      <c r="AV67" s="87"/>
      <c r="AW67" s="87"/>
      <c r="AX67" s="87"/>
      <c r="AY67" s="87"/>
      <c r="AZ67" s="87"/>
      <c r="BA67" s="53"/>
      <c r="BB67" s="53"/>
      <c r="BC67" s="8"/>
      <c r="BD67" s="6"/>
      <c r="BE67" s="6"/>
      <c r="BF67" s="6"/>
      <c r="BG67" s="11"/>
      <c r="BH67" s="6"/>
      <c r="BI67" s="6"/>
      <c r="BJ67" s="7"/>
      <c r="BK67" s="6"/>
      <c r="BL67" s="33"/>
      <c r="BM67" s="33"/>
      <c r="BN67" s="33"/>
      <c r="BO67" s="33"/>
      <c r="BP67" s="33"/>
      <c r="BQ67" s="33"/>
      <c r="BR67" s="33"/>
      <c r="BS67" s="33"/>
      <c r="BT67" s="33"/>
      <c r="BU67" s="33"/>
      <c r="BV67" s="33"/>
      <c r="BW67" s="33"/>
    </row>
    <row r="68" spans="1:75" ht="25.5" hidden="1" customHeight="1">
      <c r="A68" s="93"/>
      <c r="B68" s="84"/>
      <c r="C68" s="84"/>
      <c r="D68" s="665" t="s">
        <v>2858</v>
      </c>
      <c r="E68" s="84"/>
      <c r="F68" s="84"/>
      <c r="G68" s="84"/>
      <c r="H68" s="59"/>
      <c r="I68" s="81"/>
      <c r="J68" s="670">
        <f>(M68)+(M69*2)+(M70*3)+(M71*4)+(M72*5)+(M73*6)</f>
        <v>0</v>
      </c>
      <c r="K68" s="95"/>
      <c r="L68" s="667" t="s">
        <v>39</v>
      </c>
      <c r="M68" s="737">
        <f>'04 利用者名簿'!R38</f>
        <v>0</v>
      </c>
      <c r="N68" s="741" t="s">
        <v>24</v>
      </c>
      <c r="O68" s="84"/>
      <c r="P68" s="96"/>
      <c r="Q68" s="184"/>
      <c r="R68" s="96"/>
      <c r="S68" s="84"/>
      <c r="T68" s="97"/>
      <c r="U68" s="97"/>
      <c r="V68" s="36"/>
      <c r="W68" s="84"/>
      <c r="X68" s="85"/>
      <c r="Y68" s="49"/>
      <c r="Z68" s="50"/>
      <c r="AA68" s="80"/>
      <c r="AB68" s="80"/>
      <c r="AC68" s="80"/>
      <c r="AD68" s="51"/>
      <c r="AE68" s="52"/>
      <c r="AF68" s="87"/>
      <c r="AG68" s="87"/>
      <c r="AH68" s="87"/>
      <c r="AI68" s="87"/>
      <c r="AJ68" s="87"/>
      <c r="AK68" s="87"/>
      <c r="AL68" s="87"/>
      <c r="AM68" s="87"/>
      <c r="AN68" s="87"/>
      <c r="AO68" s="87"/>
      <c r="AP68" s="87"/>
      <c r="AQ68" s="87"/>
      <c r="AR68" s="87"/>
      <c r="AS68" s="87"/>
      <c r="AT68" s="87"/>
      <c r="AU68" s="87"/>
      <c r="AV68" s="87"/>
      <c r="AW68" s="87"/>
      <c r="AX68" s="87"/>
      <c r="AY68" s="87"/>
      <c r="AZ68" s="87"/>
      <c r="BA68" s="53"/>
      <c r="BB68" s="53"/>
      <c r="BC68" s="8"/>
      <c r="BD68" s="6"/>
      <c r="BE68" s="6"/>
      <c r="BF68" s="6"/>
      <c r="BG68" s="11"/>
      <c r="BH68" s="6"/>
      <c r="BI68" s="6"/>
      <c r="BJ68" s="7"/>
      <c r="BK68" s="6"/>
      <c r="BL68" s="33"/>
      <c r="BM68" s="33"/>
      <c r="BN68" s="33"/>
      <c r="BO68" s="33"/>
      <c r="BP68" s="33"/>
      <c r="BQ68" s="33"/>
      <c r="BR68" s="33"/>
      <c r="BS68" s="33"/>
      <c r="BT68" s="33"/>
      <c r="BU68" s="33"/>
      <c r="BV68" s="33"/>
      <c r="BW68" s="33"/>
    </row>
    <row r="69" spans="1:75" ht="25.5" hidden="1" customHeight="1">
      <c r="A69" s="93"/>
      <c r="B69" s="84"/>
      <c r="C69" s="84"/>
      <c r="D69" s="84"/>
      <c r="E69" s="84"/>
      <c r="F69" s="84"/>
      <c r="G69" s="84"/>
      <c r="H69" s="59"/>
      <c r="I69" s="81"/>
      <c r="J69" s="84"/>
      <c r="K69" s="84"/>
      <c r="L69" s="365" t="s">
        <v>2859</v>
      </c>
      <c r="M69" s="738">
        <f>'04 利用者名簿'!R37</f>
        <v>0</v>
      </c>
      <c r="N69" s="741" t="s">
        <v>24</v>
      </c>
      <c r="O69" s="84"/>
      <c r="P69" s="84"/>
      <c r="Q69" s="184"/>
      <c r="R69" s="84"/>
      <c r="S69" s="84"/>
      <c r="T69" s="98"/>
      <c r="U69" s="98"/>
      <c r="V69" s="36"/>
      <c r="W69" s="84"/>
      <c r="X69" s="85"/>
      <c r="Y69" s="49"/>
      <c r="Z69" s="50"/>
      <c r="AA69" s="80"/>
      <c r="AB69" s="80"/>
      <c r="AC69" s="80"/>
      <c r="AD69" s="51"/>
      <c r="AE69" s="52"/>
      <c r="AF69" s="87"/>
      <c r="AG69" s="87"/>
      <c r="AH69" s="87"/>
      <c r="AI69" s="87"/>
      <c r="AJ69" s="87"/>
      <c r="AK69" s="87"/>
      <c r="AL69" s="87"/>
      <c r="AM69" s="87"/>
      <c r="AN69" s="87"/>
      <c r="AO69" s="87"/>
      <c r="AP69" s="87"/>
      <c r="AQ69" s="87"/>
      <c r="AR69" s="87"/>
      <c r="AS69" s="87"/>
      <c r="AT69" s="87"/>
      <c r="AU69" s="87"/>
      <c r="AV69" s="87"/>
      <c r="AW69" s="87"/>
      <c r="AX69" s="87"/>
      <c r="AY69" s="87"/>
      <c r="AZ69" s="87"/>
      <c r="BA69" s="53"/>
      <c r="BB69" s="53"/>
      <c r="BC69" s="8"/>
      <c r="BD69" s="6"/>
      <c r="BE69" s="6"/>
      <c r="BF69" s="6"/>
      <c r="BG69" s="11"/>
      <c r="BH69" s="6"/>
      <c r="BI69" s="6"/>
      <c r="BJ69" s="7"/>
      <c r="BK69" s="6"/>
      <c r="BL69" s="33"/>
      <c r="BM69" s="33"/>
      <c r="BN69" s="33"/>
      <c r="BO69" s="33"/>
      <c r="BP69" s="33"/>
      <c r="BQ69" s="33"/>
      <c r="BR69" s="33"/>
      <c r="BS69" s="33"/>
      <c r="BT69" s="33"/>
      <c r="BU69" s="33"/>
      <c r="BV69" s="33"/>
      <c r="BW69" s="33"/>
    </row>
    <row r="70" spans="1:75" ht="25.5" hidden="1" customHeight="1">
      <c r="A70" s="93"/>
      <c r="B70" s="99"/>
      <c r="C70" s="94"/>
      <c r="D70" s="95"/>
      <c r="E70" s="95"/>
      <c r="F70" s="95"/>
      <c r="G70" s="95"/>
      <c r="H70" s="60"/>
      <c r="I70" s="61"/>
      <c r="J70" s="100"/>
      <c r="K70" s="100"/>
      <c r="L70" s="668" t="s">
        <v>2860</v>
      </c>
      <c r="M70" s="739"/>
      <c r="N70" s="741" t="s">
        <v>2922</v>
      </c>
      <c r="O70" s="100"/>
      <c r="P70" s="100"/>
      <c r="Q70" s="100"/>
      <c r="R70" s="100"/>
      <c r="S70" s="100"/>
      <c r="T70" s="64"/>
      <c r="U70" s="64"/>
      <c r="V70" s="36"/>
      <c r="W70" s="84"/>
      <c r="X70" s="85"/>
      <c r="Y70" s="49"/>
      <c r="Z70" s="49"/>
      <c r="AA70" s="49"/>
      <c r="AB70" s="49"/>
      <c r="AC70" s="49"/>
      <c r="AD70" s="49"/>
      <c r="AE70" s="49"/>
      <c r="AF70" s="71"/>
      <c r="AG70" s="71"/>
      <c r="AH70" s="71"/>
      <c r="AI70" s="71"/>
      <c r="AJ70" s="71"/>
      <c r="AK70" s="71"/>
      <c r="AL70" s="71"/>
      <c r="AM70" s="71"/>
      <c r="AN70" s="71"/>
      <c r="AO70" s="71"/>
      <c r="AP70" s="71"/>
      <c r="AQ70" s="71"/>
      <c r="AR70" s="71"/>
      <c r="AS70" s="71"/>
      <c r="AT70" s="71"/>
      <c r="AU70" s="71"/>
      <c r="AV70" s="71"/>
      <c r="AW70" s="71"/>
      <c r="AX70" s="71"/>
      <c r="AY70" s="71"/>
      <c r="AZ70" s="71"/>
      <c r="BA70" s="53"/>
      <c r="BB70" s="53"/>
      <c r="BC70" s="8"/>
      <c r="BD70" s="6"/>
      <c r="BE70" s="6"/>
      <c r="BF70" s="6"/>
      <c r="BG70" s="11"/>
      <c r="BH70" s="6"/>
      <c r="BI70" s="6"/>
      <c r="BJ70" s="7"/>
      <c r="BK70" s="6"/>
      <c r="BL70" s="33"/>
      <c r="BM70" s="33"/>
      <c r="BN70" s="33"/>
      <c r="BO70" s="33"/>
      <c r="BP70" s="33"/>
      <c r="BQ70" s="33"/>
      <c r="BR70" s="33"/>
      <c r="BS70" s="33"/>
      <c r="BT70" s="33"/>
      <c r="BU70" s="33"/>
      <c r="BV70" s="33"/>
      <c r="BW70" s="33"/>
    </row>
    <row r="71" spans="1:75" ht="25.5" hidden="1" customHeight="1">
      <c r="A71" s="93"/>
      <c r="B71" s="99"/>
      <c r="C71" s="101"/>
      <c r="D71" s="101"/>
      <c r="E71" s="101"/>
      <c r="F71" s="101"/>
      <c r="G71" s="101"/>
      <c r="H71" s="60"/>
      <c r="I71" s="62"/>
      <c r="J71" s="102"/>
      <c r="K71" s="102"/>
      <c r="L71" s="669" t="s">
        <v>2861</v>
      </c>
      <c r="M71" s="740"/>
      <c r="N71" s="741" t="s">
        <v>2922</v>
      </c>
      <c r="O71" s="102"/>
      <c r="P71" s="102"/>
      <c r="Q71" s="102"/>
      <c r="R71" s="102"/>
      <c r="S71" s="102"/>
      <c r="T71" s="64"/>
      <c r="U71" s="64"/>
      <c r="V71" s="36"/>
      <c r="W71" s="84"/>
      <c r="X71" s="85"/>
      <c r="Y71" s="82"/>
      <c r="Z71" s="82"/>
      <c r="AA71" s="82"/>
      <c r="AB71" s="82"/>
      <c r="AC71" s="82"/>
      <c r="AD71" s="63"/>
      <c r="AE71" s="52"/>
      <c r="AF71" s="87"/>
      <c r="AG71" s="87"/>
      <c r="AH71" s="87"/>
      <c r="AI71" s="87"/>
      <c r="AJ71" s="87"/>
      <c r="AK71" s="87"/>
      <c r="AL71" s="87"/>
      <c r="AM71" s="87"/>
      <c r="AN71" s="87"/>
      <c r="AO71" s="87"/>
      <c r="AP71" s="87"/>
      <c r="AQ71" s="87"/>
      <c r="AR71" s="87"/>
      <c r="AS71" s="87"/>
      <c r="AT71" s="87"/>
      <c r="AU71" s="87"/>
      <c r="AV71" s="87"/>
      <c r="AW71" s="87"/>
      <c r="AX71" s="87"/>
      <c r="AY71" s="87"/>
      <c r="AZ71" s="87"/>
      <c r="BA71" s="64"/>
      <c r="BB71" s="64"/>
      <c r="BC71" s="8"/>
      <c r="BD71" s="6"/>
      <c r="BE71" s="6"/>
      <c r="BF71" s="6"/>
      <c r="BG71" s="7"/>
      <c r="BH71" s="6"/>
      <c r="BI71" s="6"/>
      <c r="BJ71" s="7"/>
      <c r="BK71" s="6"/>
      <c r="BL71" s="33"/>
      <c r="BM71" s="33"/>
      <c r="BN71" s="33"/>
      <c r="BO71" s="33"/>
      <c r="BP71" s="33"/>
      <c r="BQ71" s="33"/>
      <c r="BR71" s="33"/>
      <c r="BS71" s="33"/>
      <c r="BT71" s="33"/>
      <c r="BU71" s="33"/>
      <c r="BV71" s="33"/>
      <c r="BW71" s="33"/>
    </row>
    <row r="72" spans="1:75" ht="25.5" hidden="1" customHeight="1">
      <c r="A72" s="93"/>
      <c r="B72" s="99"/>
      <c r="C72" s="101"/>
      <c r="D72" s="101"/>
      <c r="E72" s="101"/>
      <c r="F72" s="101"/>
      <c r="G72" s="101"/>
      <c r="H72" s="60"/>
      <c r="I72" s="62"/>
      <c r="J72" s="102"/>
      <c r="K72" s="102"/>
      <c r="L72" s="669" t="s">
        <v>2862</v>
      </c>
      <c r="M72" s="740"/>
      <c r="N72" s="741" t="s">
        <v>2922</v>
      </c>
      <c r="O72" s="102"/>
      <c r="P72" s="102"/>
      <c r="Q72" s="102"/>
      <c r="R72" s="102"/>
      <c r="S72" s="102"/>
      <c r="T72" s="64"/>
      <c r="U72" s="64"/>
      <c r="V72" s="36"/>
      <c r="W72" s="84"/>
      <c r="X72" s="85"/>
      <c r="Y72" s="103"/>
      <c r="Z72" s="103"/>
      <c r="AA72" s="103"/>
      <c r="AB72" s="103"/>
      <c r="AC72" s="103"/>
      <c r="AD72" s="43"/>
      <c r="AE72" s="52"/>
      <c r="AF72" s="87"/>
      <c r="AG72" s="87"/>
      <c r="AH72" s="87"/>
      <c r="AI72" s="87"/>
      <c r="AJ72" s="87"/>
      <c r="AK72" s="87"/>
      <c r="AL72" s="87"/>
      <c r="AM72" s="87"/>
      <c r="AN72" s="87"/>
      <c r="AO72" s="87"/>
      <c r="AP72" s="87"/>
      <c r="AQ72" s="87"/>
      <c r="AR72" s="87"/>
      <c r="AS72" s="87"/>
      <c r="AT72" s="87"/>
      <c r="AU72" s="87"/>
      <c r="AV72" s="87"/>
      <c r="AW72" s="87"/>
      <c r="AX72" s="87"/>
      <c r="AY72" s="87"/>
      <c r="AZ72" s="87"/>
      <c r="BA72" s="64"/>
      <c r="BB72" s="64"/>
      <c r="BC72" s="8"/>
      <c r="BD72" s="6"/>
      <c r="BE72" s="6"/>
      <c r="BF72" s="6"/>
      <c r="BG72" s="11"/>
      <c r="BH72" s="6"/>
      <c r="BI72" s="6"/>
      <c r="BJ72" s="7"/>
      <c r="BK72" s="6"/>
    </row>
    <row r="73" spans="1:75" ht="25.5" hidden="1" customHeight="1">
      <c r="A73" s="93"/>
      <c r="B73" s="99"/>
      <c r="C73" s="104"/>
      <c r="D73" s="104"/>
      <c r="E73" s="104"/>
      <c r="F73" s="104"/>
      <c r="G73" s="104"/>
      <c r="H73" s="60"/>
      <c r="I73" s="62"/>
      <c r="J73" s="102"/>
      <c r="K73" s="102"/>
      <c r="L73" s="669" t="s">
        <v>2863</v>
      </c>
      <c r="M73" s="740"/>
      <c r="N73" s="741" t="s">
        <v>2922</v>
      </c>
      <c r="O73" s="102"/>
      <c r="P73" s="102"/>
      <c r="Q73" s="102"/>
      <c r="R73" s="102"/>
      <c r="S73" s="102"/>
      <c r="T73" s="64"/>
      <c r="U73" s="64"/>
      <c r="V73" s="36"/>
      <c r="W73" s="84"/>
      <c r="X73" s="85"/>
      <c r="Y73" s="103"/>
      <c r="Z73" s="103"/>
      <c r="AA73" s="103"/>
      <c r="AB73" s="103"/>
      <c r="AC73" s="103"/>
      <c r="AD73" s="43"/>
      <c r="AE73" s="52"/>
      <c r="AF73" s="87"/>
      <c r="AG73" s="87"/>
      <c r="AH73" s="87"/>
      <c r="AI73" s="87"/>
      <c r="AJ73" s="87"/>
      <c r="AK73" s="87"/>
      <c r="AL73" s="87"/>
      <c r="AM73" s="87"/>
      <c r="AN73" s="87"/>
      <c r="AO73" s="87"/>
      <c r="AP73" s="87"/>
      <c r="AQ73" s="87"/>
      <c r="AR73" s="87"/>
      <c r="AS73" s="87"/>
      <c r="AT73" s="87"/>
      <c r="AU73" s="87"/>
      <c r="AV73" s="87"/>
      <c r="AW73" s="87"/>
      <c r="AX73" s="87"/>
      <c r="AY73" s="87"/>
      <c r="AZ73" s="87"/>
      <c r="BA73" s="64"/>
      <c r="BB73" s="64"/>
      <c r="BC73" s="8"/>
      <c r="BD73" s="6"/>
      <c r="BE73" s="6"/>
      <c r="BF73" s="6"/>
      <c r="BG73" s="11"/>
      <c r="BH73" s="6"/>
      <c r="BI73" s="6"/>
      <c r="BJ73" s="7"/>
      <c r="BK73" s="6"/>
    </row>
    <row r="74" spans="1:75" ht="25.5" hidden="1" customHeight="1">
      <c r="A74" s="93"/>
      <c r="B74" s="99"/>
      <c r="C74" s="104"/>
      <c r="D74" s="104"/>
      <c r="E74" s="104"/>
      <c r="F74" s="104"/>
      <c r="G74" s="104"/>
      <c r="H74" s="60"/>
      <c r="I74" s="62"/>
      <c r="J74" s="102"/>
      <c r="K74" s="102"/>
      <c r="L74" s="102"/>
      <c r="M74" s="102"/>
      <c r="N74" s="102"/>
      <c r="O74" s="102"/>
      <c r="P74" s="102"/>
      <c r="Q74" s="102"/>
      <c r="R74" s="102"/>
      <c r="S74" s="102"/>
      <c r="T74" s="64"/>
      <c r="U74" s="64"/>
      <c r="V74" s="36"/>
      <c r="W74" s="84"/>
      <c r="X74" s="85"/>
      <c r="Y74" s="82"/>
      <c r="Z74" s="82"/>
      <c r="AA74" s="82"/>
      <c r="AB74" s="82"/>
      <c r="AC74" s="82"/>
      <c r="AD74" s="67"/>
      <c r="AE74" s="68"/>
      <c r="AF74" s="87"/>
      <c r="AG74" s="87"/>
      <c r="AH74" s="87"/>
      <c r="AI74" s="87"/>
      <c r="AJ74" s="87"/>
      <c r="AK74" s="87"/>
      <c r="AL74" s="87"/>
      <c r="AM74" s="87"/>
      <c r="AN74" s="87"/>
      <c r="AO74" s="87"/>
      <c r="AP74" s="87"/>
      <c r="AQ74" s="87"/>
      <c r="AR74" s="87"/>
      <c r="AS74" s="87"/>
      <c r="AT74" s="87"/>
      <c r="AU74" s="87"/>
      <c r="AV74" s="87"/>
      <c r="AW74" s="87"/>
      <c r="AX74" s="87"/>
      <c r="AY74" s="87"/>
      <c r="AZ74" s="87"/>
      <c r="BA74" s="64"/>
      <c r="BB74" s="64"/>
      <c r="BC74" s="8"/>
      <c r="BD74" s="6"/>
      <c r="BE74" s="6"/>
      <c r="BF74" s="6"/>
      <c r="BG74" s="11"/>
      <c r="BH74" s="6"/>
      <c r="BI74" s="6"/>
      <c r="BJ74" s="7"/>
      <c r="BK74" s="6"/>
    </row>
    <row r="75" spans="1:75" ht="25.5" hidden="1" customHeight="1">
      <c r="A75" s="93"/>
      <c r="B75" s="99"/>
      <c r="C75" s="94"/>
      <c r="D75" s="95"/>
      <c r="E75" s="95"/>
      <c r="F75" s="95"/>
      <c r="G75" s="95"/>
      <c r="H75" s="60"/>
      <c r="I75" s="62"/>
      <c r="J75" s="102"/>
      <c r="K75" s="102"/>
      <c r="L75" s="102"/>
      <c r="M75" s="102"/>
      <c r="N75" s="102"/>
      <c r="O75" s="102"/>
      <c r="P75" s="102"/>
      <c r="Q75" s="102"/>
      <c r="R75" s="102"/>
      <c r="S75" s="102"/>
      <c r="T75" s="64"/>
      <c r="U75" s="64"/>
      <c r="V75" s="36"/>
      <c r="W75" s="84"/>
      <c r="X75" s="85"/>
      <c r="Y75" s="82"/>
      <c r="Z75" s="82"/>
      <c r="AA75" s="82"/>
      <c r="AB75" s="82"/>
      <c r="AC75" s="82"/>
      <c r="AD75" s="67"/>
      <c r="AE75" s="68"/>
      <c r="AF75" s="87"/>
      <c r="AG75" s="87"/>
      <c r="AH75" s="87"/>
      <c r="AI75" s="87"/>
      <c r="AJ75" s="87"/>
      <c r="AK75" s="87"/>
      <c r="AL75" s="87"/>
      <c r="AM75" s="87"/>
      <c r="AN75" s="87"/>
      <c r="AO75" s="87"/>
      <c r="AP75" s="87"/>
      <c r="AQ75" s="87"/>
      <c r="AR75" s="87"/>
      <c r="AS75" s="87"/>
      <c r="AT75" s="87"/>
      <c r="AU75" s="87"/>
      <c r="AV75" s="87"/>
      <c r="AW75" s="87"/>
      <c r="AX75" s="87"/>
      <c r="AY75" s="87"/>
      <c r="AZ75" s="87"/>
      <c r="BA75" s="64"/>
      <c r="BB75" s="64"/>
      <c r="BC75" s="8"/>
      <c r="BD75" s="6"/>
      <c r="BE75" s="6"/>
      <c r="BF75" s="6"/>
      <c r="BG75" s="11"/>
      <c r="BH75" s="6"/>
      <c r="BI75" s="6"/>
      <c r="BJ75" s="7"/>
      <c r="BK75" s="6"/>
    </row>
    <row r="76" spans="1:75" ht="25.5" hidden="1" customHeight="1">
      <c r="A76" s="93"/>
      <c r="B76" s="99"/>
      <c r="C76" s="105"/>
      <c r="D76" s="105"/>
      <c r="E76" s="105"/>
      <c r="F76" s="105"/>
      <c r="G76" s="105"/>
      <c r="H76" s="105"/>
      <c r="I76" s="105"/>
      <c r="J76" s="106"/>
      <c r="K76" s="106"/>
      <c r="L76" s="106"/>
      <c r="M76" s="106"/>
      <c r="N76" s="106"/>
      <c r="O76" s="106"/>
      <c r="P76" s="106"/>
      <c r="Q76" s="106"/>
      <c r="R76" s="106"/>
      <c r="S76" s="106"/>
      <c r="T76" s="106"/>
      <c r="U76" s="106"/>
      <c r="V76" s="36"/>
      <c r="W76" s="84"/>
      <c r="X76" s="85"/>
      <c r="Y76" s="82"/>
      <c r="Z76" s="82"/>
      <c r="AA76" s="82"/>
      <c r="AB76" s="82"/>
      <c r="AC76" s="82"/>
      <c r="AD76" s="67"/>
      <c r="AE76" s="68"/>
      <c r="AF76" s="87"/>
      <c r="AG76" s="87"/>
      <c r="AH76" s="87"/>
      <c r="AI76" s="87"/>
      <c r="AJ76" s="87"/>
      <c r="AK76" s="87"/>
      <c r="AL76" s="87"/>
      <c r="AM76" s="87"/>
      <c r="AN76" s="87"/>
      <c r="AO76" s="87"/>
      <c r="AP76" s="87"/>
      <c r="AQ76" s="87"/>
      <c r="AR76" s="87"/>
      <c r="AS76" s="87"/>
      <c r="AT76" s="87"/>
      <c r="AU76" s="87"/>
      <c r="AV76" s="87"/>
      <c r="AW76" s="87"/>
      <c r="AX76" s="87"/>
      <c r="AY76" s="87"/>
      <c r="AZ76" s="87"/>
      <c r="BA76" s="64"/>
      <c r="BB76" s="64"/>
      <c r="BC76" s="8"/>
      <c r="BD76" s="6"/>
      <c r="BE76" s="6"/>
      <c r="BF76" s="6"/>
      <c r="BG76" s="11"/>
      <c r="BH76" s="6"/>
      <c r="BI76" s="6"/>
      <c r="BJ76" s="7"/>
      <c r="BK76" s="6"/>
    </row>
    <row r="77" spans="1:75" ht="27" hidden="1" customHeight="1">
      <c r="A77" s="93"/>
      <c r="B77" s="107"/>
      <c r="C77" s="108"/>
      <c r="D77" s="88"/>
      <c r="E77" s="88"/>
      <c r="F77" s="88"/>
      <c r="G77" s="88"/>
      <c r="H77" s="65"/>
      <c r="I77" s="62"/>
      <c r="J77" s="102"/>
      <c r="K77" s="102"/>
      <c r="L77" s="102"/>
      <c r="M77" s="102"/>
      <c r="N77" s="102"/>
      <c r="O77" s="102"/>
      <c r="P77" s="102"/>
      <c r="Q77" s="102"/>
      <c r="R77" s="102"/>
      <c r="S77" s="102"/>
      <c r="T77" s="64"/>
      <c r="U77" s="64"/>
      <c r="V77" s="36"/>
      <c r="W77" s="84"/>
      <c r="X77" s="85"/>
      <c r="Y77" s="82"/>
      <c r="Z77" s="82"/>
      <c r="AA77" s="82"/>
      <c r="AB77" s="82"/>
      <c r="AC77" s="82"/>
      <c r="AD77" s="67"/>
      <c r="AE77" s="68"/>
      <c r="AF77" s="87"/>
      <c r="AG77" s="87"/>
      <c r="AH77" s="87"/>
      <c r="AI77" s="87"/>
      <c r="AJ77" s="87"/>
      <c r="AK77" s="87"/>
      <c r="AL77" s="87"/>
      <c r="AM77" s="87"/>
      <c r="AN77" s="87"/>
      <c r="AO77" s="87"/>
      <c r="AP77" s="87"/>
      <c r="AQ77" s="87"/>
      <c r="AR77" s="87"/>
      <c r="AS77" s="87"/>
      <c r="AT77" s="87"/>
      <c r="AU77" s="87"/>
      <c r="AV77" s="87"/>
      <c r="AW77" s="87"/>
      <c r="AX77" s="87"/>
      <c r="AY77" s="87"/>
      <c r="AZ77" s="87"/>
      <c r="BA77" s="64"/>
      <c r="BB77" s="64"/>
      <c r="BC77" s="8"/>
      <c r="BD77" s="6"/>
      <c r="BE77" s="6"/>
      <c r="BF77" s="6"/>
      <c r="BG77" s="7"/>
      <c r="BH77" s="6"/>
      <c r="BI77" s="6"/>
      <c r="BJ77" s="7"/>
      <c r="BK77" s="6"/>
    </row>
    <row r="78" spans="1:75" ht="27" hidden="1" customHeight="1">
      <c r="A78" s="93"/>
      <c r="B78" s="107"/>
      <c r="C78" s="108"/>
      <c r="D78" s="88"/>
      <c r="E78" s="88"/>
      <c r="F78" s="88"/>
      <c r="G78" s="88"/>
      <c r="H78" s="66"/>
      <c r="I78" s="62"/>
      <c r="J78" s="102"/>
      <c r="K78" s="102"/>
      <c r="L78" s="102"/>
      <c r="M78" s="102"/>
      <c r="N78" s="102"/>
      <c r="O78" s="102"/>
      <c r="P78" s="102"/>
      <c r="Q78" s="102"/>
      <c r="R78" s="102"/>
      <c r="S78" s="102"/>
      <c r="T78" s="64"/>
      <c r="U78" s="64"/>
      <c r="V78" s="36"/>
      <c r="W78" s="84"/>
      <c r="X78" s="85"/>
      <c r="Y78" s="82"/>
      <c r="Z78" s="82"/>
      <c r="AA78" s="82"/>
      <c r="AB78" s="82"/>
      <c r="AC78" s="82"/>
      <c r="AD78" s="67"/>
      <c r="AE78" s="68"/>
      <c r="AF78" s="87"/>
      <c r="AG78" s="87"/>
      <c r="AH78" s="87"/>
      <c r="AI78" s="87"/>
      <c r="AJ78" s="87"/>
      <c r="AK78" s="87"/>
      <c r="AL78" s="87"/>
      <c r="AM78" s="87"/>
      <c r="AN78" s="87"/>
      <c r="AO78" s="87"/>
      <c r="AP78" s="87"/>
      <c r="AQ78" s="87"/>
      <c r="AR78" s="87"/>
      <c r="AS78" s="87"/>
      <c r="AT78" s="87"/>
      <c r="AU78" s="87"/>
      <c r="AV78" s="87"/>
      <c r="AW78" s="87"/>
      <c r="AX78" s="87"/>
      <c r="AY78" s="87"/>
      <c r="AZ78" s="87"/>
      <c r="BA78" s="64"/>
      <c r="BB78" s="64"/>
      <c r="BC78" s="8"/>
      <c r="BD78" s="6"/>
      <c r="BE78" s="6"/>
      <c r="BF78" s="6"/>
      <c r="BG78" s="11"/>
      <c r="BH78" s="6"/>
      <c r="BI78" s="6"/>
      <c r="BJ78" s="7"/>
      <c r="BK78" s="6"/>
    </row>
    <row r="79" spans="1:75" ht="27" hidden="1" customHeight="1">
      <c r="A79" s="93"/>
      <c r="B79" s="107"/>
      <c r="C79" s="108"/>
      <c r="D79" s="88"/>
      <c r="E79" s="88"/>
      <c r="F79" s="88"/>
      <c r="G79" s="88"/>
      <c r="H79" s="66"/>
      <c r="I79" s="62"/>
      <c r="J79" s="102"/>
      <c r="K79" s="102"/>
      <c r="L79" s="102"/>
      <c r="M79" s="102"/>
      <c r="N79" s="102"/>
      <c r="O79" s="102"/>
      <c r="P79" s="102"/>
      <c r="Q79" s="102"/>
      <c r="R79" s="102"/>
      <c r="S79" s="102"/>
      <c r="T79" s="64"/>
      <c r="U79" s="64"/>
      <c r="V79" s="36"/>
      <c r="W79" s="84"/>
      <c r="X79" s="85"/>
      <c r="Y79" s="82"/>
      <c r="Z79" s="82"/>
      <c r="AA79" s="82"/>
      <c r="AB79" s="82"/>
      <c r="AC79" s="82"/>
      <c r="AD79" s="67"/>
      <c r="AE79" s="68"/>
      <c r="AF79" s="87"/>
      <c r="AG79" s="87"/>
      <c r="AH79" s="87"/>
      <c r="AI79" s="87"/>
      <c r="AJ79" s="87"/>
      <c r="AK79" s="87"/>
      <c r="AL79" s="87"/>
      <c r="AM79" s="87"/>
      <c r="AN79" s="87"/>
      <c r="AO79" s="87"/>
      <c r="AP79" s="87"/>
      <c r="AQ79" s="87"/>
      <c r="AR79" s="87"/>
      <c r="AS79" s="87"/>
      <c r="AT79" s="87"/>
      <c r="AU79" s="87"/>
      <c r="AV79" s="87"/>
      <c r="AW79" s="87"/>
      <c r="AX79" s="87"/>
      <c r="AY79" s="87"/>
      <c r="AZ79" s="87"/>
      <c r="BA79" s="64"/>
      <c r="BB79" s="64"/>
      <c r="BC79" s="8"/>
      <c r="BD79" s="6"/>
      <c r="BE79" s="6"/>
      <c r="BF79" s="6"/>
      <c r="BG79" s="11"/>
      <c r="BH79" s="6"/>
      <c r="BI79" s="6"/>
      <c r="BJ79" s="7"/>
      <c r="BK79" s="6"/>
    </row>
    <row r="80" spans="1:75" ht="27" hidden="1" customHeight="1">
      <c r="A80" s="93"/>
      <c r="B80" s="107"/>
      <c r="C80" s="108"/>
      <c r="D80" s="88"/>
      <c r="E80" s="88"/>
      <c r="F80" s="88"/>
      <c r="G80" s="88"/>
      <c r="H80" s="66"/>
      <c r="I80" s="62"/>
      <c r="J80" s="102"/>
      <c r="K80" s="102"/>
      <c r="L80" s="102"/>
      <c r="M80" s="102"/>
      <c r="N80" s="102"/>
      <c r="O80" s="102"/>
      <c r="P80" s="102"/>
      <c r="Q80" s="102"/>
      <c r="R80" s="102"/>
      <c r="S80" s="102"/>
      <c r="T80" s="64"/>
      <c r="U80" s="64"/>
      <c r="V80" s="36"/>
      <c r="W80" s="84"/>
      <c r="X80" s="85"/>
      <c r="Y80" s="82"/>
      <c r="Z80" s="82"/>
      <c r="AA80" s="82"/>
      <c r="AB80" s="82"/>
      <c r="AC80" s="82"/>
      <c r="AD80" s="67"/>
      <c r="AE80" s="68"/>
      <c r="AF80" s="87"/>
      <c r="AG80" s="87"/>
      <c r="AH80" s="87"/>
      <c r="AI80" s="87"/>
      <c r="AJ80" s="87"/>
      <c r="AK80" s="87"/>
      <c r="AL80" s="87"/>
      <c r="AM80" s="87"/>
      <c r="AN80" s="87"/>
      <c r="AO80" s="87"/>
      <c r="AP80" s="87"/>
      <c r="AQ80" s="87"/>
      <c r="AR80" s="87"/>
      <c r="AS80" s="87"/>
      <c r="AT80" s="87"/>
      <c r="AU80" s="87"/>
      <c r="AV80" s="87"/>
      <c r="AW80" s="87"/>
      <c r="AX80" s="87"/>
      <c r="AY80" s="87"/>
      <c r="AZ80" s="87"/>
      <c r="BA80" s="64"/>
      <c r="BB80" s="64"/>
      <c r="BC80" s="8"/>
      <c r="BD80" s="6"/>
      <c r="BE80" s="6"/>
      <c r="BF80" s="6"/>
      <c r="BG80" s="11"/>
      <c r="BH80" s="6"/>
      <c r="BI80" s="6"/>
      <c r="BJ80" s="7"/>
      <c r="BK80" s="6"/>
    </row>
    <row r="81" spans="1:63" ht="27" hidden="1" customHeight="1">
      <c r="A81" s="93"/>
      <c r="B81" s="107"/>
      <c r="C81" s="108"/>
      <c r="D81" s="96"/>
      <c r="E81" s="96"/>
      <c r="F81" s="84"/>
      <c r="G81" s="84"/>
      <c r="H81" s="66"/>
      <c r="I81" s="62"/>
      <c r="J81" s="102"/>
      <c r="K81" s="102"/>
      <c r="L81" s="102"/>
      <c r="M81" s="102"/>
      <c r="N81" s="102"/>
      <c r="O81" s="102"/>
      <c r="P81" s="102"/>
      <c r="Q81" s="102"/>
      <c r="R81" s="102"/>
      <c r="S81" s="102"/>
      <c r="T81" s="64"/>
      <c r="U81" s="64"/>
      <c r="V81" s="36"/>
      <c r="W81" s="84"/>
      <c r="X81" s="85"/>
      <c r="Y81" s="82"/>
      <c r="Z81" s="82"/>
      <c r="AA81" s="82"/>
      <c r="AB81" s="82"/>
      <c r="AC81" s="82"/>
      <c r="AD81" s="67"/>
      <c r="AE81" s="68"/>
      <c r="AF81" s="87"/>
      <c r="AG81" s="87"/>
      <c r="AH81" s="87"/>
      <c r="AI81" s="87"/>
      <c r="AJ81" s="87"/>
      <c r="AK81" s="87"/>
      <c r="AL81" s="87"/>
      <c r="AM81" s="87"/>
      <c r="AN81" s="87"/>
      <c r="AO81" s="87"/>
      <c r="AP81" s="87"/>
      <c r="AQ81" s="87"/>
      <c r="AR81" s="87"/>
      <c r="AS81" s="87"/>
      <c r="AT81" s="87"/>
      <c r="AU81" s="87"/>
      <c r="AV81" s="87"/>
      <c r="AW81" s="87"/>
      <c r="AX81" s="87"/>
      <c r="AY81" s="87"/>
      <c r="AZ81" s="87"/>
      <c r="BA81" s="64"/>
      <c r="BB81" s="64"/>
      <c r="BC81" s="8"/>
      <c r="BD81" s="6"/>
      <c r="BE81" s="6"/>
      <c r="BF81" s="6"/>
      <c r="BG81" s="11"/>
      <c r="BH81" s="6"/>
      <c r="BI81" s="6"/>
      <c r="BJ81" s="7"/>
      <c r="BK81" s="6"/>
    </row>
    <row r="82" spans="1:63" ht="27" hidden="1" customHeight="1">
      <c r="A82" s="93"/>
      <c r="B82" s="107"/>
      <c r="C82" s="108"/>
      <c r="D82" s="96"/>
      <c r="E82" s="96"/>
      <c r="F82" s="84"/>
      <c r="G82" s="84"/>
      <c r="H82" s="66"/>
      <c r="I82" s="62"/>
      <c r="J82" s="102"/>
      <c r="K82" s="102"/>
      <c r="L82" s="102"/>
      <c r="M82" s="102"/>
      <c r="N82" s="102"/>
      <c r="O82" s="102"/>
      <c r="P82" s="102"/>
      <c r="Q82" s="102"/>
      <c r="R82" s="102"/>
      <c r="S82" s="102"/>
      <c r="T82" s="64"/>
      <c r="U82" s="64"/>
      <c r="V82" s="36"/>
      <c r="W82" s="84"/>
      <c r="X82" s="85"/>
      <c r="Y82" s="82"/>
      <c r="Z82" s="82"/>
      <c r="AA82" s="82"/>
      <c r="AB82" s="82"/>
      <c r="AC82" s="82"/>
      <c r="AD82" s="67"/>
      <c r="AE82" s="68"/>
      <c r="AF82" s="87"/>
      <c r="AG82" s="87"/>
      <c r="AH82" s="87"/>
      <c r="AI82" s="87"/>
      <c r="AJ82" s="87"/>
      <c r="AK82" s="87"/>
      <c r="AL82" s="87"/>
      <c r="AM82" s="87"/>
      <c r="AN82" s="87"/>
      <c r="AO82" s="87"/>
      <c r="AP82" s="87"/>
      <c r="AQ82" s="87"/>
      <c r="AR82" s="87"/>
      <c r="AS82" s="87"/>
      <c r="AT82" s="87"/>
      <c r="AU82" s="87"/>
      <c r="AV82" s="87"/>
      <c r="AW82" s="87"/>
      <c r="AX82" s="87"/>
      <c r="AY82" s="87"/>
      <c r="AZ82" s="87"/>
      <c r="BA82" s="69"/>
      <c r="BB82" s="69"/>
      <c r="BC82" s="8"/>
      <c r="BD82" s="6"/>
      <c r="BE82" s="6"/>
      <c r="BF82" s="6"/>
      <c r="BG82" s="11"/>
      <c r="BH82" s="6"/>
      <c r="BI82" s="6"/>
      <c r="BJ82" s="7"/>
      <c r="BK82" s="6"/>
    </row>
    <row r="83" spans="1:63" ht="27" hidden="1" customHeight="1">
      <c r="A83" s="93"/>
      <c r="B83" s="107"/>
      <c r="C83" s="108"/>
      <c r="D83" s="84"/>
      <c r="E83" s="84"/>
      <c r="F83" s="84"/>
      <c r="G83" s="84"/>
      <c r="H83" s="65"/>
      <c r="I83" s="62"/>
      <c r="J83" s="102"/>
      <c r="K83" s="102"/>
      <c r="L83" s="102"/>
      <c r="M83" s="102"/>
      <c r="N83" s="102"/>
      <c r="O83" s="102"/>
      <c r="P83" s="102"/>
      <c r="Q83" s="102"/>
      <c r="R83" s="102"/>
      <c r="S83" s="102"/>
      <c r="T83" s="64"/>
      <c r="U83" s="64"/>
      <c r="V83" s="36"/>
      <c r="W83" s="84"/>
      <c r="X83" s="85"/>
      <c r="Y83" s="82"/>
      <c r="Z83" s="82"/>
      <c r="AA83" s="82"/>
      <c r="AB83" s="82"/>
      <c r="AC83" s="82"/>
      <c r="AD83" s="67"/>
      <c r="AE83" s="52"/>
      <c r="AF83" s="87"/>
      <c r="AG83" s="87"/>
      <c r="AH83" s="87"/>
      <c r="AI83" s="87"/>
      <c r="AJ83" s="87"/>
      <c r="AK83" s="87"/>
      <c r="AL83" s="87"/>
      <c r="AM83" s="87"/>
      <c r="AN83" s="87"/>
      <c r="AO83" s="87"/>
      <c r="AP83" s="87"/>
      <c r="AQ83" s="87"/>
      <c r="AR83" s="87"/>
      <c r="AS83" s="87"/>
      <c r="AT83" s="87"/>
      <c r="AU83" s="87"/>
      <c r="AV83" s="87"/>
      <c r="AW83" s="87"/>
      <c r="AX83" s="87"/>
      <c r="AY83" s="87"/>
      <c r="AZ83" s="87"/>
      <c r="BA83" s="64"/>
      <c r="BB83" s="64"/>
      <c r="BC83" s="8"/>
      <c r="BD83" s="6"/>
      <c r="BE83" s="6"/>
      <c r="BF83" s="6"/>
      <c r="BG83" s="11"/>
      <c r="BH83" s="6"/>
      <c r="BI83" s="6"/>
      <c r="BJ83" s="7"/>
      <c r="BK83" s="6"/>
    </row>
    <row r="84" spans="1:63" ht="27" customHeight="1">
      <c r="A84" s="93"/>
      <c r="B84" s="107"/>
      <c r="C84" s="108"/>
      <c r="D84" s="84"/>
      <c r="E84" s="84"/>
      <c r="F84" s="84"/>
      <c r="G84" s="84"/>
      <c r="H84" s="66"/>
      <c r="I84" s="62"/>
      <c r="J84" s="102"/>
      <c r="K84" s="102"/>
      <c r="L84" s="102"/>
      <c r="M84" s="102"/>
      <c r="N84" s="102"/>
      <c r="O84" s="102"/>
      <c r="P84" s="102"/>
      <c r="Q84" s="102"/>
      <c r="R84" s="102"/>
      <c r="S84" s="102"/>
      <c r="T84" s="64"/>
      <c r="U84" s="64"/>
      <c r="V84" s="36"/>
      <c r="W84" s="84"/>
      <c r="X84" s="85"/>
      <c r="Y84" s="82"/>
      <c r="Z84" s="82"/>
      <c r="AA84" s="82"/>
      <c r="AB84" s="82"/>
      <c r="AC84" s="82"/>
      <c r="AD84" s="70"/>
      <c r="AE84" s="52"/>
      <c r="AF84" s="87"/>
      <c r="AG84" s="87"/>
      <c r="AH84" s="87"/>
      <c r="AI84" s="87"/>
      <c r="AJ84" s="87"/>
      <c r="AK84" s="87"/>
      <c r="AL84" s="87"/>
      <c r="AM84" s="87"/>
      <c r="AN84" s="87"/>
      <c r="AO84" s="87"/>
      <c r="AP84" s="87"/>
      <c r="AQ84" s="87"/>
      <c r="AR84" s="87"/>
      <c r="AS84" s="87"/>
      <c r="AT84" s="87"/>
      <c r="AU84" s="87"/>
      <c r="AV84" s="87"/>
      <c r="AW84" s="87"/>
      <c r="AX84" s="87"/>
      <c r="AY84" s="87"/>
      <c r="AZ84" s="87"/>
      <c r="BA84" s="64"/>
      <c r="BB84" s="64"/>
      <c r="BC84" s="8"/>
      <c r="BD84" s="6"/>
      <c r="BE84" s="6"/>
      <c r="BF84" s="6"/>
      <c r="BG84" s="11"/>
      <c r="BH84" s="6"/>
      <c r="BI84" s="6"/>
      <c r="BJ84" s="7"/>
      <c r="BK84" s="6"/>
    </row>
    <row r="85" spans="1:63" ht="27" customHeight="1">
      <c r="A85" s="93"/>
      <c r="B85" s="107"/>
      <c r="C85" s="108"/>
      <c r="D85" s="84"/>
      <c r="E85" s="84"/>
      <c r="F85" s="84"/>
      <c r="G85" s="84"/>
      <c r="H85" s="65"/>
      <c r="I85" s="62"/>
      <c r="J85" s="102"/>
      <c r="K85" s="102"/>
      <c r="L85" s="102"/>
      <c r="M85" s="102"/>
      <c r="N85" s="102"/>
      <c r="O85" s="102"/>
      <c r="P85" s="102"/>
      <c r="Q85" s="102"/>
      <c r="R85" s="102"/>
      <c r="S85" s="102"/>
      <c r="T85" s="64"/>
      <c r="U85" s="64"/>
      <c r="V85" s="36"/>
      <c r="W85" s="84"/>
      <c r="X85" s="85"/>
      <c r="Y85" s="49"/>
      <c r="Z85" s="49"/>
      <c r="AA85" s="49"/>
      <c r="AB85" s="49"/>
      <c r="AC85" s="49"/>
      <c r="AD85" s="49"/>
      <c r="AE85" s="49"/>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8"/>
      <c r="BD85" s="6"/>
      <c r="BE85" s="6"/>
      <c r="BF85" s="6"/>
      <c r="BG85" s="7"/>
      <c r="BH85" s="6"/>
      <c r="BI85" s="6"/>
      <c r="BJ85" s="7"/>
      <c r="BK85" s="6"/>
    </row>
    <row r="86" spans="1:63" ht="27" customHeight="1">
      <c r="A86" s="93"/>
      <c r="B86" s="107"/>
      <c r="C86" s="108"/>
      <c r="D86" s="84"/>
      <c r="E86" s="84"/>
      <c r="F86" s="84"/>
      <c r="G86" s="84"/>
      <c r="H86" s="66"/>
      <c r="I86" s="62"/>
      <c r="J86" s="102"/>
      <c r="K86" s="102"/>
      <c r="L86" s="102"/>
      <c r="M86" s="102"/>
      <c r="N86" s="102"/>
      <c r="O86" s="102"/>
      <c r="P86" s="102"/>
      <c r="Q86" s="102"/>
      <c r="R86" s="102"/>
      <c r="S86" s="102"/>
      <c r="T86" s="64"/>
      <c r="U86" s="64"/>
      <c r="V86" s="36"/>
      <c r="W86" s="83"/>
      <c r="X86" s="83"/>
      <c r="Y86" s="83"/>
      <c r="Z86" s="83"/>
      <c r="AA86" s="83"/>
      <c r="AB86" s="83"/>
      <c r="AC86" s="83"/>
      <c r="AD86" s="83"/>
      <c r="AE86" s="83"/>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8"/>
      <c r="BD86" s="6"/>
      <c r="BE86" s="6"/>
      <c r="BF86" s="6"/>
      <c r="BG86" s="7"/>
      <c r="BH86" s="6"/>
      <c r="BI86" s="6"/>
      <c r="BJ86" s="7"/>
      <c r="BK86" s="6"/>
    </row>
    <row r="87" spans="1:63" ht="27" customHeight="1">
      <c r="A87" s="93"/>
      <c r="B87" s="107"/>
      <c r="C87" s="108"/>
      <c r="D87" s="84"/>
      <c r="E87" s="84"/>
      <c r="F87" s="84"/>
      <c r="G87" s="84"/>
      <c r="H87" s="66"/>
      <c r="I87" s="62"/>
      <c r="J87" s="102"/>
      <c r="K87" s="102"/>
      <c r="L87" s="102"/>
      <c r="M87" s="102"/>
      <c r="N87" s="102"/>
      <c r="O87" s="102"/>
      <c r="P87" s="102"/>
      <c r="Q87" s="102"/>
      <c r="R87" s="102"/>
      <c r="S87" s="102"/>
      <c r="T87" s="64"/>
      <c r="U87" s="64"/>
      <c r="V87" s="36"/>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8"/>
      <c r="BD87" s="6"/>
      <c r="BE87" s="6"/>
      <c r="BF87" s="6"/>
      <c r="BI87" s="6"/>
      <c r="BJ87" s="7"/>
      <c r="BK87" s="6"/>
    </row>
    <row r="88" spans="1:63" ht="27" customHeight="1">
      <c r="A88" s="93"/>
      <c r="B88" s="107"/>
      <c r="C88" s="108"/>
      <c r="D88" s="84"/>
      <c r="E88" s="84"/>
      <c r="F88" s="84"/>
      <c r="G88" s="84"/>
      <c r="H88" s="66"/>
      <c r="I88" s="62"/>
      <c r="J88" s="102"/>
      <c r="K88" s="102"/>
      <c r="L88" s="102"/>
      <c r="M88" s="102"/>
      <c r="N88" s="102"/>
      <c r="O88" s="102"/>
      <c r="P88" s="102"/>
      <c r="Q88" s="102"/>
      <c r="R88" s="102"/>
      <c r="S88" s="102"/>
      <c r="T88" s="64"/>
      <c r="U88" s="64"/>
      <c r="V88" s="36"/>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8"/>
      <c r="BD88" s="6"/>
      <c r="BE88" s="6"/>
      <c r="BF88" s="6"/>
      <c r="BI88" s="6"/>
      <c r="BJ88" s="7"/>
      <c r="BK88" s="6"/>
    </row>
    <row r="89" spans="1:63" ht="27" customHeight="1">
      <c r="A89" s="93"/>
      <c r="B89" s="107"/>
      <c r="C89" s="108"/>
      <c r="D89" s="96"/>
      <c r="E89" s="96"/>
      <c r="F89" s="84"/>
      <c r="G89" s="84"/>
      <c r="H89" s="66"/>
      <c r="I89" s="62"/>
      <c r="J89" s="102"/>
      <c r="K89" s="102"/>
      <c r="L89" s="102"/>
      <c r="M89" s="102"/>
      <c r="N89" s="102"/>
      <c r="O89" s="102"/>
      <c r="P89" s="102"/>
      <c r="Q89" s="102"/>
      <c r="R89" s="102"/>
      <c r="S89" s="102"/>
      <c r="T89" s="64"/>
      <c r="U89" s="64"/>
      <c r="V89" s="36"/>
      <c r="W89" s="109"/>
      <c r="X89" s="84"/>
      <c r="Y89" s="110"/>
      <c r="Z89" s="84"/>
      <c r="AA89" s="84"/>
      <c r="AB89" s="84"/>
      <c r="AC89" s="111"/>
      <c r="AD89" s="84"/>
      <c r="AE89" s="84"/>
      <c r="AF89" s="110"/>
      <c r="AG89" s="84"/>
      <c r="AH89" s="84"/>
      <c r="AI89" s="84"/>
      <c r="AJ89" s="84"/>
      <c r="AK89" s="110"/>
      <c r="AL89" s="84"/>
      <c r="AM89" s="84"/>
      <c r="AN89" s="110"/>
      <c r="AO89" s="84"/>
      <c r="AP89" s="84"/>
      <c r="AQ89" s="110"/>
      <c r="AR89" s="110"/>
      <c r="AS89" s="110"/>
      <c r="AT89" s="110"/>
      <c r="AU89" s="110"/>
      <c r="AV89" s="110"/>
      <c r="AW89" s="110"/>
      <c r="AX89" s="110"/>
      <c r="AY89" s="110"/>
      <c r="AZ89" s="110"/>
      <c r="BA89" s="38"/>
      <c r="BB89" s="38"/>
      <c r="BC89" s="8"/>
      <c r="BD89" s="6"/>
      <c r="BE89" s="6"/>
      <c r="BF89" s="6"/>
      <c r="BI89" s="6"/>
      <c r="BJ89" s="7"/>
      <c r="BK89" s="6"/>
    </row>
    <row r="90" spans="1:63" ht="27" customHeight="1">
      <c r="A90" s="93"/>
      <c r="B90" s="107"/>
      <c r="C90" s="108"/>
      <c r="D90" s="96"/>
      <c r="E90" s="96"/>
      <c r="F90" s="84"/>
      <c r="G90" s="84"/>
      <c r="H90" s="66"/>
      <c r="I90" s="62"/>
      <c r="J90" s="102"/>
      <c r="K90" s="102"/>
      <c r="L90" s="102"/>
      <c r="M90" s="102"/>
      <c r="N90" s="102"/>
      <c r="O90" s="102"/>
      <c r="P90" s="102"/>
      <c r="Q90" s="102"/>
      <c r="R90" s="102"/>
      <c r="S90" s="102"/>
      <c r="T90" s="64"/>
      <c r="U90" s="64"/>
      <c r="V90" s="36"/>
      <c r="W90" s="84"/>
      <c r="X90" s="84"/>
      <c r="Y90" s="82"/>
      <c r="Z90" s="84"/>
      <c r="AA90" s="84"/>
      <c r="AB90" s="84"/>
      <c r="AC90" s="72"/>
      <c r="AD90" s="44"/>
      <c r="AE90" s="72"/>
      <c r="AF90" s="72"/>
      <c r="AG90" s="44"/>
      <c r="AH90" s="72"/>
      <c r="AI90" s="72"/>
      <c r="AJ90" s="72"/>
      <c r="AK90" s="72"/>
      <c r="AL90" s="44"/>
      <c r="AM90" s="72"/>
      <c r="AN90" s="72"/>
      <c r="AO90" s="44"/>
      <c r="AP90" s="61"/>
      <c r="AQ90" s="112"/>
      <c r="AR90" s="112"/>
      <c r="AS90" s="44"/>
      <c r="AT90" s="112"/>
      <c r="AU90" s="112"/>
      <c r="AV90" s="112"/>
      <c r="AW90" s="112"/>
      <c r="AX90" s="44"/>
      <c r="AY90" s="44"/>
      <c r="AZ90" s="44"/>
      <c r="BA90" s="36"/>
      <c r="BB90" s="36"/>
      <c r="BC90" s="8"/>
      <c r="BD90" s="6"/>
      <c r="BE90" s="6"/>
      <c r="BF90" s="6"/>
      <c r="BI90" s="6"/>
      <c r="BJ90" s="7"/>
      <c r="BK90" s="6"/>
    </row>
    <row r="91" spans="1:63" ht="27" customHeight="1">
      <c r="A91" s="93"/>
      <c r="B91" s="107"/>
      <c r="C91" s="108"/>
      <c r="D91" s="84"/>
      <c r="E91" s="84"/>
      <c r="F91" s="84"/>
      <c r="G91" s="84"/>
      <c r="H91" s="65"/>
      <c r="I91" s="62"/>
      <c r="J91" s="102"/>
      <c r="K91" s="102"/>
      <c r="L91" s="102"/>
      <c r="M91" s="102"/>
      <c r="N91" s="102"/>
      <c r="O91" s="102"/>
      <c r="P91" s="102"/>
      <c r="Q91" s="102"/>
      <c r="R91" s="102"/>
      <c r="S91" s="102"/>
      <c r="T91" s="64"/>
      <c r="U91" s="64"/>
      <c r="V91" s="36"/>
      <c r="W91" s="84"/>
      <c r="X91" s="84"/>
      <c r="Y91" s="82"/>
      <c r="Z91" s="84"/>
      <c r="AA91" s="84"/>
      <c r="AB91" s="84"/>
      <c r="AC91" s="72"/>
      <c r="AD91" s="44"/>
      <c r="AE91" s="72"/>
      <c r="AF91" s="72"/>
      <c r="AG91" s="44"/>
      <c r="AH91" s="72"/>
      <c r="AI91" s="72"/>
      <c r="AJ91" s="72"/>
      <c r="AK91" s="72"/>
      <c r="AL91" s="44"/>
      <c r="AM91" s="72"/>
      <c r="AN91" s="72"/>
      <c r="AO91" s="44"/>
      <c r="AP91" s="61"/>
      <c r="AQ91" s="112"/>
      <c r="AR91" s="112"/>
      <c r="AS91" s="44"/>
      <c r="AT91" s="112"/>
      <c r="AU91" s="112"/>
      <c r="AV91" s="112"/>
      <c r="AW91" s="112"/>
      <c r="AX91" s="44"/>
      <c r="AY91" s="44"/>
      <c r="AZ91" s="44"/>
      <c r="BA91" s="36"/>
      <c r="BB91" s="36"/>
      <c r="BC91" s="8"/>
      <c r="BD91" s="6"/>
      <c r="BE91" s="6"/>
      <c r="BF91" s="6"/>
      <c r="BI91" s="6"/>
      <c r="BJ91" s="7"/>
      <c r="BK91" s="6"/>
    </row>
    <row r="92" spans="1:63" ht="27" customHeight="1">
      <c r="A92" s="93"/>
      <c r="B92" s="107"/>
      <c r="C92" s="108"/>
      <c r="D92" s="84"/>
      <c r="E92" s="84"/>
      <c r="F92" s="84"/>
      <c r="G92" s="84"/>
      <c r="H92" s="66"/>
      <c r="I92" s="62"/>
      <c r="J92" s="102"/>
      <c r="K92" s="102"/>
      <c r="L92" s="102"/>
      <c r="M92" s="102"/>
      <c r="N92" s="102"/>
      <c r="O92" s="102"/>
      <c r="P92" s="102"/>
      <c r="Q92" s="102"/>
      <c r="R92" s="102"/>
      <c r="S92" s="102"/>
      <c r="T92" s="64"/>
      <c r="U92" s="64"/>
      <c r="V92" s="36"/>
      <c r="W92" s="84"/>
      <c r="X92" s="84"/>
      <c r="Y92" s="82"/>
      <c r="Z92" s="84"/>
      <c r="AA92" s="84"/>
      <c r="AB92" s="84"/>
      <c r="AC92" s="72"/>
      <c r="AD92" s="44"/>
      <c r="AE92" s="72"/>
      <c r="AF92" s="72"/>
      <c r="AG92" s="44"/>
      <c r="AH92" s="72"/>
      <c r="AI92" s="72"/>
      <c r="AJ92" s="72"/>
      <c r="AK92" s="72"/>
      <c r="AL92" s="44"/>
      <c r="AM92" s="72"/>
      <c r="AN92" s="72"/>
      <c r="AO92" s="44"/>
      <c r="AP92" s="61"/>
      <c r="AQ92" s="112"/>
      <c r="AR92" s="112"/>
      <c r="AS92" s="44"/>
      <c r="AT92" s="112"/>
      <c r="AU92" s="112"/>
      <c r="AV92" s="112"/>
      <c r="AW92" s="112"/>
      <c r="AX92" s="44"/>
      <c r="AY92" s="44"/>
      <c r="AZ92" s="44"/>
      <c r="BA92" s="36"/>
      <c r="BB92" s="36"/>
      <c r="BC92" s="8"/>
      <c r="BD92" s="6"/>
      <c r="BE92" s="6"/>
      <c r="BF92" s="6"/>
      <c r="BI92" s="6"/>
      <c r="BJ92" s="7"/>
      <c r="BK92" s="6"/>
    </row>
    <row r="93" spans="1:63" ht="27" customHeight="1">
      <c r="A93" s="93"/>
      <c r="B93" s="107"/>
      <c r="C93" s="105"/>
      <c r="D93" s="105"/>
      <c r="E93" s="105"/>
      <c r="F93" s="105"/>
      <c r="G93" s="105"/>
      <c r="H93" s="105"/>
      <c r="I93" s="105"/>
      <c r="J93" s="64"/>
      <c r="K93" s="64"/>
      <c r="L93" s="64"/>
      <c r="M93" s="64"/>
      <c r="N93" s="64"/>
      <c r="O93" s="64"/>
      <c r="P93" s="64"/>
      <c r="Q93" s="64"/>
      <c r="R93" s="64"/>
      <c r="S93" s="64"/>
      <c r="T93" s="64"/>
      <c r="U93" s="64"/>
      <c r="V93" s="39"/>
      <c r="W93" s="84"/>
      <c r="X93" s="84"/>
      <c r="Y93" s="82"/>
      <c r="Z93" s="84"/>
      <c r="AA93" s="84"/>
      <c r="AB93" s="84"/>
      <c r="AC93" s="72"/>
      <c r="AD93" s="44"/>
      <c r="AE93" s="72"/>
      <c r="AF93" s="72"/>
      <c r="AG93" s="44"/>
      <c r="AH93" s="72"/>
      <c r="AI93" s="72"/>
      <c r="AJ93" s="72"/>
      <c r="AK93" s="72"/>
      <c r="AL93" s="44"/>
      <c r="AM93" s="72"/>
      <c r="AN93" s="72"/>
      <c r="AO93" s="44"/>
      <c r="AP93" s="61"/>
      <c r="AQ93" s="112"/>
      <c r="AR93" s="112"/>
      <c r="AS93" s="44"/>
      <c r="AT93" s="112"/>
      <c r="AU93" s="112"/>
      <c r="AV93" s="112"/>
      <c r="AW93" s="112"/>
      <c r="AX93" s="44"/>
      <c r="AY93" s="44"/>
      <c r="AZ93" s="44"/>
      <c r="BA93" s="36"/>
      <c r="BB93" s="36"/>
      <c r="BC93" s="8"/>
      <c r="BD93" s="6"/>
      <c r="BE93" s="6"/>
      <c r="BF93" s="6"/>
      <c r="BI93" s="6"/>
      <c r="BJ93" s="7"/>
      <c r="BK93" s="6"/>
    </row>
    <row r="94" spans="1:63" ht="27" customHeight="1">
      <c r="A94" s="40"/>
      <c r="B94" s="40"/>
      <c r="C94" s="40"/>
      <c r="D94" s="40"/>
      <c r="E94" s="40"/>
      <c r="F94" s="40"/>
      <c r="G94" s="40"/>
      <c r="H94" s="40"/>
      <c r="I94" s="40"/>
      <c r="J94" s="40"/>
      <c r="K94" s="40"/>
      <c r="L94" s="40"/>
      <c r="M94" s="40"/>
      <c r="N94" s="40"/>
      <c r="O94" s="40"/>
      <c r="P94" s="40"/>
      <c r="Q94" s="40"/>
      <c r="R94" s="40"/>
      <c r="S94" s="40"/>
      <c r="T94" s="40"/>
      <c r="U94" s="40"/>
      <c r="V94" s="40"/>
      <c r="W94" s="84"/>
      <c r="X94" s="84"/>
      <c r="Y94" s="82"/>
      <c r="Z94" s="84"/>
      <c r="AA94" s="84"/>
      <c r="AB94" s="84"/>
      <c r="AC94" s="72"/>
      <c r="AD94" s="44"/>
      <c r="AE94" s="72"/>
      <c r="AF94" s="72"/>
      <c r="AG94" s="44"/>
      <c r="AH94" s="72"/>
      <c r="AI94" s="72"/>
      <c r="AJ94" s="72"/>
      <c r="AK94" s="72"/>
      <c r="AL94" s="44"/>
      <c r="AM94" s="72"/>
      <c r="AN94" s="72"/>
      <c r="AO94" s="44"/>
      <c r="AP94" s="61"/>
      <c r="AQ94" s="112"/>
      <c r="AR94" s="112"/>
      <c r="AS94" s="44"/>
      <c r="AT94" s="112"/>
      <c r="AU94" s="112"/>
      <c r="AV94" s="112"/>
      <c r="AW94" s="112"/>
      <c r="AX94" s="44"/>
      <c r="AY94" s="44"/>
      <c r="AZ94" s="44"/>
      <c r="BA94" s="36"/>
      <c r="BB94" s="36"/>
      <c r="BC94" s="8"/>
      <c r="BD94" s="6"/>
      <c r="BE94" s="6"/>
      <c r="BF94" s="6"/>
      <c r="BI94" s="6"/>
      <c r="BJ94" s="7"/>
      <c r="BK94" s="6"/>
    </row>
  </sheetData>
  <sheetProtection algorithmName="SHA-512" hashValue="zmUcPOOsD5G58M5jlNDDoYgeNdYgGyNNSBVl4Nn53nz8Co1X0JC8/8XkAW+h4tyL5Jh+zkJWjGaxJHbqdUqMJw==" saltValue="2dAARcR+7uyFoU1OEwRdgQ==" spinCount="100000" sheet="1" selectLockedCells="1"/>
  <mergeCells count="896">
    <mergeCell ref="CK5:CM5"/>
    <mergeCell ref="AR6:AT6"/>
    <mergeCell ref="CN8:CP8"/>
    <mergeCell ref="AI9:AK9"/>
    <mergeCell ref="AI10:AK10"/>
    <mergeCell ref="BU9:BV9"/>
    <mergeCell ref="AF13:AH13"/>
    <mergeCell ref="AI12:AK12"/>
    <mergeCell ref="BY3:BY21"/>
    <mergeCell ref="CK3:CM3"/>
    <mergeCell ref="CN3:CP3"/>
    <mergeCell ref="CH3:CJ3"/>
    <mergeCell ref="CC6:CE6"/>
    <mergeCell ref="CH6:CJ6"/>
    <mergeCell ref="CC5:CE5"/>
    <mergeCell ref="BG4:BH4"/>
    <mergeCell ref="BZ4:BZ21"/>
    <mergeCell ref="CA21:CG21"/>
    <mergeCell ref="AU14:AW14"/>
    <mergeCell ref="AU4:AW4"/>
    <mergeCell ref="AU5:AW5"/>
    <mergeCell ref="AU6:AW6"/>
    <mergeCell ref="CC14:CE14"/>
    <mergeCell ref="BC17:BW20"/>
    <mergeCell ref="A10:B15"/>
    <mergeCell ref="C15:F15"/>
    <mergeCell ref="G15:Q15"/>
    <mergeCell ref="BC5:BW6"/>
    <mergeCell ref="BC7:BW8"/>
    <mergeCell ref="BC10:BD15"/>
    <mergeCell ref="AL11:AN11"/>
    <mergeCell ref="AL14:AN14"/>
    <mergeCell ref="A7:S8"/>
    <mergeCell ref="T7:T8"/>
    <mergeCell ref="A9:Q9"/>
    <mergeCell ref="S9:T9"/>
    <mergeCell ref="W3:W21"/>
    <mergeCell ref="P21:Q21"/>
    <mergeCell ref="X3:AC3"/>
    <mergeCell ref="AE3:AE4"/>
    <mergeCell ref="AI4:AK4"/>
    <mergeCell ref="AA6:AC6"/>
    <mergeCell ref="AF6:AH6"/>
    <mergeCell ref="AI6:AK6"/>
    <mergeCell ref="AR9:AT9"/>
    <mergeCell ref="A5:U6"/>
    <mergeCell ref="AA4:AC4"/>
    <mergeCell ref="AR7:AT7"/>
    <mergeCell ref="BD23:BD29"/>
    <mergeCell ref="BE13:BH13"/>
    <mergeCell ref="BE28:BI28"/>
    <mergeCell ref="BL28:BM28"/>
    <mergeCell ref="BR28:BS28"/>
    <mergeCell ref="BT28:BU28"/>
    <mergeCell ref="CA26:CE26"/>
    <mergeCell ref="BY22:BY35"/>
    <mergeCell ref="BL29:BM29"/>
    <mergeCell ref="BE25:BI25"/>
    <mergeCell ref="BL26:BM26"/>
    <mergeCell ref="BR26:BS26"/>
    <mergeCell ref="BL31:BM31"/>
    <mergeCell ref="BR31:BS31"/>
    <mergeCell ref="BR29:BS29"/>
    <mergeCell ref="BV30:BW30"/>
    <mergeCell ref="BV26:BW26"/>
    <mergeCell ref="BT24:BU24"/>
    <mergeCell ref="BT23:BU23"/>
    <mergeCell ref="BE24:BI24"/>
    <mergeCell ref="BE23:BI23"/>
    <mergeCell ref="BL23:BM23"/>
    <mergeCell ref="BT21:BU21"/>
    <mergeCell ref="BT26:BU26"/>
    <mergeCell ref="D65:G65"/>
    <mergeCell ref="D50:I50"/>
    <mergeCell ref="D51:I51"/>
    <mergeCell ref="D52:I52"/>
    <mergeCell ref="D53:I53"/>
    <mergeCell ref="D54:I54"/>
    <mergeCell ref="D55:I55"/>
    <mergeCell ref="D58:I58"/>
    <mergeCell ref="D59:I59"/>
    <mergeCell ref="D60:I60"/>
    <mergeCell ref="D61:I61"/>
    <mergeCell ref="D62:I62"/>
    <mergeCell ref="D57:G57"/>
    <mergeCell ref="D63:I63"/>
    <mergeCell ref="CQ3:CS3"/>
    <mergeCell ref="CT3:CV3"/>
    <mergeCell ref="CK6:CM6"/>
    <mergeCell ref="CT28:CV28"/>
    <mergeCell ref="CQ28:CS28"/>
    <mergeCell ref="CN28:CP28"/>
    <mergeCell ref="CN7:CP7"/>
    <mergeCell ref="CQ7:CS7"/>
    <mergeCell ref="CT7:CV7"/>
    <mergeCell ref="CK4:CM4"/>
    <mergeCell ref="CQ5:CS5"/>
    <mergeCell ref="CT5:CV5"/>
    <mergeCell ref="CQ25:CS25"/>
    <mergeCell ref="CT25:CV25"/>
    <mergeCell ref="CQ17:CS17"/>
    <mergeCell ref="CT17:CV17"/>
    <mergeCell ref="CQ18:CS18"/>
    <mergeCell ref="CT18:CV18"/>
    <mergeCell ref="CQ19:CS19"/>
    <mergeCell ref="CK20:CM20"/>
    <mergeCell ref="CT23:CV23"/>
    <mergeCell ref="CT21:CV21"/>
    <mergeCell ref="CT6:CV6"/>
    <mergeCell ref="CN5:CP5"/>
    <mergeCell ref="AF27:AH27"/>
    <mergeCell ref="AL27:AN27"/>
    <mergeCell ref="AF20:AH20"/>
    <mergeCell ref="AI21:AK21"/>
    <mergeCell ref="AI20:AK20"/>
    <mergeCell ref="CY31:CY32"/>
    <mergeCell ref="CH33:CJ33"/>
    <mergeCell ref="CK33:CM33"/>
    <mergeCell ref="CN33:CP33"/>
    <mergeCell ref="CQ33:CS33"/>
    <mergeCell ref="CT33:CV33"/>
    <mergeCell ref="CH28:CJ28"/>
    <mergeCell ref="CK28:CM28"/>
    <mergeCell ref="CH29:CJ29"/>
    <mergeCell ref="CN29:CP29"/>
    <mergeCell ref="CQ29:CS29"/>
    <mergeCell ref="CT29:CV29"/>
    <mergeCell ref="CK29:CM29"/>
    <mergeCell ref="CW31:CW32"/>
    <mergeCell ref="CX31:CX32"/>
    <mergeCell ref="CT31:CV32"/>
    <mergeCell ref="CQ31:CS32"/>
    <mergeCell ref="CQ30:CS30"/>
    <mergeCell ref="CT30:CV30"/>
    <mergeCell ref="AF25:AH25"/>
    <mergeCell ref="AA16:AC16"/>
    <mergeCell ref="Y24:AC24"/>
    <mergeCell ref="AF26:AH26"/>
    <mergeCell ref="AR22:AT22"/>
    <mergeCell ref="AR17:AT17"/>
    <mergeCell ref="AR11:AT11"/>
    <mergeCell ref="AF16:AH16"/>
    <mergeCell ref="AI15:AK15"/>
    <mergeCell ref="AI16:AK16"/>
    <mergeCell ref="AF14:AH14"/>
    <mergeCell ref="AI22:AK22"/>
    <mergeCell ref="AF23:AH23"/>
    <mergeCell ref="AI13:AK13"/>
    <mergeCell ref="AI19:AK19"/>
    <mergeCell ref="AL21:AN21"/>
    <mergeCell ref="AF19:AH19"/>
    <mergeCell ref="AF18:AH18"/>
    <mergeCell ref="AF22:AH22"/>
    <mergeCell ref="AI18:AK18"/>
    <mergeCell ref="AL19:AN19"/>
    <mergeCell ref="AR14:AT14"/>
    <mergeCell ref="AR15:AT15"/>
    <mergeCell ref="CZ1:DD1"/>
    <mergeCell ref="CZ2:DA2"/>
    <mergeCell ref="A3:D3"/>
    <mergeCell ref="E3:M3"/>
    <mergeCell ref="AI3:AK3"/>
    <mergeCell ref="AL3:AN3"/>
    <mergeCell ref="A1:M2"/>
    <mergeCell ref="N1:O2"/>
    <mergeCell ref="BC1:BW2"/>
    <mergeCell ref="BY1:CW2"/>
    <mergeCell ref="BC3:BF3"/>
    <mergeCell ref="BG3:BO3"/>
    <mergeCell ref="BP3:BR3"/>
    <mergeCell ref="BS3:BW3"/>
    <mergeCell ref="AR3:AT3"/>
    <mergeCell ref="AO3:AQ3"/>
    <mergeCell ref="P1:U2"/>
    <mergeCell ref="BZ3:CE3"/>
    <mergeCell ref="CG3:CG4"/>
    <mergeCell ref="AF3:AH3"/>
    <mergeCell ref="CN4:CP4"/>
    <mergeCell ref="CQ4:CS4"/>
    <mergeCell ref="CT4:CV4"/>
    <mergeCell ref="BC4:BF4"/>
    <mergeCell ref="CZ10:DA10"/>
    <mergeCell ref="AA11:AC11"/>
    <mergeCell ref="AF11:AH11"/>
    <mergeCell ref="AA10:AC10"/>
    <mergeCell ref="AF10:AH10"/>
    <mergeCell ref="AI11:AK11"/>
    <mergeCell ref="AL9:AN9"/>
    <mergeCell ref="AL10:AN10"/>
    <mergeCell ref="CN10:CP10"/>
    <mergeCell ref="CQ10:CS10"/>
    <mergeCell ref="CT10:CV10"/>
    <mergeCell ref="CK9:CM9"/>
    <mergeCell ref="CN9:CP9"/>
    <mergeCell ref="CQ9:CS9"/>
    <mergeCell ref="CT9:CV9"/>
    <mergeCell ref="CK10:CM10"/>
    <mergeCell ref="AA9:AC9"/>
    <mergeCell ref="AF9:AH9"/>
    <mergeCell ref="CK11:CM11"/>
    <mergeCell ref="CC10:CE10"/>
    <mergeCell ref="CH10:CJ10"/>
    <mergeCell ref="CC11:CE11"/>
    <mergeCell ref="BI11:BS11"/>
    <mergeCell ref="CQ6:CS6"/>
    <mergeCell ref="CN11:CP11"/>
    <mergeCell ref="CN21:CP21"/>
    <mergeCell ref="CH11:CJ11"/>
    <mergeCell ref="CH16:CJ16"/>
    <mergeCell ref="CK16:CM16"/>
    <mergeCell ref="CN16:CP16"/>
    <mergeCell ref="CK19:CM19"/>
    <mergeCell ref="CN19:CP19"/>
    <mergeCell ref="CH19:CJ19"/>
    <mergeCell ref="CN18:CP18"/>
    <mergeCell ref="CN20:CP20"/>
    <mergeCell ref="CH20:CJ20"/>
    <mergeCell ref="CQ8:CS8"/>
    <mergeCell ref="CQ20:CS20"/>
    <mergeCell ref="CH18:CJ18"/>
    <mergeCell ref="CK14:CM14"/>
    <mergeCell ref="CN14:CP14"/>
    <mergeCell ref="CN6:CP6"/>
    <mergeCell ref="CN15:CP15"/>
    <mergeCell ref="CQ15:CS15"/>
    <mergeCell ref="CK7:CM7"/>
    <mergeCell ref="AA8:AC8"/>
    <mergeCell ref="AF8:AH8"/>
    <mergeCell ref="AI8:AK8"/>
    <mergeCell ref="AI14:AK14"/>
    <mergeCell ref="AF15:AH15"/>
    <mergeCell ref="AF12:AH12"/>
    <mergeCell ref="AI17:AK17"/>
    <mergeCell ref="AO12:AQ12"/>
    <mergeCell ref="AL15:AN15"/>
    <mergeCell ref="AL12:AN12"/>
    <mergeCell ref="AL13:AN13"/>
    <mergeCell ref="AA17:AC17"/>
    <mergeCell ref="AF17:AH17"/>
    <mergeCell ref="AL16:AN16"/>
    <mergeCell ref="AL17:AN17"/>
    <mergeCell ref="AO16:AQ16"/>
    <mergeCell ref="AL8:AN8"/>
    <mergeCell ref="AO8:AQ8"/>
    <mergeCell ref="AU27:AW27"/>
    <mergeCell ref="AU28:AW28"/>
    <mergeCell ref="AX24:AZ24"/>
    <mergeCell ref="A16:T19"/>
    <mergeCell ref="AA12:AC12"/>
    <mergeCell ref="G14:Q14"/>
    <mergeCell ref="A21:A29"/>
    <mergeCell ref="C29:H29"/>
    <mergeCell ref="C25:G25"/>
    <mergeCell ref="J25:K25"/>
    <mergeCell ref="P25:Q25"/>
    <mergeCell ref="R25:S25"/>
    <mergeCell ref="T25:U25"/>
    <mergeCell ref="Y23:AC23"/>
    <mergeCell ref="C27:G27"/>
    <mergeCell ref="Y27:AC27"/>
    <mergeCell ref="P28:Q28"/>
    <mergeCell ref="J27:K27"/>
    <mergeCell ref="AA15:AC15"/>
    <mergeCell ref="AL22:AN22"/>
    <mergeCell ref="AX29:AZ29"/>
    <mergeCell ref="AU26:AW26"/>
    <mergeCell ref="AU25:AW25"/>
    <mergeCell ref="AA14:AC14"/>
    <mergeCell ref="G11:Q11"/>
    <mergeCell ref="G12:Q12"/>
    <mergeCell ref="G13:Q13"/>
    <mergeCell ref="D44:G44"/>
    <mergeCell ref="J44:K44"/>
    <mergeCell ref="P44:Q44"/>
    <mergeCell ref="AA18:AC18"/>
    <mergeCell ref="Y22:AC22"/>
    <mergeCell ref="Y21:AE21"/>
    <mergeCell ref="J22:K22"/>
    <mergeCell ref="P22:Q22"/>
    <mergeCell ref="R22:S22"/>
    <mergeCell ref="T22:U22"/>
    <mergeCell ref="AA20:AC20"/>
    <mergeCell ref="I21:I22"/>
    <mergeCell ref="J21:K21"/>
    <mergeCell ref="AA19:AC19"/>
    <mergeCell ref="Y29:AC29"/>
    <mergeCell ref="C28:G28"/>
    <mergeCell ref="Y25:AC25"/>
    <mergeCell ref="R23:S23"/>
    <mergeCell ref="T23:U23"/>
    <mergeCell ref="R26:S26"/>
    <mergeCell ref="R27:S27"/>
    <mergeCell ref="P30:Q30"/>
    <mergeCell ref="P27:Q27"/>
    <mergeCell ref="T28:U28"/>
    <mergeCell ref="X22:X35"/>
    <mergeCell ref="B21:G22"/>
    <mergeCell ref="B23:B29"/>
    <mergeCell ref="T26:U26"/>
    <mergeCell ref="C24:G24"/>
    <mergeCell ref="J26:K26"/>
    <mergeCell ref="C26:G26"/>
    <mergeCell ref="T27:U27"/>
    <mergeCell ref="J28:K28"/>
    <mergeCell ref="J24:K24"/>
    <mergeCell ref="P24:Q24"/>
    <mergeCell ref="R24:S24"/>
    <mergeCell ref="P23:Q23"/>
    <mergeCell ref="T24:U24"/>
    <mergeCell ref="C23:G23"/>
    <mergeCell ref="J23:K23"/>
    <mergeCell ref="R29:S29"/>
    <mergeCell ref="T33:U33"/>
    <mergeCell ref="R32:S32"/>
    <mergeCell ref="R21:S21"/>
    <mergeCell ref="T21:U21"/>
    <mergeCell ref="R30:S30"/>
    <mergeCell ref="W22:W35"/>
    <mergeCell ref="Y26:AC26"/>
    <mergeCell ref="R28:S28"/>
    <mergeCell ref="Y28:AC28"/>
    <mergeCell ref="R33:S33"/>
    <mergeCell ref="T29:U29"/>
    <mergeCell ref="Y30:AC30"/>
    <mergeCell ref="T31:U31"/>
    <mergeCell ref="T32:U32"/>
    <mergeCell ref="R31:S31"/>
    <mergeCell ref="T35:U35"/>
    <mergeCell ref="J40:K40"/>
    <mergeCell ref="R34:S34"/>
    <mergeCell ref="R35:S35"/>
    <mergeCell ref="D35:G35"/>
    <mergeCell ref="J35:K35"/>
    <mergeCell ref="P35:Q35"/>
    <mergeCell ref="J39:K39"/>
    <mergeCell ref="P39:Q39"/>
    <mergeCell ref="R39:S39"/>
    <mergeCell ref="P34:Q34"/>
    <mergeCell ref="J36:K36"/>
    <mergeCell ref="J37:K37"/>
    <mergeCell ref="D37:H37"/>
    <mergeCell ref="P36:Q36"/>
    <mergeCell ref="R38:S38"/>
    <mergeCell ref="P37:Q37"/>
    <mergeCell ref="R37:S37"/>
    <mergeCell ref="R36:S36"/>
    <mergeCell ref="J30:K30"/>
    <mergeCell ref="J29:K29"/>
    <mergeCell ref="P29:Q29"/>
    <mergeCell ref="P32:Q32"/>
    <mergeCell ref="P26:Q26"/>
    <mergeCell ref="C46:H46"/>
    <mergeCell ref="D31:G31"/>
    <mergeCell ref="J31:K31"/>
    <mergeCell ref="P31:Q31"/>
    <mergeCell ref="J46:K46"/>
    <mergeCell ref="P46:Q46"/>
    <mergeCell ref="J43:K43"/>
    <mergeCell ref="P43:Q43"/>
    <mergeCell ref="J41:K41"/>
    <mergeCell ref="J42:K42"/>
    <mergeCell ref="P42:Q42"/>
    <mergeCell ref="P40:Q40"/>
    <mergeCell ref="D33:G33"/>
    <mergeCell ref="J45:K45"/>
    <mergeCell ref="J33:K33"/>
    <mergeCell ref="D36:G36"/>
    <mergeCell ref="C38:C45"/>
    <mergeCell ref="D38:G38"/>
    <mergeCell ref="D40:G40"/>
    <mergeCell ref="P45:Q45"/>
    <mergeCell ref="P33:Q33"/>
    <mergeCell ref="D45:H45"/>
    <mergeCell ref="A47:U47"/>
    <mergeCell ref="A30:A46"/>
    <mergeCell ref="T30:U30"/>
    <mergeCell ref="D43:G43"/>
    <mergeCell ref="D41:G41"/>
    <mergeCell ref="P41:Q41"/>
    <mergeCell ref="R41:S41"/>
    <mergeCell ref="T41:U41"/>
    <mergeCell ref="J38:K38"/>
    <mergeCell ref="P38:Q38"/>
    <mergeCell ref="B30:B46"/>
    <mergeCell ref="C30:C37"/>
    <mergeCell ref="D30:G30"/>
    <mergeCell ref="D32:G32"/>
    <mergeCell ref="J32:K32"/>
    <mergeCell ref="D34:G34"/>
    <mergeCell ref="J34:K34"/>
    <mergeCell ref="D39:G39"/>
    <mergeCell ref="D42:G42"/>
    <mergeCell ref="T38:U38"/>
    <mergeCell ref="R40:S40"/>
    <mergeCell ref="W36:W37"/>
    <mergeCell ref="X36:AE36"/>
    <mergeCell ref="AF39:AH39"/>
    <mergeCell ref="AI39:AK39"/>
    <mergeCell ref="Y35:AE35"/>
    <mergeCell ref="Y33:AC33"/>
    <mergeCell ref="AU34:AW34"/>
    <mergeCell ref="AU33:AW33"/>
    <mergeCell ref="AX36:AZ36"/>
    <mergeCell ref="AU37:AW37"/>
    <mergeCell ref="AX37:AZ37"/>
    <mergeCell ref="AU38:AW38"/>
    <mergeCell ref="AX38:AZ38"/>
    <mergeCell ref="AU39:AW39"/>
    <mergeCell ref="AX39:AZ39"/>
    <mergeCell ref="AC40:BA41"/>
    <mergeCell ref="AR39:AT39"/>
    <mergeCell ref="AR38:AT38"/>
    <mergeCell ref="AR37:AT37"/>
    <mergeCell ref="T40:U40"/>
    <mergeCell ref="R46:S46"/>
    <mergeCell ref="T42:U42"/>
    <mergeCell ref="T37:U37"/>
    <mergeCell ref="T34:U34"/>
    <mergeCell ref="T36:U36"/>
    <mergeCell ref="T46:U46"/>
    <mergeCell ref="T44:U44"/>
    <mergeCell ref="R45:S45"/>
    <mergeCell ref="T45:U45"/>
    <mergeCell ref="X38:AE38"/>
    <mergeCell ref="R44:S44"/>
    <mergeCell ref="R43:S43"/>
    <mergeCell ref="T43:U43"/>
    <mergeCell ref="T39:U39"/>
    <mergeCell ref="R42:S42"/>
    <mergeCell ref="W38:W39"/>
    <mergeCell ref="W42:X42"/>
    <mergeCell ref="Y44:AB44"/>
    <mergeCell ref="Y42:AB42"/>
    <mergeCell ref="Y43:AB43"/>
    <mergeCell ref="AC42:AE42"/>
    <mergeCell ref="AF34:AH34"/>
    <mergeCell ref="Y31:AC31"/>
    <mergeCell ref="AI26:AK26"/>
    <mergeCell ref="AI25:AK25"/>
    <mergeCell ref="Y34:AC34"/>
    <mergeCell ref="AR23:AT23"/>
    <mergeCell ref="AR24:AT24"/>
    <mergeCell ref="AF30:AH30"/>
    <mergeCell ref="AI24:AK24"/>
    <mergeCell ref="AL23:AN23"/>
    <mergeCell ref="AL25:AN25"/>
    <mergeCell ref="AO24:AQ24"/>
    <mergeCell ref="AL26:AN26"/>
    <mergeCell ref="AO26:AQ26"/>
    <mergeCell ref="AI29:AK29"/>
    <mergeCell ref="AI27:AK27"/>
    <mergeCell ref="AO30:AQ30"/>
    <mergeCell ref="AL29:AN29"/>
    <mergeCell ref="AL30:AN30"/>
    <mergeCell ref="AL33:AN33"/>
    <mergeCell ref="AL34:AN34"/>
    <mergeCell ref="AR30:AT30"/>
    <mergeCell ref="CT8:CV8"/>
    <mergeCell ref="CH21:CJ21"/>
    <mergeCell ref="CK21:CM21"/>
    <mergeCell ref="CH8:CJ8"/>
    <mergeCell ref="CK8:CM8"/>
    <mergeCell ref="CT19:CV19"/>
    <mergeCell ref="CQ11:CS11"/>
    <mergeCell ref="CT11:CV11"/>
    <mergeCell ref="CH13:CJ13"/>
    <mergeCell ref="CK13:CM13"/>
    <mergeCell ref="CN13:CP13"/>
    <mergeCell ref="CQ13:CS13"/>
    <mergeCell ref="CT13:CV13"/>
    <mergeCell ref="CH12:CJ12"/>
    <mergeCell ref="CK12:CM12"/>
    <mergeCell ref="CN12:CP12"/>
    <mergeCell ref="CQ12:CS12"/>
    <mergeCell ref="CT12:CV12"/>
    <mergeCell ref="CQ14:CS14"/>
    <mergeCell ref="CT14:CV14"/>
    <mergeCell ref="CK15:CM15"/>
    <mergeCell ref="CT20:CV20"/>
    <mergeCell ref="CQ16:CS16"/>
    <mergeCell ref="CT16:CV16"/>
    <mergeCell ref="CH23:CJ23"/>
    <mergeCell ref="CK23:CM23"/>
    <mergeCell ref="CK24:CM24"/>
    <mergeCell ref="CQ23:CS23"/>
    <mergeCell ref="CN27:CP27"/>
    <mergeCell ref="CN22:CP22"/>
    <mergeCell ref="CN23:CP23"/>
    <mergeCell ref="CN17:CP17"/>
    <mergeCell ref="CT22:CV22"/>
    <mergeCell ref="CH22:CJ22"/>
    <mergeCell ref="CK22:CM22"/>
    <mergeCell ref="CK18:CM18"/>
    <mergeCell ref="CH24:CJ24"/>
    <mergeCell ref="CT15:CV15"/>
    <mergeCell ref="CH14:CJ14"/>
    <mergeCell ref="CK17:CM17"/>
    <mergeCell ref="CA28:CE28"/>
    <mergeCell ref="BV24:BW24"/>
    <mergeCell ref="BV23:BW23"/>
    <mergeCell ref="BL25:BM25"/>
    <mergeCell ref="BR25:BS25"/>
    <mergeCell ref="BT25:BU25"/>
    <mergeCell ref="BV25:BW25"/>
    <mergeCell ref="BL21:BM21"/>
    <mergeCell ref="CH26:CJ26"/>
    <mergeCell ref="CK26:CM26"/>
    <mergeCell ref="CA27:CE27"/>
    <mergeCell ref="BR22:BS22"/>
    <mergeCell ref="BT22:BU22"/>
    <mergeCell ref="BV22:BW22"/>
    <mergeCell ref="BL22:BM22"/>
    <mergeCell ref="CC18:CE18"/>
    <mergeCell ref="CK25:CM25"/>
    <mergeCell ref="CH27:CJ27"/>
    <mergeCell ref="CK27:CM27"/>
    <mergeCell ref="BV28:BW28"/>
    <mergeCell ref="BV27:BW27"/>
    <mergeCell ref="CC16:CE16"/>
    <mergeCell ref="CC20:CE20"/>
    <mergeCell ref="CC19:CE19"/>
    <mergeCell ref="CC4:CE4"/>
    <mergeCell ref="CH4:CJ4"/>
    <mergeCell ref="CA25:CE25"/>
    <mergeCell ref="CC9:CE9"/>
    <mergeCell ref="CH9:CJ9"/>
    <mergeCell ref="CC12:CE12"/>
    <mergeCell ref="CA24:CE24"/>
    <mergeCell ref="CC17:CE17"/>
    <mergeCell ref="CH17:CJ17"/>
    <mergeCell ref="CC7:CE7"/>
    <mergeCell ref="CH7:CJ7"/>
    <mergeCell ref="CC8:CE8"/>
    <mergeCell ref="CA22:CE22"/>
    <mergeCell ref="CA23:CE23"/>
    <mergeCell ref="CH5:CJ5"/>
    <mergeCell ref="BC21:BC29"/>
    <mergeCell ref="BE15:BH15"/>
    <mergeCell ref="BI15:BS15"/>
    <mergeCell ref="CC15:CE15"/>
    <mergeCell ref="CH15:CJ15"/>
    <mergeCell ref="CA29:CE29"/>
    <mergeCell ref="BT29:BU29"/>
    <mergeCell ref="BV29:BW29"/>
    <mergeCell ref="BC9:BS9"/>
    <mergeCell ref="BE10:BH10"/>
    <mergeCell ref="BE12:BH12"/>
    <mergeCell ref="BI12:BS12"/>
    <mergeCell ref="BI10:BS10"/>
    <mergeCell ref="BE11:BH11"/>
    <mergeCell ref="BE14:BH14"/>
    <mergeCell ref="BI14:BS14"/>
    <mergeCell ref="BI13:BS13"/>
    <mergeCell ref="CC13:CE13"/>
    <mergeCell ref="BL27:BM27"/>
    <mergeCell ref="BR27:BS27"/>
    <mergeCell ref="BT27:BU27"/>
    <mergeCell ref="CH25:CJ25"/>
    <mergeCell ref="BE27:BI27"/>
    <mergeCell ref="BR23:BS23"/>
    <mergeCell ref="BR37:BS37"/>
    <mergeCell ref="BT37:BU37"/>
    <mergeCell ref="BV36:BW36"/>
    <mergeCell ref="CF31:CF32"/>
    <mergeCell ref="BF35:BI35"/>
    <mergeCell ref="BL35:BM35"/>
    <mergeCell ref="BL33:BM33"/>
    <mergeCell ref="BL32:BM32"/>
    <mergeCell ref="CA31:CE31"/>
    <mergeCell ref="CA32:CE32"/>
    <mergeCell ref="CA35:CG35"/>
    <mergeCell ref="CA34:CE34"/>
    <mergeCell ref="BT35:BU35"/>
    <mergeCell ref="BV35:BW35"/>
    <mergeCell ref="BZ36:CG36"/>
    <mergeCell ref="BZ22:BZ35"/>
    <mergeCell ref="BL30:BM30"/>
    <mergeCell ref="BE26:BI26"/>
    <mergeCell ref="BR24:BS24"/>
    <mergeCell ref="BL24:BM24"/>
    <mergeCell ref="CH34:CJ34"/>
    <mergeCell ref="CK34:CM34"/>
    <mergeCell ref="CA33:CE33"/>
    <mergeCell ref="BT30:BU30"/>
    <mergeCell ref="BR35:BS35"/>
    <mergeCell ref="CT34:CV34"/>
    <mergeCell ref="CQ34:CS34"/>
    <mergeCell ref="CN34:CP34"/>
    <mergeCell ref="BT31:BU31"/>
    <mergeCell ref="CH35:CJ35"/>
    <mergeCell ref="CK35:CM35"/>
    <mergeCell ref="CN35:CP35"/>
    <mergeCell ref="CN30:CP30"/>
    <mergeCell ref="BV21:BW21"/>
    <mergeCell ref="CG31:CG32"/>
    <mergeCell ref="CH31:CJ32"/>
    <mergeCell ref="CA30:CE30"/>
    <mergeCell ref="BV32:BW32"/>
    <mergeCell ref="CH30:CJ30"/>
    <mergeCell ref="CQ26:CS26"/>
    <mergeCell ref="CT24:CV24"/>
    <mergeCell ref="CN25:CP25"/>
    <mergeCell ref="CQ21:CS21"/>
    <mergeCell ref="CQ22:CS22"/>
    <mergeCell ref="CK31:CM32"/>
    <mergeCell ref="CN31:CP32"/>
    <mergeCell ref="BV31:BW31"/>
    <mergeCell ref="CN26:CP26"/>
    <mergeCell ref="CT26:CV26"/>
    <mergeCell ref="CQ27:CS27"/>
    <mergeCell ref="CK30:CM30"/>
    <mergeCell ref="CT27:CV27"/>
    <mergeCell ref="CQ24:CS24"/>
    <mergeCell ref="CN24:CP24"/>
    <mergeCell ref="CT38:CV38"/>
    <mergeCell ref="CK36:CM36"/>
    <mergeCell ref="CN36:CP36"/>
    <mergeCell ref="CQ36:CS36"/>
    <mergeCell ref="BY38:BY39"/>
    <mergeCell ref="CH37:CJ37"/>
    <mergeCell ref="CK37:CM37"/>
    <mergeCell ref="CN37:CP37"/>
    <mergeCell ref="CT35:CV35"/>
    <mergeCell ref="CQ37:CS37"/>
    <mergeCell ref="CH38:CJ38"/>
    <mergeCell ref="BZ37:CG37"/>
    <mergeCell ref="CT39:CV39"/>
    <mergeCell ref="CN38:CP38"/>
    <mergeCell ref="CQ38:CS38"/>
    <mergeCell ref="CQ35:CS35"/>
    <mergeCell ref="DC42:DD42"/>
    <mergeCell ref="DC35:DD35"/>
    <mergeCell ref="BR40:BS40"/>
    <mergeCell ref="BT40:BU40"/>
    <mergeCell ref="BV40:BW40"/>
    <mergeCell ref="BY40:CW40"/>
    <mergeCell ref="BT39:BU39"/>
    <mergeCell ref="BV39:BW39"/>
    <mergeCell ref="CH39:CJ39"/>
    <mergeCell ref="CK39:CM39"/>
    <mergeCell ref="CN39:CP39"/>
    <mergeCell ref="BR39:BS39"/>
    <mergeCell ref="CQ39:CS39"/>
    <mergeCell ref="CT37:CV37"/>
    <mergeCell ref="BZ38:CG38"/>
    <mergeCell ref="BZ39:CG39"/>
    <mergeCell ref="BR38:BS38"/>
    <mergeCell ref="BT38:BU38"/>
    <mergeCell ref="BV38:BW38"/>
    <mergeCell ref="CT36:CV36"/>
    <mergeCell ref="BV37:BW37"/>
    <mergeCell ref="CK38:CM38"/>
    <mergeCell ref="BY36:BY37"/>
    <mergeCell ref="CH36:CJ36"/>
    <mergeCell ref="BT46:BU46"/>
    <mergeCell ref="BV46:BW46"/>
    <mergeCell ref="BF43:BI43"/>
    <mergeCell ref="BL43:BM43"/>
    <mergeCell ref="BR36:BS36"/>
    <mergeCell ref="BT32:BU32"/>
    <mergeCell ref="BF34:BI34"/>
    <mergeCell ref="BV45:BW45"/>
    <mergeCell ref="BR44:BS44"/>
    <mergeCell ref="BE46:BJ46"/>
    <mergeCell ref="BV43:BW43"/>
    <mergeCell ref="BL40:BM40"/>
    <mergeCell ref="BL39:BM39"/>
    <mergeCell ref="BV41:BW41"/>
    <mergeCell ref="BR43:BS43"/>
    <mergeCell ref="BT43:BU43"/>
    <mergeCell ref="BL44:BM44"/>
    <mergeCell ref="BV44:BW44"/>
    <mergeCell ref="BT44:BU44"/>
    <mergeCell ref="BR34:BS34"/>
    <mergeCell ref="BT34:BU34"/>
    <mergeCell ref="BV34:BW34"/>
    <mergeCell ref="BT33:BU33"/>
    <mergeCell ref="BV33:BW33"/>
    <mergeCell ref="BL45:BM45"/>
    <mergeCell ref="BR45:BS45"/>
    <mergeCell ref="BT45:BU45"/>
    <mergeCell ref="BF44:BI44"/>
    <mergeCell ref="BF40:BI40"/>
    <mergeCell ref="BL37:BM37"/>
    <mergeCell ref="BF37:BJ37"/>
    <mergeCell ref="BJ55:BK55"/>
    <mergeCell ref="BF36:BI36"/>
    <mergeCell ref="BL36:BM36"/>
    <mergeCell ref="BT36:BU36"/>
    <mergeCell ref="BC47:BW47"/>
    <mergeCell ref="BV42:BW42"/>
    <mergeCell ref="BF42:BI42"/>
    <mergeCell ref="BL42:BM42"/>
    <mergeCell ref="BR42:BS42"/>
    <mergeCell ref="BT42:BU42"/>
    <mergeCell ref="BF41:BI41"/>
    <mergeCell ref="BL41:BM41"/>
    <mergeCell ref="BC30:BC46"/>
    <mergeCell ref="BR41:BS41"/>
    <mergeCell ref="BT41:BU41"/>
    <mergeCell ref="BL46:BM46"/>
    <mergeCell ref="BR46:BS46"/>
    <mergeCell ref="BE38:BE45"/>
    <mergeCell ref="BF38:BI38"/>
    <mergeCell ref="BL38:BM38"/>
    <mergeCell ref="BR33:BS33"/>
    <mergeCell ref="AR20:AT20"/>
    <mergeCell ref="BE29:BJ29"/>
    <mergeCell ref="BD21:BI22"/>
    <mergeCell ref="BK21:BK22"/>
    <mergeCell ref="BR21:BS21"/>
    <mergeCell ref="BD30:BD46"/>
    <mergeCell ref="BE30:BE37"/>
    <mergeCell ref="BF30:BI30"/>
    <mergeCell ref="BF39:BI39"/>
    <mergeCell ref="BF32:BI32"/>
    <mergeCell ref="BF33:BI33"/>
    <mergeCell ref="BR30:BS30"/>
    <mergeCell ref="BR32:BS32"/>
    <mergeCell ref="BF31:BI31"/>
    <mergeCell ref="BL34:BM34"/>
    <mergeCell ref="BF45:BJ45"/>
    <mergeCell ref="AX33:AZ33"/>
    <mergeCell ref="AX34:AZ34"/>
    <mergeCell ref="AX35:AZ35"/>
    <mergeCell ref="AU36:AW36"/>
    <mergeCell ref="AX30:AZ30"/>
    <mergeCell ref="AO15:AQ15"/>
    <mergeCell ref="AX25:AZ25"/>
    <mergeCell ref="AX26:AZ26"/>
    <mergeCell ref="AX27:AZ27"/>
    <mergeCell ref="AX28:AZ28"/>
    <mergeCell ref="AU29:AW29"/>
    <mergeCell ref="AU30:AW30"/>
    <mergeCell ref="AX23:AZ23"/>
    <mergeCell ref="AR26:AT26"/>
    <mergeCell ref="AR16:AT16"/>
    <mergeCell ref="AR25:AT25"/>
    <mergeCell ref="AX19:AZ19"/>
    <mergeCell ref="AX20:AZ20"/>
    <mergeCell ref="AU15:AW15"/>
    <mergeCell ref="AU16:AW16"/>
    <mergeCell ref="AU17:AW17"/>
    <mergeCell ref="AU18:AW18"/>
    <mergeCell ref="AU20:AW20"/>
    <mergeCell ref="AU19:AW19"/>
    <mergeCell ref="AO19:AQ19"/>
    <mergeCell ref="AO20:AQ20"/>
    <mergeCell ref="AX22:AZ22"/>
    <mergeCell ref="AU24:AW24"/>
    <mergeCell ref="AX12:AZ12"/>
    <mergeCell ref="AX13:AZ13"/>
    <mergeCell ref="AX14:AZ14"/>
    <mergeCell ref="AX15:AZ15"/>
    <mergeCell ref="AX16:AZ16"/>
    <mergeCell ref="AX17:AZ17"/>
    <mergeCell ref="AU12:AW12"/>
    <mergeCell ref="AU11:AW11"/>
    <mergeCell ref="AU3:AW3"/>
    <mergeCell ref="AU7:AW7"/>
    <mergeCell ref="AU8:AW8"/>
    <mergeCell ref="AU9:AW9"/>
    <mergeCell ref="AU10:AW10"/>
    <mergeCell ref="AX3:AZ3"/>
    <mergeCell ref="AX4:AZ4"/>
    <mergeCell ref="AX5:AZ5"/>
    <mergeCell ref="AX6:AZ6"/>
    <mergeCell ref="AX7:AZ7"/>
    <mergeCell ref="AX8:AZ8"/>
    <mergeCell ref="AX9:AZ9"/>
    <mergeCell ref="AX10:AZ10"/>
    <mergeCell ref="AX11:AZ11"/>
    <mergeCell ref="AU13:AW13"/>
    <mergeCell ref="W41:AA41"/>
    <mergeCell ref="X37:AE37"/>
    <mergeCell ref="AR18:AT18"/>
    <mergeCell ref="AR19:AT19"/>
    <mergeCell ref="AO22:AQ22"/>
    <mergeCell ref="AO29:AQ29"/>
    <mergeCell ref="AF35:AH35"/>
    <mergeCell ref="Y32:AC32"/>
    <mergeCell ref="AF33:AH33"/>
    <mergeCell ref="AI33:AK33"/>
    <mergeCell ref="X39:AE39"/>
    <mergeCell ref="AL35:AN35"/>
    <mergeCell ref="AF29:AH29"/>
    <mergeCell ref="AF24:AH24"/>
    <mergeCell ref="X4:X21"/>
    <mergeCell ref="AA5:AC5"/>
    <mergeCell ref="AR4:AT4"/>
    <mergeCell ref="AR8:AT8"/>
    <mergeCell ref="AO21:AQ21"/>
    <mergeCell ref="AF21:AH21"/>
    <mergeCell ref="AO17:AQ17"/>
    <mergeCell ref="AL18:AN18"/>
    <mergeCell ref="AL20:AN20"/>
    <mergeCell ref="AO18:AQ18"/>
    <mergeCell ref="AR42:AU42"/>
    <mergeCell ref="AO42:AQ42"/>
    <mergeCell ref="AL42:AN42"/>
    <mergeCell ref="AI42:AK42"/>
    <mergeCell ref="AI38:AK38"/>
    <mergeCell ref="AI36:AK36"/>
    <mergeCell ref="AF37:AH37"/>
    <mergeCell ref="AR36:AT36"/>
    <mergeCell ref="AR35:AT35"/>
    <mergeCell ref="AL38:AN38"/>
    <mergeCell ref="AO38:AQ38"/>
    <mergeCell ref="AO37:AQ37"/>
    <mergeCell ref="AO36:AQ36"/>
    <mergeCell ref="AL39:AN39"/>
    <mergeCell ref="AL37:AN37"/>
    <mergeCell ref="AF38:AH38"/>
    <mergeCell ref="AI37:AK37"/>
    <mergeCell ref="AO39:AQ39"/>
    <mergeCell ref="AL36:AN36"/>
    <mergeCell ref="AU35:AW35"/>
    <mergeCell ref="AI35:AK35"/>
    <mergeCell ref="AO35:AQ35"/>
    <mergeCell ref="AF42:AH42"/>
    <mergeCell ref="AF36:AH36"/>
    <mergeCell ref="AO28:AQ28"/>
    <mergeCell ref="AI34:AK34"/>
    <mergeCell ref="AR21:AT21"/>
    <mergeCell ref="AO25:AQ25"/>
    <mergeCell ref="AO23:AQ23"/>
    <mergeCell ref="AO27:AQ27"/>
    <mergeCell ref="AL24:AN24"/>
    <mergeCell ref="AI23:AK23"/>
    <mergeCell ref="AO33:AQ33"/>
    <mergeCell ref="AO34:AQ34"/>
    <mergeCell ref="AR33:AT33"/>
    <mergeCell ref="AR34:AT34"/>
    <mergeCell ref="AI30:AK30"/>
    <mergeCell ref="AR29:AT29"/>
    <mergeCell ref="AR27:AT27"/>
    <mergeCell ref="AR28:AT28"/>
    <mergeCell ref="AL28:AN28"/>
    <mergeCell ref="AI28:AK28"/>
    <mergeCell ref="AO5:AQ5"/>
    <mergeCell ref="AO9:AQ9"/>
    <mergeCell ref="AO10:AQ10"/>
    <mergeCell ref="AO11:AQ11"/>
    <mergeCell ref="AO6:AQ6"/>
    <mergeCell ref="AO7:AQ7"/>
    <mergeCell ref="AL5:AN5"/>
    <mergeCell ref="AL6:AN6"/>
    <mergeCell ref="AL7:AN7"/>
    <mergeCell ref="AR5:AT5"/>
    <mergeCell ref="AR10:AT10"/>
    <mergeCell ref="AR12:AT12"/>
    <mergeCell ref="AX18:AZ18"/>
    <mergeCell ref="C10:F10"/>
    <mergeCell ref="G10:Q10"/>
    <mergeCell ref="Y1:AC2"/>
    <mergeCell ref="AD1:AK2"/>
    <mergeCell ref="AM1:AQ2"/>
    <mergeCell ref="AR1:AY2"/>
    <mergeCell ref="AR13:AT13"/>
    <mergeCell ref="AO13:AQ13"/>
    <mergeCell ref="AO14:AQ14"/>
    <mergeCell ref="C14:F14"/>
    <mergeCell ref="AA13:AC13"/>
    <mergeCell ref="C12:F12"/>
    <mergeCell ref="C13:F13"/>
    <mergeCell ref="N3:U3"/>
    <mergeCell ref="C11:F11"/>
    <mergeCell ref="AF4:AH4"/>
    <mergeCell ref="AO4:AQ4"/>
    <mergeCell ref="AF5:AH5"/>
    <mergeCell ref="AI5:AK5"/>
    <mergeCell ref="AL4:AN4"/>
    <mergeCell ref="AF28:AH28"/>
    <mergeCell ref="A4:D4"/>
    <mergeCell ref="AA7:AC7"/>
    <mergeCell ref="AF7:AH7"/>
    <mergeCell ref="AI7:AK7"/>
    <mergeCell ref="CZ20:DA20"/>
    <mergeCell ref="AF31:AH31"/>
    <mergeCell ref="AF32:AH32"/>
    <mergeCell ref="AI31:AK31"/>
    <mergeCell ref="AI32:AK32"/>
    <mergeCell ref="AU31:AW31"/>
    <mergeCell ref="AU32:AW32"/>
    <mergeCell ref="AX31:AZ31"/>
    <mergeCell ref="AX32:AZ32"/>
    <mergeCell ref="AR31:AT31"/>
    <mergeCell ref="AR32:AT32"/>
    <mergeCell ref="AO31:AQ31"/>
    <mergeCell ref="AO32:AQ32"/>
    <mergeCell ref="AL31:AN31"/>
    <mergeCell ref="AL32:AN32"/>
    <mergeCell ref="AX21:AZ21"/>
    <mergeCell ref="AU21:AW21"/>
    <mergeCell ref="AU22:AW22"/>
    <mergeCell ref="AU23:AW23"/>
  </mergeCells>
  <phoneticPr fontId="2"/>
  <conditionalFormatting sqref="G10:G11">
    <cfRule type="expression" dxfId="127" priority="20" stopIfTrue="1">
      <formula>G10=""</formula>
    </cfRule>
  </conditionalFormatting>
  <conditionalFormatting sqref="G12">
    <cfRule type="expression" dxfId="126" priority="19">
      <formula>G12=""</formula>
    </cfRule>
  </conditionalFormatting>
  <conditionalFormatting sqref="G13:G15">
    <cfRule type="expression" dxfId="125" priority="17" stopIfTrue="1">
      <formula>G13=""</formula>
    </cfRule>
  </conditionalFormatting>
  <conditionalFormatting sqref="J23:S26">
    <cfRule type="containsBlanks" dxfId="124" priority="278">
      <formula>LEN(TRIM(J23))=0</formula>
    </cfRule>
  </conditionalFormatting>
  <conditionalFormatting sqref="J29:S29">
    <cfRule type="cellIs" dxfId="123" priority="161" stopIfTrue="1" operator="equal">
      <formula>0</formula>
    </cfRule>
  </conditionalFormatting>
  <conditionalFormatting sqref="J37:S37">
    <cfRule type="cellIs" dxfId="122" priority="179" stopIfTrue="1" operator="equal">
      <formula>0</formula>
    </cfRule>
  </conditionalFormatting>
  <conditionalFormatting sqref="J45:S45 J46:P46 R46">
    <cfRule type="cellIs" dxfId="121" priority="180" stopIfTrue="1" operator="equal">
      <formula>0</formula>
    </cfRule>
  </conditionalFormatting>
  <conditionalFormatting sqref="S10">
    <cfRule type="expression" dxfId="120" priority="36" stopIfTrue="1">
      <formula>OR($U$10=TRUE)</formula>
    </cfRule>
  </conditionalFormatting>
  <conditionalFormatting sqref="S11">
    <cfRule type="expression" dxfId="119" priority="23" stopIfTrue="1">
      <formula>OR($U$11=TRUE)</formula>
    </cfRule>
  </conditionalFormatting>
  <conditionalFormatting sqref="S12">
    <cfRule type="expression" dxfId="118" priority="34" stopIfTrue="1">
      <formula>OR($U$12=TRUE)</formula>
    </cfRule>
  </conditionalFormatting>
  <conditionalFormatting sqref="S13">
    <cfRule type="expression" dxfId="117" priority="32" stopIfTrue="1">
      <formula>OR($U$13=TRUE)</formula>
    </cfRule>
  </conditionalFormatting>
  <conditionalFormatting sqref="S14">
    <cfRule type="expression" dxfId="116" priority="27" stopIfTrue="1">
      <formula>OR($U$14=TRUE)</formula>
    </cfRule>
  </conditionalFormatting>
  <conditionalFormatting sqref="S15">
    <cfRule type="expression" dxfId="115" priority="24" stopIfTrue="1">
      <formula>OR($U$15=TRUE)</formula>
    </cfRule>
  </conditionalFormatting>
  <conditionalFormatting sqref="T10">
    <cfRule type="expression" dxfId="114" priority="35" stopIfTrue="1">
      <formula>OR($V$10=TRUE)</formula>
    </cfRule>
  </conditionalFormatting>
  <conditionalFormatting sqref="T10:T14">
    <cfRule type="expression" dxfId="113" priority="39" stopIfTrue="1">
      <formula>OR($U$8=TRUE)</formula>
    </cfRule>
  </conditionalFormatting>
  <conditionalFormatting sqref="T11">
    <cfRule type="expression" dxfId="112" priority="22">
      <formula>OR($V$11=TRUE)</formula>
    </cfRule>
  </conditionalFormatting>
  <conditionalFormatting sqref="T12">
    <cfRule type="expression" dxfId="111" priority="33" stopIfTrue="1">
      <formula>OR($V$12=TRUE)</formula>
    </cfRule>
  </conditionalFormatting>
  <conditionalFormatting sqref="T13">
    <cfRule type="expression" dxfId="110" priority="31" stopIfTrue="1">
      <formula>OR($V$13=TRUE)</formula>
    </cfRule>
  </conditionalFormatting>
  <conditionalFormatting sqref="T14">
    <cfRule type="expression" dxfId="109" priority="26" stopIfTrue="1">
      <formula>OR($V$14=TRUE)</formula>
    </cfRule>
  </conditionalFormatting>
  <conditionalFormatting sqref="T15">
    <cfRule type="expression" dxfId="108" priority="25" stopIfTrue="1">
      <formula>OR($V$15=TRUE)</formula>
    </cfRule>
  </conditionalFormatting>
  <conditionalFormatting sqref="T22">
    <cfRule type="cellIs" dxfId="107" priority="253" stopIfTrue="1" operator="between">
      <formula>0</formula>
      <formula>0</formula>
    </cfRule>
  </conditionalFormatting>
  <conditionalFormatting sqref="Y42 AC42 AF42 AI42 AL42 AO42 AR42">
    <cfRule type="cellIs" dxfId="106" priority="260" stopIfTrue="1" operator="between">
      <formula>0</formula>
      <formula>0</formula>
    </cfRule>
  </conditionalFormatting>
  <conditionalFormatting sqref="AE23:AE24">
    <cfRule type="cellIs" dxfId="105" priority="53" stopIfTrue="1" operator="between">
      <formula>0</formula>
      <formula>0</formula>
    </cfRule>
  </conditionalFormatting>
  <conditionalFormatting sqref="AF35 AI35 AL35 AO35 AR35">
    <cfRule type="cellIs" dxfId="104" priority="51" stopIfTrue="1" operator="between">
      <formula>0</formula>
      <formula>0</formula>
    </cfRule>
  </conditionalFormatting>
  <conditionalFormatting sqref="AF5:AU20 AX5:AX20 J30:S33 J38:S41">
    <cfRule type="containsBlanks" dxfId="103" priority="279">
      <formula>LEN(TRIM(J5))=0</formula>
    </cfRule>
  </conditionalFormatting>
  <conditionalFormatting sqref="AF21:AU21">
    <cfRule type="cellIs" dxfId="102" priority="159" stopIfTrue="1" operator="equal">
      <formula>0</formula>
    </cfRule>
  </conditionalFormatting>
  <conditionalFormatting sqref="AF22:AU24 AX22:AX34 AF25:AF32 AI25:AI32 AL25:AL32 AO25:AO32 AR25:AR32 AU25:AU32 AF33:AU34">
    <cfRule type="containsBlanks" dxfId="101" priority="54">
      <formula>LEN(TRIM(AF22))=0</formula>
    </cfRule>
  </conditionalFormatting>
  <conditionalFormatting sqref="AF36:AU36 AX36">
    <cfRule type="cellIs" dxfId="100" priority="50" stopIfTrue="1" operator="equal">
      <formula>0</formula>
    </cfRule>
  </conditionalFormatting>
  <conditionalFormatting sqref="AF37:AU37 AX37">
    <cfRule type="cellIs" dxfId="99" priority="49" operator="equal">
      <formula>0</formula>
    </cfRule>
  </conditionalFormatting>
  <conditionalFormatting sqref="AF38:AU38 AX38">
    <cfRule type="cellIs" dxfId="98" priority="52" stopIfTrue="1" operator="equal">
      <formula>0</formula>
    </cfRule>
  </conditionalFormatting>
  <conditionalFormatting sqref="AF39:AU39 AX39">
    <cfRule type="cellIs" dxfId="97" priority="55" stopIfTrue="1" operator="equal">
      <formula>0</formula>
    </cfRule>
  </conditionalFormatting>
  <conditionalFormatting sqref="AJ42:AJ43">
    <cfRule type="cellIs" dxfId="96" priority="45" stopIfTrue="1" operator="between">
      <formula>0</formula>
      <formula>0</formula>
    </cfRule>
  </conditionalFormatting>
  <conditionalFormatting sqref="AM45:AM47">
    <cfRule type="cellIs" dxfId="95" priority="277" stopIfTrue="1" operator="equal">
      <formula>0</formula>
    </cfRule>
  </conditionalFormatting>
  <conditionalFormatting sqref="AP45:AQ47 AD42:AD43 AG42:AG43 AM42:AM43 AP42:AP43 X42:X47 AC44:AQ44 AA45:AD47 AF45:AG47 AI45:AJ47 AL45:AM47">
    <cfRule type="cellIs" dxfId="94" priority="269" stopIfTrue="1" operator="between">
      <formula>0</formula>
      <formula>0</formula>
    </cfRule>
  </conditionalFormatting>
  <conditionalFormatting sqref="AQ45:AQ47">
    <cfRule type="cellIs" dxfId="93" priority="267" stopIfTrue="1" operator="equal">
      <formula>0</formula>
    </cfRule>
  </conditionalFormatting>
  <conditionalFormatting sqref="AU35 AX35">
    <cfRule type="cellIs" dxfId="92" priority="48" operator="equal">
      <formula>0</formula>
    </cfRule>
  </conditionalFormatting>
  <conditionalFormatting sqref="AX21">
    <cfRule type="cellIs" dxfId="91" priority="276" stopIfTrue="1" operator="equal">
      <formula>0</formula>
    </cfRule>
  </conditionalFormatting>
  <conditionalFormatting sqref="BI10:BI11">
    <cfRule type="expression" dxfId="90" priority="3" stopIfTrue="1">
      <formula>BI10=""</formula>
    </cfRule>
  </conditionalFormatting>
  <conditionalFormatting sqref="BI12">
    <cfRule type="expression" dxfId="89" priority="2">
      <formula>BI12=""</formula>
    </cfRule>
  </conditionalFormatting>
  <conditionalFormatting sqref="BI13:BI15">
    <cfRule type="expression" dxfId="88" priority="1" stopIfTrue="1">
      <formula>BI13=""</formula>
    </cfRule>
  </conditionalFormatting>
  <conditionalFormatting sqref="BL29:BU29">
    <cfRule type="cellIs" dxfId="87" priority="126" stopIfTrue="1" operator="equal">
      <formula>0</formula>
    </cfRule>
  </conditionalFormatting>
  <conditionalFormatting sqref="BL37:BU37">
    <cfRule type="cellIs" dxfId="86" priority="127" stopIfTrue="1" operator="equal">
      <formula>0</formula>
    </cfRule>
  </conditionalFormatting>
  <conditionalFormatting sqref="BL45:BU45 BL46:BR46 BT46">
    <cfRule type="cellIs" dxfId="85" priority="128" stopIfTrue="1" operator="equal">
      <formula>0</formula>
    </cfRule>
  </conditionalFormatting>
  <conditionalFormatting sqref="BU10">
    <cfRule type="expression" dxfId="84" priority="15" stopIfTrue="1">
      <formula>OR($U$10=TRUE)</formula>
    </cfRule>
  </conditionalFormatting>
  <conditionalFormatting sqref="BU11">
    <cfRule type="expression" dxfId="83" priority="5" stopIfTrue="1">
      <formula>OR($U$11=TRUE)</formula>
    </cfRule>
  </conditionalFormatting>
  <conditionalFormatting sqref="BU12">
    <cfRule type="expression" dxfId="82" priority="13" stopIfTrue="1">
      <formula>OR($U$12=TRUE)</formula>
    </cfRule>
  </conditionalFormatting>
  <conditionalFormatting sqref="BU13">
    <cfRule type="expression" dxfId="81" priority="11" stopIfTrue="1">
      <formula>OR($U$13=TRUE)</formula>
    </cfRule>
  </conditionalFormatting>
  <conditionalFormatting sqref="BU14">
    <cfRule type="expression" dxfId="80" priority="9" stopIfTrue="1">
      <formula>OR($U$14=TRUE)</formula>
    </cfRule>
  </conditionalFormatting>
  <conditionalFormatting sqref="BU15">
    <cfRule type="expression" dxfId="79" priority="6" stopIfTrue="1">
      <formula>OR($U$15=TRUE)</formula>
    </cfRule>
  </conditionalFormatting>
  <conditionalFormatting sqref="BV10">
    <cfRule type="expression" dxfId="78" priority="14" stopIfTrue="1">
      <formula>OR($V$10=TRUE)</formula>
    </cfRule>
  </conditionalFormatting>
  <conditionalFormatting sqref="BV10:BV14">
    <cfRule type="expression" dxfId="77" priority="16" stopIfTrue="1">
      <formula>OR($U$8=TRUE)</formula>
    </cfRule>
  </conditionalFormatting>
  <conditionalFormatting sqref="BV11">
    <cfRule type="expression" dxfId="76" priority="4">
      <formula>OR($V$11=TRUE)</formula>
    </cfRule>
  </conditionalFormatting>
  <conditionalFormatting sqref="BV12">
    <cfRule type="expression" dxfId="75" priority="12" stopIfTrue="1">
      <formula>OR($V$12=TRUE)</formula>
    </cfRule>
  </conditionalFormatting>
  <conditionalFormatting sqref="BV13">
    <cfRule type="expression" dxfId="74" priority="10" stopIfTrue="1">
      <formula>OR($V$13=TRUE)</formula>
    </cfRule>
  </conditionalFormatting>
  <conditionalFormatting sqref="BV14">
    <cfRule type="expression" dxfId="73" priority="8" stopIfTrue="1">
      <formula>OR($V$14=TRUE)</formula>
    </cfRule>
  </conditionalFormatting>
  <conditionalFormatting sqref="BV15">
    <cfRule type="expression" dxfId="72" priority="7" stopIfTrue="1">
      <formula>OR($V$15=TRUE)</formula>
    </cfRule>
  </conditionalFormatting>
  <conditionalFormatting sqref="BV22">
    <cfRule type="cellIs" dxfId="71" priority="130" stopIfTrue="1" operator="between">
      <formula>0</formula>
      <formula>0</formula>
    </cfRule>
  </conditionalFormatting>
  <conditionalFormatting sqref="CG23:CG24">
    <cfRule type="cellIs" dxfId="70" priority="58" stopIfTrue="1" operator="between">
      <formula>0</formula>
      <formula>0</formula>
    </cfRule>
  </conditionalFormatting>
  <conditionalFormatting sqref="CH35 CQ35 CT35">
    <cfRule type="cellIs" dxfId="69" priority="116" stopIfTrue="1" operator="between">
      <formula>0</formula>
      <formula>0</formula>
    </cfRule>
  </conditionalFormatting>
  <conditionalFormatting sqref="CH36:CX36">
    <cfRule type="cellIs" dxfId="68" priority="115" stopIfTrue="1" operator="equal">
      <formula>0</formula>
    </cfRule>
  </conditionalFormatting>
  <conditionalFormatting sqref="CH37:CX37">
    <cfRule type="cellIs" dxfId="67" priority="113" operator="equal">
      <formula>0</formula>
    </cfRule>
  </conditionalFormatting>
  <conditionalFormatting sqref="CH38:CX38">
    <cfRule type="cellIs" dxfId="66" priority="118" stopIfTrue="1" operator="equal">
      <formula>0</formula>
    </cfRule>
  </conditionalFormatting>
  <conditionalFormatting sqref="CH39:CX39">
    <cfRule type="cellIs" dxfId="65" priority="114" stopIfTrue="1" operator="equal">
      <formula>0</formula>
    </cfRule>
  </conditionalFormatting>
  <conditionalFormatting sqref="CH21:CY21">
    <cfRule type="cellIs" dxfId="64" priority="117" stopIfTrue="1" operator="equal">
      <formula>0</formula>
    </cfRule>
  </conditionalFormatting>
  <conditionalFormatting sqref="CK35 CN35">
    <cfRule type="cellIs" dxfId="63" priority="120" stopIfTrue="1" operator="between">
      <formula>0</formula>
      <formula>0</formula>
    </cfRule>
  </conditionalFormatting>
  <conditionalFormatting sqref="CL42">
    <cfRule type="cellIs" dxfId="62" priority="67" stopIfTrue="1" operator="between">
      <formula>0</formula>
      <formula>0</formula>
    </cfRule>
  </conditionalFormatting>
  <conditionalFormatting sqref="CO43:CO47">
    <cfRule type="cellIs" dxfId="61" priority="76" stopIfTrue="1" operator="equal">
      <formula>0</formula>
    </cfRule>
  </conditionalFormatting>
  <conditionalFormatting sqref="CP40:CQ40 CS40:CV40 CJ40:CK40 CM40:CN40">
    <cfRule type="cellIs" dxfId="60" priority="224" stopIfTrue="1" operator="between">
      <formula>0</formula>
      <formula>0</formula>
    </cfRule>
  </conditionalFormatting>
  <conditionalFormatting sqref="CQ40:CR40">
    <cfRule type="cellIs" dxfId="59" priority="223" stopIfTrue="1" operator="equal">
      <formula>0</formula>
    </cfRule>
  </conditionalFormatting>
  <conditionalFormatting sqref="CR41:CS41 CU41:CX41 CA40:CH41 CJ41:CM41 CO41:CP41">
    <cfRule type="cellIs" dxfId="58" priority="70" stopIfTrue="1" operator="between">
      <formula>0</formula>
      <formula>0</formula>
    </cfRule>
  </conditionalFormatting>
  <conditionalFormatting sqref="CR41:CS41 CU41:CX41">
    <cfRule type="cellIs" dxfId="57" priority="73" stopIfTrue="1" operator="between">
      <formula>0</formula>
      <formula>0</formula>
    </cfRule>
  </conditionalFormatting>
  <conditionalFormatting sqref="CS43:CS47">
    <cfRule type="cellIs" dxfId="56" priority="74" stopIfTrue="1" operator="equal">
      <formula>0</formula>
    </cfRule>
  </conditionalFormatting>
  <conditionalFormatting sqref="CS44:CS47 CI42 CO42 BZ42:BZ47 CC42:CC47 CF42:CF47 CD43:CE47 CH43:CI47 CK43:CL47 CN43:CO47 CR43:CR47">
    <cfRule type="cellIs" dxfId="55" priority="75" stopIfTrue="1" operator="between">
      <formula>0</formula>
      <formula>0</formula>
    </cfRule>
  </conditionalFormatting>
  <conditionalFormatting sqref="CS41:CT41">
    <cfRule type="cellIs" dxfId="54" priority="72" stopIfTrue="1" operator="equal">
      <formula>0</formula>
    </cfRule>
    <cfRule type="cellIs" dxfId="53" priority="69" stopIfTrue="1" operator="equal">
      <formula>0</formula>
    </cfRule>
  </conditionalFormatting>
  <conditionalFormatting sqref="CT40:CU40">
    <cfRule type="cellIs" dxfId="52" priority="222" stopIfTrue="1" operator="equal">
      <formula>0</formula>
    </cfRule>
  </conditionalFormatting>
  <conditionalFormatting sqref="CV41:CW41">
    <cfRule type="cellIs" dxfId="51" priority="71" stopIfTrue="1" operator="equal">
      <formula>0</formula>
    </cfRule>
    <cfRule type="cellIs" dxfId="50" priority="68" stopIfTrue="1" operator="equal">
      <formula>0</formula>
    </cfRule>
  </conditionalFormatting>
  <conditionalFormatting sqref="CW35:CX35">
    <cfRule type="cellIs" dxfId="49" priority="112" operator="equal">
      <formula>0</formula>
    </cfRule>
  </conditionalFormatting>
  <dataValidations xWindow="543" yWindow="595" count="18">
    <dataValidation type="list" allowBlank="1" showInputMessage="1" showErrorMessage="1" sqref="C73:G74 BE27:BI27 C27:G27" xr:uid="{00000000-0002-0000-0700-000000000000}">
      <formula1>$DG$25:$DG$27</formula1>
    </dataValidation>
    <dataValidation type="list" allowBlank="1" showInputMessage="1" showErrorMessage="1" sqref="AD80" xr:uid="{00000000-0002-0000-0700-000001000000}">
      <formula1>$DA$12:$DA$13</formula1>
    </dataValidation>
    <dataValidation operator="equal" allowBlank="1" showInputMessage="1" errorTitle="引率割引適用者の人数が多すぎます！" error="引率割引の適応は生徒数の２０％までとなっております。【利用者名簿】を修正してください。" sqref="V31" xr:uid="{00000000-0002-0000-0700-000002000000}"/>
    <dataValidation type="custom" allowBlank="1" showInputMessage="1" showErrorMessage="1" sqref="AA5:AC5 CC5:CE5" xr:uid="{00000000-0002-0000-0700-000003000000}">
      <formula1>I30*0.2&gt;J31+L31+M31+N31+O31+P31+R31</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L31:BM31" xr:uid="{00000000-0002-0000-0700-000004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N31" xr:uid="{00000000-0002-0000-0700-000005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O31" xr:uid="{00000000-0002-0000-0700-000006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P31" xr:uid="{00000000-0002-0000-0700-000007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Q31" xr:uid="{00000000-0002-0000-0700-000008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R31:BS31" xr:uid="{00000000-0002-0000-0700-000009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T31:BU31" xr:uid="{00000000-0002-0000-0700-00000A000000}">
      <formula1>BK$30*0.2</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BL39:BU39" xr:uid="{00000000-0002-0000-0700-00000B000000}">
      <formula1>$I$38*0.2</formula1>
    </dataValidation>
    <dataValidation allowBlank="1" showErrorMessage="1" prompt="団体利用者の中で、小・中学生以上の人数が２０名を超える場合【団体】を選択してください" sqref="C24:G25 BE24:BI25" xr:uid="{00000000-0002-0000-0700-00000C000000}"/>
    <dataValidation type="list" allowBlank="1" showInputMessage="1" showErrorMessage="1" prompt="団体利用者の中で、小・中学生以上の人数が２０名を超える場合【団体】を選択してください" sqref="C71:G72" xr:uid="{00000000-0002-0000-0700-00000D000000}">
      <formula1>#REF!</formula1>
    </dataValidation>
    <dataValidation type="list" allowBlank="1" showInputMessage="1" showErrorMessage="1" sqref="Y72:AC73" xr:uid="{00000000-0002-0000-0700-00000E000000}">
      <formula1>$DG$3:$DG$15</formula1>
    </dataValidation>
    <dataValidation type="list" allowBlank="1" showInputMessage="1" showErrorMessage="1" sqref="CA23:CE24 Y23:AC24" xr:uid="{96063BCC-E3C6-458E-91FB-5E773AFB4BA7}">
      <formula1>$DG$3:$DG$14</formula1>
    </dataValidation>
    <dataValidation type="whole" operator="lessThanOrEqual" allowBlank="1" showInputMessage="1" showErrorMessage="1" errorTitle="引率者の人数が多すぎます！！" error="引率割引は、全生徒数の20％（小数点以下切り捨て）までとなっております。残りは、一般料金区分となりますので、【利用者名簿】と【本紙】を修正してください。" sqref="J39:S39" xr:uid="{CBC908E9-6860-4F3A-968D-5A2D61161F6E}">
      <formula1>$DA$22*0.2</formula1>
    </dataValidation>
    <dataValidation type="whole" operator="lessThanOrEqual" allowBlank="1" showInputMessage="1" showErrorMessage="1" errorTitle="引率割引の人数が多すぎます！！" error="引率割引は、全生徒数の20％（小数点以下切り捨て）までとなっております。残りは、一般料金区分となりますので、【利用者名簿】と【本紙】を修正してください。" sqref="J31:S31" xr:uid="{BBE9AAA5-7CE2-4897-8949-592B7A99D7CF}">
      <formula1>$DA$21*0.2</formula1>
    </dataValidation>
  </dataValidations>
  <printOptions horizontalCentered="1" verticalCentered="1"/>
  <pageMargins left="0.39370078740157483" right="0.39370078740157483" top="0.39370078740157483" bottom="0.39370078740157483" header="0" footer="0"/>
  <pageSetup paperSize="9" scale="39" fitToWidth="0" orientation="landscape" r:id="rId1"/>
  <headerFooter>
    <oddFooter>&amp;R&amp;D &amp;T</oddFooter>
  </headerFooter>
  <colBreaks count="1" manualBreakCount="1">
    <brk id="54" max="1048575" man="1"/>
  </colBreaks>
  <ignoredErrors>
    <ignoredError sqref="J45 L45:M45 K37 J37 L37:M37 N37:O37 P37:S37 N45:O45 P45:S45" unlockedFormula="1"/>
    <ignoredError sqref="T40 T32 AI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83" r:id="rId4" name="Check Box 15">
              <controlPr defaultSize="0" autoFill="0" autoLine="0" autoPict="0">
                <anchor moveWithCells="1">
                  <from>
                    <xdr:col>19</xdr:col>
                    <xdr:colOff>47625</xdr:colOff>
                    <xdr:row>13</xdr:row>
                    <xdr:rowOff>19050</xdr:rowOff>
                  </from>
                  <to>
                    <xdr:col>19</xdr:col>
                    <xdr:colOff>371475</xdr:colOff>
                    <xdr:row>14</xdr:row>
                    <xdr:rowOff>0</xdr:rowOff>
                  </to>
                </anchor>
              </controlPr>
            </control>
          </mc:Choice>
        </mc:AlternateContent>
        <mc:AlternateContent xmlns:mc="http://schemas.openxmlformats.org/markup-compatibility/2006">
          <mc:Choice Requires="x14">
            <control shapeId="39489" r:id="rId5" name="Check Box 2625">
              <controlPr defaultSize="0" autoFill="0" autoLine="0" autoPict="0">
                <anchor moveWithCells="1">
                  <from>
                    <xdr:col>72</xdr:col>
                    <xdr:colOff>47625</xdr:colOff>
                    <xdr:row>9</xdr:row>
                    <xdr:rowOff>47625</xdr:rowOff>
                  </from>
                  <to>
                    <xdr:col>72</xdr:col>
                    <xdr:colOff>304800</xdr:colOff>
                    <xdr:row>10</xdr:row>
                    <xdr:rowOff>0</xdr:rowOff>
                  </to>
                </anchor>
              </controlPr>
            </control>
          </mc:Choice>
        </mc:AlternateContent>
        <mc:AlternateContent xmlns:mc="http://schemas.openxmlformats.org/markup-compatibility/2006">
          <mc:Choice Requires="x14">
            <control shapeId="39490" r:id="rId6" name="Check Box 2626">
              <controlPr defaultSize="0" autoFill="0" autoLine="0" autoPict="0">
                <anchor moveWithCells="1">
                  <from>
                    <xdr:col>72</xdr:col>
                    <xdr:colOff>47625</xdr:colOff>
                    <xdr:row>10</xdr:row>
                    <xdr:rowOff>47625</xdr:rowOff>
                  </from>
                  <to>
                    <xdr:col>72</xdr:col>
                    <xdr:colOff>304800</xdr:colOff>
                    <xdr:row>11</xdr:row>
                    <xdr:rowOff>0</xdr:rowOff>
                  </to>
                </anchor>
              </controlPr>
            </control>
          </mc:Choice>
        </mc:AlternateContent>
        <mc:AlternateContent xmlns:mc="http://schemas.openxmlformats.org/markup-compatibility/2006">
          <mc:Choice Requires="x14">
            <control shapeId="39491" r:id="rId7" name="Check Box 2627">
              <controlPr defaultSize="0" autoFill="0" autoLine="0" autoPict="0">
                <anchor moveWithCells="1">
                  <from>
                    <xdr:col>72</xdr:col>
                    <xdr:colOff>47625</xdr:colOff>
                    <xdr:row>11</xdr:row>
                    <xdr:rowOff>47625</xdr:rowOff>
                  </from>
                  <to>
                    <xdr:col>72</xdr:col>
                    <xdr:colOff>304800</xdr:colOff>
                    <xdr:row>12</xdr:row>
                    <xdr:rowOff>0</xdr:rowOff>
                  </to>
                </anchor>
              </controlPr>
            </control>
          </mc:Choice>
        </mc:AlternateContent>
        <mc:AlternateContent xmlns:mc="http://schemas.openxmlformats.org/markup-compatibility/2006">
          <mc:Choice Requires="x14">
            <control shapeId="39492" r:id="rId8" name="Check Box 2628">
              <controlPr defaultSize="0" autoFill="0" autoLine="0" autoPict="0">
                <anchor moveWithCells="1">
                  <from>
                    <xdr:col>72</xdr:col>
                    <xdr:colOff>47625</xdr:colOff>
                    <xdr:row>12</xdr:row>
                    <xdr:rowOff>47625</xdr:rowOff>
                  </from>
                  <to>
                    <xdr:col>72</xdr:col>
                    <xdr:colOff>304800</xdr:colOff>
                    <xdr:row>13</xdr:row>
                    <xdr:rowOff>0</xdr:rowOff>
                  </to>
                </anchor>
              </controlPr>
            </control>
          </mc:Choice>
        </mc:AlternateContent>
        <mc:AlternateContent xmlns:mc="http://schemas.openxmlformats.org/markup-compatibility/2006">
          <mc:Choice Requires="x14">
            <control shapeId="39493" r:id="rId9" name="Check Box 2629">
              <controlPr defaultSize="0" autoFill="0" autoLine="0" autoPict="0">
                <anchor moveWithCells="1">
                  <from>
                    <xdr:col>72</xdr:col>
                    <xdr:colOff>47625</xdr:colOff>
                    <xdr:row>13</xdr:row>
                    <xdr:rowOff>47625</xdr:rowOff>
                  </from>
                  <to>
                    <xdr:col>72</xdr:col>
                    <xdr:colOff>304800</xdr:colOff>
                    <xdr:row>14</xdr:row>
                    <xdr:rowOff>0</xdr:rowOff>
                  </to>
                </anchor>
              </controlPr>
            </control>
          </mc:Choice>
        </mc:AlternateContent>
        <mc:AlternateContent xmlns:mc="http://schemas.openxmlformats.org/markup-compatibility/2006">
          <mc:Choice Requires="x14">
            <control shapeId="39494" r:id="rId10" name="Check Box 2630">
              <controlPr defaultSize="0" autoFill="0" autoLine="0" autoPict="0">
                <anchor moveWithCells="1">
                  <from>
                    <xdr:col>72</xdr:col>
                    <xdr:colOff>47625</xdr:colOff>
                    <xdr:row>14</xdr:row>
                    <xdr:rowOff>47625</xdr:rowOff>
                  </from>
                  <to>
                    <xdr:col>72</xdr:col>
                    <xdr:colOff>304800</xdr:colOff>
                    <xdr:row>15</xdr:row>
                    <xdr:rowOff>0</xdr:rowOff>
                  </to>
                </anchor>
              </controlPr>
            </control>
          </mc:Choice>
        </mc:AlternateContent>
        <mc:AlternateContent xmlns:mc="http://schemas.openxmlformats.org/markup-compatibility/2006">
          <mc:Choice Requires="x14">
            <control shapeId="39495" r:id="rId11" name="Check Box 2631">
              <controlPr defaultSize="0" autoFill="0" autoLine="0" autoPict="0">
                <anchor moveWithCells="1">
                  <from>
                    <xdr:col>72</xdr:col>
                    <xdr:colOff>47625</xdr:colOff>
                    <xdr:row>15</xdr:row>
                    <xdr:rowOff>47625</xdr:rowOff>
                  </from>
                  <to>
                    <xdr:col>72</xdr:col>
                    <xdr:colOff>304800</xdr:colOff>
                    <xdr:row>16</xdr:row>
                    <xdr:rowOff>0</xdr:rowOff>
                  </to>
                </anchor>
              </controlPr>
            </control>
          </mc:Choice>
        </mc:AlternateContent>
        <mc:AlternateContent xmlns:mc="http://schemas.openxmlformats.org/markup-compatibility/2006">
          <mc:Choice Requires="x14">
            <control shapeId="39496" r:id="rId12" name="Check Box 2632">
              <controlPr defaultSize="0" autoFill="0" autoLine="0" autoPict="0">
                <anchor moveWithCells="1">
                  <from>
                    <xdr:col>73</xdr:col>
                    <xdr:colOff>28575</xdr:colOff>
                    <xdr:row>9</xdr:row>
                    <xdr:rowOff>66675</xdr:rowOff>
                  </from>
                  <to>
                    <xdr:col>73</xdr:col>
                    <xdr:colOff>323850</xdr:colOff>
                    <xdr:row>9</xdr:row>
                    <xdr:rowOff>304800</xdr:rowOff>
                  </to>
                </anchor>
              </controlPr>
            </control>
          </mc:Choice>
        </mc:AlternateContent>
        <mc:AlternateContent xmlns:mc="http://schemas.openxmlformats.org/markup-compatibility/2006">
          <mc:Choice Requires="x14">
            <control shapeId="39497" r:id="rId13" name="Check Box 2633">
              <controlPr defaultSize="0" autoFill="0" autoLine="0" autoPict="0">
                <anchor moveWithCells="1">
                  <from>
                    <xdr:col>73</xdr:col>
                    <xdr:colOff>28575</xdr:colOff>
                    <xdr:row>10</xdr:row>
                    <xdr:rowOff>66675</xdr:rowOff>
                  </from>
                  <to>
                    <xdr:col>73</xdr:col>
                    <xdr:colOff>323850</xdr:colOff>
                    <xdr:row>10</xdr:row>
                    <xdr:rowOff>304800</xdr:rowOff>
                  </to>
                </anchor>
              </controlPr>
            </control>
          </mc:Choice>
        </mc:AlternateContent>
        <mc:AlternateContent xmlns:mc="http://schemas.openxmlformats.org/markup-compatibility/2006">
          <mc:Choice Requires="x14">
            <control shapeId="39498" r:id="rId14" name="Check Box 2634">
              <controlPr defaultSize="0" autoFill="0" autoLine="0" autoPict="0">
                <anchor moveWithCells="1">
                  <from>
                    <xdr:col>73</xdr:col>
                    <xdr:colOff>28575</xdr:colOff>
                    <xdr:row>11</xdr:row>
                    <xdr:rowOff>66675</xdr:rowOff>
                  </from>
                  <to>
                    <xdr:col>73</xdr:col>
                    <xdr:colOff>323850</xdr:colOff>
                    <xdr:row>11</xdr:row>
                    <xdr:rowOff>304800</xdr:rowOff>
                  </to>
                </anchor>
              </controlPr>
            </control>
          </mc:Choice>
        </mc:AlternateContent>
        <mc:AlternateContent xmlns:mc="http://schemas.openxmlformats.org/markup-compatibility/2006">
          <mc:Choice Requires="x14">
            <control shapeId="39499" r:id="rId15" name="Check Box 2635">
              <controlPr defaultSize="0" autoFill="0" autoLine="0" autoPict="0">
                <anchor moveWithCells="1">
                  <from>
                    <xdr:col>73</xdr:col>
                    <xdr:colOff>28575</xdr:colOff>
                    <xdr:row>12</xdr:row>
                    <xdr:rowOff>66675</xdr:rowOff>
                  </from>
                  <to>
                    <xdr:col>73</xdr:col>
                    <xdr:colOff>323850</xdr:colOff>
                    <xdr:row>12</xdr:row>
                    <xdr:rowOff>304800</xdr:rowOff>
                  </to>
                </anchor>
              </controlPr>
            </control>
          </mc:Choice>
        </mc:AlternateContent>
        <mc:AlternateContent xmlns:mc="http://schemas.openxmlformats.org/markup-compatibility/2006">
          <mc:Choice Requires="x14">
            <control shapeId="39500" r:id="rId16" name="Check Box 2636">
              <controlPr defaultSize="0" autoFill="0" autoLine="0" autoPict="0">
                <anchor moveWithCells="1">
                  <from>
                    <xdr:col>73</xdr:col>
                    <xdr:colOff>28575</xdr:colOff>
                    <xdr:row>13</xdr:row>
                    <xdr:rowOff>66675</xdr:rowOff>
                  </from>
                  <to>
                    <xdr:col>73</xdr:col>
                    <xdr:colOff>323850</xdr:colOff>
                    <xdr:row>13</xdr:row>
                    <xdr:rowOff>304800</xdr:rowOff>
                  </to>
                </anchor>
              </controlPr>
            </control>
          </mc:Choice>
        </mc:AlternateContent>
        <mc:AlternateContent xmlns:mc="http://schemas.openxmlformats.org/markup-compatibility/2006">
          <mc:Choice Requires="x14">
            <control shapeId="39501" r:id="rId17" name="Check Box 2637">
              <controlPr defaultSize="0" autoFill="0" autoLine="0" autoPict="0">
                <anchor moveWithCells="1">
                  <from>
                    <xdr:col>73</xdr:col>
                    <xdr:colOff>28575</xdr:colOff>
                    <xdr:row>14</xdr:row>
                    <xdr:rowOff>66675</xdr:rowOff>
                  </from>
                  <to>
                    <xdr:col>73</xdr:col>
                    <xdr:colOff>323850</xdr:colOff>
                    <xdr:row>14</xdr:row>
                    <xdr:rowOff>304800</xdr:rowOff>
                  </to>
                </anchor>
              </controlPr>
            </control>
          </mc:Choice>
        </mc:AlternateContent>
        <mc:AlternateContent xmlns:mc="http://schemas.openxmlformats.org/markup-compatibility/2006">
          <mc:Choice Requires="x14">
            <control shapeId="39502" r:id="rId18" name="Check Box 2638">
              <controlPr defaultSize="0" autoFill="0" autoLine="0" autoPict="0">
                <anchor moveWithCells="1">
                  <from>
                    <xdr:col>73</xdr:col>
                    <xdr:colOff>28575</xdr:colOff>
                    <xdr:row>15</xdr:row>
                    <xdr:rowOff>66675</xdr:rowOff>
                  </from>
                  <to>
                    <xdr:col>73</xdr:col>
                    <xdr:colOff>323850</xdr:colOff>
                    <xdr:row>15</xdr:row>
                    <xdr:rowOff>304800</xdr:rowOff>
                  </to>
                </anchor>
              </controlPr>
            </control>
          </mc:Choice>
        </mc:AlternateContent>
        <mc:AlternateContent xmlns:mc="http://schemas.openxmlformats.org/markup-compatibility/2006">
          <mc:Choice Requires="x14">
            <control shapeId="39532" r:id="rId19" name="Check Box 2668">
              <controlPr defaultSize="0" autoFill="0" autoLine="0" autoPict="0">
                <anchor moveWithCells="1">
                  <from>
                    <xdr:col>18</xdr:col>
                    <xdr:colOff>47625</xdr:colOff>
                    <xdr:row>10</xdr:row>
                    <xdr:rowOff>19050</xdr:rowOff>
                  </from>
                  <to>
                    <xdr:col>18</xdr:col>
                    <xdr:colOff>361950</xdr:colOff>
                    <xdr:row>11</xdr:row>
                    <xdr:rowOff>0</xdr:rowOff>
                  </to>
                </anchor>
              </controlPr>
            </control>
          </mc:Choice>
        </mc:AlternateContent>
        <mc:AlternateContent xmlns:mc="http://schemas.openxmlformats.org/markup-compatibility/2006">
          <mc:Choice Requires="x14">
            <control shapeId="39533" r:id="rId20" name="Check Box 2669">
              <controlPr defaultSize="0" autoFill="0" autoLine="0" autoPict="0">
                <anchor moveWithCells="1">
                  <from>
                    <xdr:col>18</xdr:col>
                    <xdr:colOff>47625</xdr:colOff>
                    <xdr:row>11</xdr:row>
                    <xdr:rowOff>19050</xdr:rowOff>
                  </from>
                  <to>
                    <xdr:col>18</xdr:col>
                    <xdr:colOff>361950</xdr:colOff>
                    <xdr:row>12</xdr:row>
                    <xdr:rowOff>0</xdr:rowOff>
                  </to>
                </anchor>
              </controlPr>
            </control>
          </mc:Choice>
        </mc:AlternateContent>
        <mc:AlternateContent xmlns:mc="http://schemas.openxmlformats.org/markup-compatibility/2006">
          <mc:Choice Requires="x14">
            <control shapeId="39534" r:id="rId21" name="Check Box 2670">
              <controlPr defaultSize="0" autoFill="0" autoLine="0" autoPict="0">
                <anchor moveWithCells="1">
                  <from>
                    <xdr:col>18</xdr:col>
                    <xdr:colOff>47625</xdr:colOff>
                    <xdr:row>12</xdr:row>
                    <xdr:rowOff>19050</xdr:rowOff>
                  </from>
                  <to>
                    <xdr:col>18</xdr:col>
                    <xdr:colOff>371475</xdr:colOff>
                    <xdr:row>13</xdr:row>
                    <xdr:rowOff>0</xdr:rowOff>
                  </to>
                </anchor>
              </controlPr>
            </control>
          </mc:Choice>
        </mc:AlternateContent>
        <mc:AlternateContent xmlns:mc="http://schemas.openxmlformats.org/markup-compatibility/2006">
          <mc:Choice Requires="x14">
            <control shapeId="39535" r:id="rId22" name="Check Box 2671">
              <controlPr defaultSize="0" autoFill="0" autoLine="0" autoPict="0">
                <anchor moveWithCells="1">
                  <from>
                    <xdr:col>18</xdr:col>
                    <xdr:colOff>47625</xdr:colOff>
                    <xdr:row>13</xdr:row>
                    <xdr:rowOff>19050</xdr:rowOff>
                  </from>
                  <to>
                    <xdr:col>18</xdr:col>
                    <xdr:colOff>371475</xdr:colOff>
                    <xdr:row>14</xdr:row>
                    <xdr:rowOff>0</xdr:rowOff>
                  </to>
                </anchor>
              </controlPr>
            </control>
          </mc:Choice>
        </mc:AlternateContent>
        <mc:AlternateContent xmlns:mc="http://schemas.openxmlformats.org/markup-compatibility/2006">
          <mc:Choice Requires="x14">
            <control shapeId="39537" r:id="rId23" name="Check Box 2673">
              <controlPr defaultSize="0" autoFill="0" autoLine="0" autoPict="0">
                <anchor moveWithCells="1">
                  <from>
                    <xdr:col>19</xdr:col>
                    <xdr:colOff>47625</xdr:colOff>
                    <xdr:row>10</xdr:row>
                    <xdr:rowOff>19050</xdr:rowOff>
                  </from>
                  <to>
                    <xdr:col>19</xdr:col>
                    <xdr:colOff>361950</xdr:colOff>
                    <xdr:row>11</xdr:row>
                    <xdr:rowOff>0</xdr:rowOff>
                  </to>
                </anchor>
              </controlPr>
            </control>
          </mc:Choice>
        </mc:AlternateContent>
        <mc:AlternateContent xmlns:mc="http://schemas.openxmlformats.org/markup-compatibility/2006">
          <mc:Choice Requires="x14">
            <control shapeId="39538" r:id="rId24" name="Check Box 2674">
              <controlPr defaultSize="0" autoFill="0" autoLine="0" autoPict="0">
                <anchor moveWithCells="1">
                  <from>
                    <xdr:col>19</xdr:col>
                    <xdr:colOff>47625</xdr:colOff>
                    <xdr:row>11</xdr:row>
                    <xdr:rowOff>19050</xdr:rowOff>
                  </from>
                  <to>
                    <xdr:col>19</xdr:col>
                    <xdr:colOff>361950</xdr:colOff>
                    <xdr:row>12</xdr:row>
                    <xdr:rowOff>0</xdr:rowOff>
                  </to>
                </anchor>
              </controlPr>
            </control>
          </mc:Choice>
        </mc:AlternateContent>
        <mc:AlternateContent xmlns:mc="http://schemas.openxmlformats.org/markup-compatibility/2006">
          <mc:Choice Requires="x14">
            <control shapeId="39539" r:id="rId25" name="Check Box 2675">
              <controlPr defaultSize="0" autoFill="0" autoLine="0" autoPict="0">
                <anchor moveWithCells="1">
                  <from>
                    <xdr:col>19</xdr:col>
                    <xdr:colOff>47625</xdr:colOff>
                    <xdr:row>12</xdr:row>
                    <xdr:rowOff>19050</xdr:rowOff>
                  </from>
                  <to>
                    <xdr:col>19</xdr:col>
                    <xdr:colOff>371475</xdr:colOff>
                    <xdr:row>13</xdr:row>
                    <xdr:rowOff>0</xdr:rowOff>
                  </to>
                </anchor>
              </controlPr>
            </control>
          </mc:Choice>
        </mc:AlternateContent>
        <mc:AlternateContent xmlns:mc="http://schemas.openxmlformats.org/markup-compatibility/2006">
          <mc:Choice Requires="x14">
            <control shapeId="39540" r:id="rId26" name="Check Box 2676">
              <controlPr defaultSize="0" autoFill="0" autoLine="0" autoPict="0">
                <anchor moveWithCells="1">
                  <from>
                    <xdr:col>19</xdr:col>
                    <xdr:colOff>47625</xdr:colOff>
                    <xdr:row>13</xdr:row>
                    <xdr:rowOff>19050</xdr:rowOff>
                  </from>
                  <to>
                    <xdr:col>19</xdr:col>
                    <xdr:colOff>371475</xdr:colOff>
                    <xdr:row>14</xdr:row>
                    <xdr:rowOff>0</xdr:rowOff>
                  </to>
                </anchor>
              </controlPr>
            </control>
          </mc:Choice>
        </mc:AlternateContent>
        <mc:AlternateContent xmlns:mc="http://schemas.openxmlformats.org/markup-compatibility/2006">
          <mc:Choice Requires="x14">
            <control shapeId="39541" r:id="rId27" name="Check Box 2677">
              <controlPr defaultSize="0" autoFill="0" autoLine="0" autoPict="0">
                <anchor moveWithCells="1">
                  <from>
                    <xdr:col>18</xdr:col>
                    <xdr:colOff>47625</xdr:colOff>
                    <xdr:row>13</xdr:row>
                    <xdr:rowOff>19050</xdr:rowOff>
                  </from>
                  <to>
                    <xdr:col>18</xdr:col>
                    <xdr:colOff>371475</xdr:colOff>
                    <xdr:row>14</xdr:row>
                    <xdr:rowOff>0</xdr:rowOff>
                  </to>
                </anchor>
              </controlPr>
            </control>
          </mc:Choice>
        </mc:AlternateContent>
        <mc:AlternateContent xmlns:mc="http://schemas.openxmlformats.org/markup-compatibility/2006">
          <mc:Choice Requires="x14">
            <control shapeId="39542" r:id="rId28" name="Check Box 2678">
              <controlPr defaultSize="0" autoFill="0" autoLine="0" autoPict="0">
                <anchor moveWithCells="1">
                  <from>
                    <xdr:col>19</xdr:col>
                    <xdr:colOff>47625</xdr:colOff>
                    <xdr:row>13</xdr:row>
                    <xdr:rowOff>19050</xdr:rowOff>
                  </from>
                  <to>
                    <xdr:col>19</xdr:col>
                    <xdr:colOff>371475</xdr:colOff>
                    <xdr:row>14</xdr:row>
                    <xdr:rowOff>0</xdr:rowOff>
                  </to>
                </anchor>
              </controlPr>
            </control>
          </mc:Choice>
        </mc:AlternateContent>
        <mc:AlternateContent xmlns:mc="http://schemas.openxmlformats.org/markup-compatibility/2006">
          <mc:Choice Requires="x14">
            <control shapeId="39551" r:id="rId29" name="Check Box 2687">
              <controlPr locked="0" defaultSize="0" autoFill="0" autoLine="0" autoPict="0" altText="チェック">
                <anchor moveWithCells="1">
                  <from>
                    <xdr:col>19</xdr:col>
                    <xdr:colOff>19050</xdr:colOff>
                    <xdr:row>6</xdr:row>
                    <xdr:rowOff>104775</xdr:rowOff>
                  </from>
                  <to>
                    <xdr:col>20</xdr:col>
                    <xdr:colOff>190500</xdr:colOff>
                    <xdr:row>7</xdr:row>
                    <xdr:rowOff>247650</xdr:rowOff>
                  </to>
                </anchor>
              </controlPr>
            </control>
          </mc:Choice>
        </mc:AlternateContent>
        <mc:AlternateContent xmlns:mc="http://schemas.openxmlformats.org/markup-compatibility/2006">
          <mc:Choice Requires="x14">
            <control shapeId="39557" r:id="rId30" name="Check Box 2693">
              <controlPr defaultSize="0" autoFill="0" autoLine="0" autoPict="0">
                <anchor moveWithCells="1">
                  <from>
                    <xdr:col>18</xdr:col>
                    <xdr:colOff>47625</xdr:colOff>
                    <xdr:row>9</xdr:row>
                    <xdr:rowOff>19050</xdr:rowOff>
                  </from>
                  <to>
                    <xdr:col>18</xdr:col>
                    <xdr:colOff>361950</xdr:colOff>
                    <xdr:row>10</xdr:row>
                    <xdr:rowOff>0</xdr:rowOff>
                  </to>
                </anchor>
              </controlPr>
            </control>
          </mc:Choice>
        </mc:AlternateContent>
        <mc:AlternateContent xmlns:mc="http://schemas.openxmlformats.org/markup-compatibility/2006">
          <mc:Choice Requires="x14">
            <control shapeId="39558" r:id="rId31" name="Check Box 2694">
              <controlPr defaultSize="0" autoFill="0" autoLine="0" autoPict="0">
                <anchor moveWithCells="1">
                  <from>
                    <xdr:col>19</xdr:col>
                    <xdr:colOff>47625</xdr:colOff>
                    <xdr:row>9</xdr:row>
                    <xdr:rowOff>19050</xdr:rowOff>
                  </from>
                  <to>
                    <xdr:col>19</xdr:col>
                    <xdr:colOff>361950</xdr:colOff>
                    <xdr:row>10</xdr:row>
                    <xdr:rowOff>0</xdr:rowOff>
                  </to>
                </anchor>
              </controlPr>
            </control>
          </mc:Choice>
        </mc:AlternateContent>
        <mc:AlternateContent xmlns:mc="http://schemas.openxmlformats.org/markup-compatibility/2006">
          <mc:Choice Requires="x14">
            <control shapeId="39560" r:id="rId32" name="Check Box 2696">
              <controlPr defaultSize="0" autoFill="0" autoLine="0" autoPict="0">
                <anchor moveWithCells="1">
                  <from>
                    <xdr:col>73</xdr:col>
                    <xdr:colOff>47625</xdr:colOff>
                    <xdr:row>13</xdr:row>
                    <xdr:rowOff>19050</xdr:rowOff>
                  </from>
                  <to>
                    <xdr:col>73</xdr:col>
                    <xdr:colOff>381000</xdr:colOff>
                    <xdr:row>14</xdr:row>
                    <xdr:rowOff>0</xdr:rowOff>
                  </to>
                </anchor>
              </controlPr>
            </control>
          </mc:Choice>
        </mc:AlternateContent>
        <mc:AlternateContent xmlns:mc="http://schemas.openxmlformats.org/markup-compatibility/2006">
          <mc:Choice Requires="x14">
            <control shapeId="39561" r:id="rId33" name="Check Box 2697">
              <controlPr defaultSize="0" autoFill="0" autoLine="0" autoPict="0">
                <anchor moveWithCells="1">
                  <from>
                    <xdr:col>72</xdr:col>
                    <xdr:colOff>47625</xdr:colOff>
                    <xdr:row>10</xdr:row>
                    <xdr:rowOff>19050</xdr:rowOff>
                  </from>
                  <to>
                    <xdr:col>72</xdr:col>
                    <xdr:colOff>361950</xdr:colOff>
                    <xdr:row>11</xdr:row>
                    <xdr:rowOff>0</xdr:rowOff>
                  </to>
                </anchor>
              </controlPr>
            </control>
          </mc:Choice>
        </mc:AlternateContent>
        <mc:AlternateContent xmlns:mc="http://schemas.openxmlformats.org/markup-compatibility/2006">
          <mc:Choice Requires="x14">
            <control shapeId="39562" r:id="rId34" name="Check Box 2698">
              <controlPr defaultSize="0" autoFill="0" autoLine="0" autoPict="0">
                <anchor moveWithCells="1">
                  <from>
                    <xdr:col>72</xdr:col>
                    <xdr:colOff>47625</xdr:colOff>
                    <xdr:row>11</xdr:row>
                    <xdr:rowOff>19050</xdr:rowOff>
                  </from>
                  <to>
                    <xdr:col>72</xdr:col>
                    <xdr:colOff>361950</xdr:colOff>
                    <xdr:row>12</xdr:row>
                    <xdr:rowOff>0</xdr:rowOff>
                  </to>
                </anchor>
              </controlPr>
            </control>
          </mc:Choice>
        </mc:AlternateContent>
        <mc:AlternateContent xmlns:mc="http://schemas.openxmlformats.org/markup-compatibility/2006">
          <mc:Choice Requires="x14">
            <control shapeId="39563" r:id="rId35" name="Check Box 2699">
              <controlPr defaultSize="0" autoFill="0" autoLine="0" autoPict="0">
                <anchor moveWithCells="1">
                  <from>
                    <xdr:col>72</xdr:col>
                    <xdr:colOff>47625</xdr:colOff>
                    <xdr:row>12</xdr:row>
                    <xdr:rowOff>19050</xdr:rowOff>
                  </from>
                  <to>
                    <xdr:col>72</xdr:col>
                    <xdr:colOff>381000</xdr:colOff>
                    <xdr:row>13</xdr:row>
                    <xdr:rowOff>0</xdr:rowOff>
                  </to>
                </anchor>
              </controlPr>
            </control>
          </mc:Choice>
        </mc:AlternateContent>
        <mc:AlternateContent xmlns:mc="http://schemas.openxmlformats.org/markup-compatibility/2006">
          <mc:Choice Requires="x14">
            <control shapeId="39564" r:id="rId36" name="Check Box 2700">
              <controlPr defaultSize="0" autoFill="0" autoLine="0" autoPict="0">
                <anchor moveWithCells="1">
                  <from>
                    <xdr:col>72</xdr:col>
                    <xdr:colOff>47625</xdr:colOff>
                    <xdr:row>13</xdr:row>
                    <xdr:rowOff>19050</xdr:rowOff>
                  </from>
                  <to>
                    <xdr:col>72</xdr:col>
                    <xdr:colOff>381000</xdr:colOff>
                    <xdr:row>14</xdr:row>
                    <xdr:rowOff>0</xdr:rowOff>
                  </to>
                </anchor>
              </controlPr>
            </control>
          </mc:Choice>
        </mc:AlternateContent>
        <mc:AlternateContent xmlns:mc="http://schemas.openxmlformats.org/markup-compatibility/2006">
          <mc:Choice Requires="x14">
            <control shapeId="39565" r:id="rId37" name="Check Box 2701">
              <controlPr defaultSize="0" autoFill="0" autoLine="0" autoPict="0">
                <anchor moveWithCells="1">
                  <from>
                    <xdr:col>73</xdr:col>
                    <xdr:colOff>47625</xdr:colOff>
                    <xdr:row>10</xdr:row>
                    <xdr:rowOff>19050</xdr:rowOff>
                  </from>
                  <to>
                    <xdr:col>73</xdr:col>
                    <xdr:colOff>361950</xdr:colOff>
                    <xdr:row>11</xdr:row>
                    <xdr:rowOff>0</xdr:rowOff>
                  </to>
                </anchor>
              </controlPr>
            </control>
          </mc:Choice>
        </mc:AlternateContent>
        <mc:AlternateContent xmlns:mc="http://schemas.openxmlformats.org/markup-compatibility/2006">
          <mc:Choice Requires="x14">
            <control shapeId="39566" r:id="rId38" name="Check Box 2702">
              <controlPr defaultSize="0" autoFill="0" autoLine="0" autoPict="0">
                <anchor moveWithCells="1">
                  <from>
                    <xdr:col>73</xdr:col>
                    <xdr:colOff>47625</xdr:colOff>
                    <xdr:row>11</xdr:row>
                    <xdr:rowOff>19050</xdr:rowOff>
                  </from>
                  <to>
                    <xdr:col>73</xdr:col>
                    <xdr:colOff>361950</xdr:colOff>
                    <xdr:row>12</xdr:row>
                    <xdr:rowOff>0</xdr:rowOff>
                  </to>
                </anchor>
              </controlPr>
            </control>
          </mc:Choice>
        </mc:AlternateContent>
        <mc:AlternateContent xmlns:mc="http://schemas.openxmlformats.org/markup-compatibility/2006">
          <mc:Choice Requires="x14">
            <control shapeId="39567" r:id="rId39" name="Check Box 2703">
              <controlPr defaultSize="0" autoFill="0" autoLine="0" autoPict="0">
                <anchor moveWithCells="1">
                  <from>
                    <xdr:col>73</xdr:col>
                    <xdr:colOff>47625</xdr:colOff>
                    <xdr:row>12</xdr:row>
                    <xdr:rowOff>19050</xdr:rowOff>
                  </from>
                  <to>
                    <xdr:col>73</xdr:col>
                    <xdr:colOff>381000</xdr:colOff>
                    <xdr:row>13</xdr:row>
                    <xdr:rowOff>0</xdr:rowOff>
                  </to>
                </anchor>
              </controlPr>
            </control>
          </mc:Choice>
        </mc:AlternateContent>
        <mc:AlternateContent xmlns:mc="http://schemas.openxmlformats.org/markup-compatibility/2006">
          <mc:Choice Requires="x14">
            <control shapeId="39568" r:id="rId40" name="Check Box 2704">
              <controlPr defaultSize="0" autoFill="0" autoLine="0" autoPict="0">
                <anchor moveWithCells="1">
                  <from>
                    <xdr:col>73</xdr:col>
                    <xdr:colOff>47625</xdr:colOff>
                    <xdr:row>13</xdr:row>
                    <xdr:rowOff>19050</xdr:rowOff>
                  </from>
                  <to>
                    <xdr:col>73</xdr:col>
                    <xdr:colOff>381000</xdr:colOff>
                    <xdr:row>14</xdr:row>
                    <xdr:rowOff>0</xdr:rowOff>
                  </to>
                </anchor>
              </controlPr>
            </control>
          </mc:Choice>
        </mc:AlternateContent>
        <mc:AlternateContent xmlns:mc="http://schemas.openxmlformats.org/markup-compatibility/2006">
          <mc:Choice Requires="x14">
            <control shapeId="39569" r:id="rId41" name="Check Box 2705">
              <controlPr defaultSize="0" autoFill="0" autoLine="0" autoPict="0">
                <anchor moveWithCells="1">
                  <from>
                    <xdr:col>72</xdr:col>
                    <xdr:colOff>47625</xdr:colOff>
                    <xdr:row>13</xdr:row>
                    <xdr:rowOff>19050</xdr:rowOff>
                  </from>
                  <to>
                    <xdr:col>72</xdr:col>
                    <xdr:colOff>381000</xdr:colOff>
                    <xdr:row>14</xdr:row>
                    <xdr:rowOff>0</xdr:rowOff>
                  </to>
                </anchor>
              </controlPr>
            </control>
          </mc:Choice>
        </mc:AlternateContent>
        <mc:AlternateContent xmlns:mc="http://schemas.openxmlformats.org/markup-compatibility/2006">
          <mc:Choice Requires="x14">
            <control shapeId="39570" r:id="rId42" name="Check Box 2706">
              <controlPr defaultSize="0" autoFill="0" autoLine="0" autoPict="0">
                <anchor moveWithCells="1">
                  <from>
                    <xdr:col>73</xdr:col>
                    <xdr:colOff>47625</xdr:colOff>
                    <xdr:row>13</xdr:row>
                    <xdr:rowOff>19050</xdr:rowOff>
                  </from>
                  <to>
                    <xdr:col>73</xdr:col>
                    <xdr:colOff>381000</xdr:colOff>
                    <xdr:row>14</xdr:row>
                    <xdr:rowOff>0</xdr:rowOff>
                  </to>
                </anchor>
              </controlPr>
            </control>
          </mc:Choice>
        </mc:AlternateContent>
        <mc:AlternateContent xmlns:mc="http://schemas.openxmlformats.org/markup-compatibility/2006">
          <mc:Choice Requires="x14">
            <control shapeId="39571" r:id="rId43" name="Check Box 2707">
              <controlPr defaultSize="0" autoFill="0" autoLine="0" autoPict="0">
                <anchor moveWithCells="1">
                  <from>
                    <xdr:col>72</xdr:col>
                    <xdr:colOff>47625</xdr:colOff>
                    <xdr:row>9</xdr:row>
                    <xdr:rowOff>19050</xdr:rowOff>
                  </from>
                  <to>
                    <xdr:col>72</xdr:col>
                    <xdr:colOff>361950</xdr:colOff>
                    <xdr:row>10</xdr:row>
                    <xdr:rowOff>0</xdr:rowOff>
                  </to>
                </anchor>
              </controlPr>
            </control>
          </mc:Choice>
        </mc:AlternateContent>
        <mc:AlternateContent xmlns:mc="http://schemas.openxmlformats.org/markup-compatibility/2006">
          <mc:Choice Requires="x14">
            <control shapeId="39572" r:id="rId44" name="Check Box 2708">
              <controlPr defaultSize="0" autoFill="0" autoLine="0" autoPict="0">
                <anchor moveWithCells="1">
                  <from>
                    <xdr:col>73</xdr:col>
                    <xdr:colOff>47625</xdr:colOff>
                    <xdr:row>9</xdr:row>
                    <xdr:rowOff>19050</xdr:rowOff>
                  </from>
                  <to>
                    <xdr:col>73</xdr:col>
                    <xdr:colOff>361950</xdr:colOff>
                    <xdr:row>10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sheetPr>
  <dimension ref="A1:BG127"/>
  <sheetViews>
    <sheetView showZeros="0" view="pageBreakPreview" zoomScale="60" zoomScaleNormal="78" workbookViewId="0">
      <selection activeCell="R4" sqref="R4:T4"/>
    </sheetView>
  </sheetViews>
  <sheetFormatPr defaultRowHeight="13.5"/>
  <cols>
    <col min="1" max="21" width="3.625" customWidth="1"/>
    <col min="22" max="22" width="5.625" customWidth="1"/>
    <col min="23" max="23" width="3.625" customWidth="1"/>
    <col min="24" max="24" width="5.625" customWidth="1"/>
    <col min="25" max="52" width="3.625" customWidth="1"/>
  </cols>
  <sheetData>
    <row r="1" spans="1:59" ht="14.25" customHeight="1">
      <c r="A1" s="2351"/>
      <c r="B1" s="2352"/>
      <c r="C1" s="2352"/>
      <c r="D1" s="2352"/>
      <c r="E1" s="2352"/>
      <c r="F1" s="2352"/>
      <c r="G1" s="2352"/>
      <c r="H1" s="2352"/>
      <c r="I1" s="2352"/>
      <c r="J1" s="2352"/>
      <c r="K1" s="2352"/>
      <c r="L1" s="2352"/>
      <c r="M1" s="2352"/>
      <c r="N1" s="2352"/>
      <c r="O1" s="2352"/>
      <c r="P1" s="2352"/>
      <c r="Q1" s="2352"/>
      <c r="R1" s="2352"/>
      <c r="S1" s="2352"/>
      <c r="T1" s="2352"/>
      <c r="U1" s="2352"/>
      <c r="V1" s="2352"/>
      <c r="W1" s="2352"/>
      <c r="X1" s="2352"/>
      <c r="Y1" s="2352"/>
      <c r="Z1" s="2353"/>
      <c r="AA1" s="2354"/>
      <c r="AB1" s="2355"/>
      <c r="AC1" s="2355"/>
      <c r="AD1" s="2355"/>
      <c r="AE1" s="2355"/>
      <c r="AF1" s="2355"/>
      <c r="AG1" s="2355"/>
      <c r="AH1" s="2355"/>
      <c r="AI1" s="2355"/>
      <c r="AJ1" s="2355"/>
      <c r="AK1" s="2355"/>
      <c r="AL1" s="2355"/>
      <c r="AM1" s="2355"/>
      <c r="AN1" s="2355"/>
      <c r="AO1" s="2355"/>
      <c r="AP1" s="2355"/>
      <c r="AQ1" s="2355"/>
      <c r="AR1" s="2355"/>
      <c r="AS1" s="2355"/>
      <c r="AT1" s="2355"/>
      <c r="AU1" s="2355"/>
      <c r="AV1" s="2355"/>
      <c r="AW1" s="2355"/>
      <c r="AX1" s="2355"/>
      <c r="AY1" s="2355"/>
      <c r="AZ1" s="2356"/>
    </row>
    <row r="2" spans="1:59" ht="23.25">
      <c r="A2" s="2357" t="s">
        <v>178</v>
      </c>
      <c r="B2" s="2358"/>
      <c r="C2" s="2358"/>
      <c r="D2" s="2358"/>
      <c r="E2" s="2358"/>
      <c r="F2" s="2358"/>
      <c r="G2" s="2358"/>
      <c r="H2" s="2358"/>
      <c r="I2" s="2358"/>
      <c r="J2" s="2358"/>
      <c r="K2" s="2358"/>
      <c r="L2" s="2358"/>
      <c r="M2" s="2358"/>
      <c r="N2" s="2358"/>
      <c r="O2" s="2358"/>
      <c r="P2" s="2358"/>
      <c r="Q2" s="2358"/>
      <c r="R2" s="2358"/>
      <c r="S2" s="2358"/>
      <c r="T2" s="2358"/>
      <c r="U2" s="2358"/>
      <c r="V2" s="2358"/>
      <c r="W2" s="2358"/>
      <c r="X2" s="2358"/>
      <c r="Y2" s="2358"/>
      <c r="Z2" s="2359"/>
      <c r="AA2" s="2357" t="s">
        <v>178</v>
      </c>
      <c r="AB2" s="2358"/>
      <c r="AC2" s="2358"/>
      <c r="AD2" s="2358"/>
      <c r="AE2" s="2358"/>
      <c r="AF2" s="2358"/>
      <c r="AG2" s="2358"/>
      <c r="AH2" s="2358"/>
      <c r="AI2" s="2358"/>
      <c r="AJ2" s="2358"/>
      <c r="AK2" s="2358"/>
      <c r="AL2" s="2358"/>
      <c r="AM2" s="2358"/>
      <c r="AN2" s="2358"/>
      <c r="AO2" s="2358"/>
      <c r="AP2" s="2358"/>
      <c r="AQ2" s="2358"/>
      <c r="AR2" s="2358"/>
      <c r="AS2" s="2358"/>
      <c r="AT2" s="2358"/>
      <c r="AU2" s="2358"/>
      <c r="AV2" s="2358"/>
      <c r="AW2" s="2358"/>
      <c r="AX2" s="2358"/>
      <c r="AY2" s="2358"/>
      <c r="AZ2" s="2359"/>
      <c r="BB2" s="27" t="s">
        <v>3020</v>
      </c>
      <c r="BC2" s="27">
        <v>1</v>
      </c>
      <c r="BD2" s="27"/>
      <c r="BE2" s="2349" t="s">
        <v>1722</v>
      </c>
      <c r="BF2" s="2349"/>
      <c r="BG2" s="27"/>
    </row>
    <row r="3" spans="1:59" ht="14.25" customHeight="1">
      <c r="A3" s="2360"/>
      <c r="B3" s="2361"/>
      <c r="C3" s="2361"/>
      <c r="D3" s="2361"/>
      <c r="E3" s="2361"/>
      <c r="F3" s="2361"/>
      <c r="G3" s="2361"/>
      <c r="H3" s="2361"/>
      <c r="I3" s="2361"/>
      <c r="J3" s="2361"/>
      <c r="K3" s="2361"/>
      <c r="L3" s="2361"/>
      <c r="M3" s="2361"/>
      <c r="N3" s="2361"/>
      <c r="O3" s="2361"/>
      <c r="P3" s="2361"/>
      <c r="Q3" s="2361"/>
      <c r="R3" s="2361"/>
      <c r="S3" s="2361"/>
      <c r="T3" s="2361"/>
      <c r="U3" s="2361"/>
      <c r="V3" s="2361"/>
      <c r="W3" s="2361"/>
      <c r="X3" s="2361"/>
      <c r="Y3" s="2361"/>
      <c r="Z3" s="2362"/>
      <c r="AA3" s="2360"/>
      <c r="AB3" s="2361"/>
      <c r="AC3" s="2361"/>
      <c r="AD3" s="2361"/>
      <c r="AE3" s="2361"/>
      <c r="AF3" s="2361"/>
      <c r="AG3" s="2361"/>
      <c r="AH3" s="2361"/>
      <c r="AI3" s="2361"/>
      <c r="AJ3" s="2361"/>
      <c r="AK3" s="2361"/>
      <c r="AL3" s="2361"/>
      <c r="AM3" s="2361"/>
      <c r="AN3" s="2361"/>
      <c r="AO3" s="2361"/>
      <c r="AP3" s="2361"/>
      <c r="AQ3" s="2361"/>
      <c r="AR3" s="2361"/>
      <c r="AS3" s="2361"/>
      <c r="AT3" s="2361"/>
      <c r="AU3" s="2361"/>
      <c r="AV3" s="2361"/>
      <c r="AW3" s="2361"/>
      <c r="AX3" s="2361"/>
      <c r="AY3" s="2361"/>
      <c r="AZ3" s="2362"/>
      <c r="BB3" s="27" t="s">
        <v>2981</v>
      </c>
      <c r="BC3" s="27">
        <v>2</v>
      </c>
      <c r="BD3" s="27"/>
      <c r="BE3" s="495" t="s">
        <v>1716</v>
      </c>
      <c r="BF3" s="496" t="str">
        <f>IF(COUNTIF(L39:P50,"*準*"),"●","")</f>
        <v/>
      </c>
      <c r="BG3" s="27"/>
    </row>
    <row r="4" spans="1:59" ht="28.5" customHeight="1">
      <c r="A4" s="348"/>
      <c r="B4" s="349"/>
      <c r="C4" s="349"/>
      <c r="D4" s="349"/>
      <c r="E4" s="349"/>
      <c r="F4" s="349"/>
      <c r="G4" s="349"/>
      <c r="H4" s="349"/>
      <c r="I4" s="349"/>
      <c r="J4" s="349"/>
      <c r="K4" s="349"/>
      <c r="L4" s="349"/>
      <c r="M4" s="349"/>
      <c r="N4" s="349"/>
      <c r="O4" s="349"/>
      <c r="P4" s="349"/>
      <c r="Q4" s="349"/>
      <c r="R4" s="2368"/>
      <c r="S4" s="2368"/>
      <c r="T4" s="2368"/>
      <c r="U4" s="350" t="s">
        <v>14</v>
      </c>
      <c r="V4" s="447"/>
      <c r="W4" s="350" t="s">
        <v>13</v>
      </c>
      <c r="X4" s="447"/>
      <c r="Y4" s="350" t="s">
        <v>104</v>
      </c>
      <c r="Z4" s="351"/>
      <c r="AA4" s="2366" t="s">
        <v>2981</v>
      </c>
      <c r="AB4" s="2367"/>
      <c r="AC4" s="2367"/>
      <c r="AD4" s="2367"/>
      <c r="AE4" s="2367"/>
      <c r="AF4" s="2367"/>
      <c r="AG4" s="2367"/>
      <c r="AH4" s="2367"/>
      <c r="AI4" s="2367"/>
      <c r="AJ4" s="2367"/>
      <c r="AK4" s="2367"/>
      <c r="AL4" s="2367"/>
      <c r="AM4" s="2367"/>
      <c r="AN4" s="2367"/>
      <c r="AO4" s="2367"/>
      <c r="AP4" s="2367"/>
      <c r="AQ4" s="2367"/>
      <c r="AR4" s="2367"/>
      <c r="AS4" s="2367"/>
      <c r="AT4" s="2367"/>
      <c r="AU4" s="350" t="s">
        <v>14</v>
      </c>
      <c r="AV4" s="402">
        <v>9</v>
      </c>
      <c r="AW4" s="350" t="s">
        <v>13</v>
      </c>
      <c r="AX4" s="402">
        <v>8</v>
      </c>
      <c r="AY4" s="350" t="s">
        <v>104</v>
      </c>
      <c r="AZ4" s="351"/>
      <c r="BB4" s="27" t="s">
        <v>3018</v>
      </c>
      <c r="BC4" s="27">
        <v>3</v>
      </c>
      <c r="BD4" s="27"/>
      <c r="BE4" s="495" t="s">
        <v>1717</v>
      </c>
      <c r="BF4" s="496" t="str">
        <f>IF(COUNTIF(L39:P50,"*特*"),"●","")</f>
        <v/>
      </c>
      <c r="BG4" s="27"/>
    </row>
    <row r="5" spans="1:59" ht="14.25" customHeight="1">
      <c r="A5" s="2360"/>
      <c r="B5" s="2361"/>
      <c r="C5" s="2361"/>
      <c r="D5" s="2361"/>
      <c r="E5" s="2361"/>
      <c r="F5" s="2361"/>
      <c r="G5" s="2361"/>
      <c r="H5" s="2361"/>
      <c r="I5" s="2361"/>
      <c r="J5" s="2361"/>
      <c r="K5" s="2361"/>
      <c r="L5" s="2361"/>
      <c r="M5" s="2361"/>
      <c r="N5" s="2361"/>
      <c r="O5" s="2361"/>
      <c r="P5" s="2361"/>
      <c r="Q5" s="2361"/>
      <c r="R5" s="2361"/>
      <c r="S5" s="2361"/>
      <c r="T5" s="2361"/>
      <c r="U5" s="2361"/>
      <c r="V5" s="2361"/>
      <c r="W5" s="2361"/>
      <c r="X5" s="2361"/>
      <c r="Y5" s="2361"/>
      <c r="Z5" s="2362"/>
      <c r="AA5" s="2360"/>
      <c r="AB5" s="2361"/>
      <c r="AC5" s="2361"/>
      <c r="AD5" s="2361"/>
      <c r="AE5" s="2361"/>
      <c r="AF5" s="2361"/>
      <c r="AG5" s="2361"/>
      <c r="AH5" s="2361"/>
      <c r="AI5" s="2361"/>
      <c r="AJ5" s="2361"/>
      <c r="AK5" s="2361"/>
      <c r="AL5" s="2361"/>
      <c r="AM5" s="2361"/>
      <c r="AN5" s="2361"/>
      <c r="AO5" s="2361"/>
      <c r="AP5" s="2361"/>
      <c r="AQ5" s="2361"/>
      <c r="AR5" s="2361"/>
      <c r="AS5" s="2361"/>
      <c r="AT5" s="2361"/>
      <c r="AU5" s="2361"/>
      <c r="AV5" s="2361"/>
      <c r="AW5" s="2361"/>
      <c r="AX5" s="2361"/>
      <c r="AY5" s="2361"/>
      <c r="AZ5" s="2362"/>
      <c r="BB5" s="27"/>
      <c r="BC5" s="27">
        <v>4</v>
      </c>
      <c r="BD5" s="27"/>
      <c r="BE5" s="495" t="s">
        <v>1718</v>
      </c>
      <c r="BF5" s="496" t="str">
        <f>IF(COUNTIF(L39:P50,"*身*"),"●","")</f>
        <v/>
      </c>
      <c r="BG5" s="27"/>
    </row>
    <row r="6" spans="1:59" ht="14.25" customHeight="1">
      <c r="A6" s="2363" t="s">
        <v>179</v>
      </c>
      <c r="B6" s="2364"/>
      <c r="C6" s="2364"/>
      <c r="D6" s="2364"/>
      <c r="E6" s="2364"/>
      <c r="F6" s="2364"/>
      <c r="G6" s="2364"/>
      <c r="H6" s="2364"/>
      <c r="I6" s="2364"/>
      <c r="J6" s="2364"/>
      <c r="K6" s="2364"/>
      <c r="L6" s="2364"/>
      <c r="M6" s="2364"/>
      <c r="N6" s="2364"/>
      <c r="O6" s="2364"/>
      <c r="P6" s="2364"/>
      <c r="Q6" s="2364"/>
      <c r="R6" s="2364"/>
      <c r="S6" s="2364"/>
      <c r="T6" s="2364"/>
      <c r="U6" s="2364"/>
      <c r="V6" s="2364"/>
      <c r="W6" s="2364"/>
      <c r="X6" s="2364"/>
      <c r="Y6" s="2364"/>
      <c r="Z6" s="2365"/>
      <c r="AA6" s="2363" t="s">
        <v>179</v>
      </c>
      <c r="AB6" s="2364"/>
      <c r="AC6" s="2364"/>
      <c r="AD6" s="2364"/>
      <c r="AE6" s="2364"/>
      <c r="AF6" s="2364"/>
      <c r="AG6" s="2364"/>
      <c r="AH6" s="2364"/>
      <c r="AI6" s="2364"/>
      <c r="AJ6" s="2364"/>
      <c r="AK6" s="2364"/>
      <c r="AL6" s="2364"/>
      <c r="AM6" s="2364"/>
      <c r="AN6" s="2364"/>
      <c r="AO6" s="2364"/>
      <c r="AP6" s="2364"/>
      <c r="AQ6" s="2364"/>
      <c r="AR6" s="2364"/>
      <c r="AS6" s="2364"/>
      <c r="AT6" s="2364"/>
      <c r="AU6" s="2364"/>
      <c r="AV6" s="2364"/>
      <c r="AW6" s="2364"/>
      <c r="AX6" s="2364"/>
      <c r="AY6" s="2364"/>
      <c r="AZ6" s="2365"/>
      <c r="BB6" s="27"/>
      <c r="BC6" s="27">
        <v>5</v>
      </c>
      <c r="BD6" s="27"/>
      <c r="BE6" s="495" t="s">
        <v>1719</v>
      </c>
      <c r="BF6" s="496" t="str">
        <f>IF(COUNTIF(L39:P50,"*療*"),"●","")</f>
        <v/>
      </c>
      <c r="BG6" s="27"/>
    </row>
    <row r="7" spans="1:59" ht="14.25" customHeight="1">
      <c r="A7" s="2363" t="s">
        <v>180</v>
      </c>
      <c r="B7" s="2364"/>
      <c r="C7" s="2364"/>
      <c r="D7" s="2364"/>
      <c r="E7" s="2364"/>
      <c r="F7" s="2364"/>
      <c r="G7" s="2364"/>
      <c r="H7" s="2364"/>
      <c r="I7" s="2364"/>
      <c r="J7" s="2364"/>
      <c r="K7" s="2364"/>
      <c r="L7" s="2364"/>
      <c r="M7" s="2364"/>
      <c r="N7" s="2364"/>
      <c r="O7" s="2364"/>
      <c r="P7" s="2364"/>
      <c r="Q7" s="2364"/>
      <c r="R7" s="2364"/>
      <c r="S7" s="2364"/>
      <c r="T7" s="2364"/>
      <c r="U7" s="2364"/>
      <c r="V7" s="2364"/>
      <c r="W7" s="2364"/>
      <c r="X7" s="2364"/>
      <c r="Y7" s="2364"/>
      <c r="Z7" s="2365"/>
      <c r="AA7" s="2363" t="s">
        <v>180</v>
      </c>
      <c r="AB7" s="2364"/>
      <c r="AC7" s="2364"/>
      <c r="AD7" s="2364"/>
      <c r="AE7" s="2364"/>
      <c r="AF7" s="2364"/>
      <c r="AG7" s="2364"/>
      <c r="AH7" s="2364"/>
      <c r="AI7" s="2364"/>
      <c r="AJ7" s="2364"/>
      <c r="AK7" s="2364"/>
      <c r="AL7" s="2364"/>
      <c r="AM7" s="2364"/>
      <c r="AN7" s="2364"/>
      <c r="AO7" s="2364"/>
      <c r="AP7" s="2364"/>
      <c r="AQ7" s="2364"/>
      <c r="AR7" s="2364"/>
      <c r="AS7" s="2364"/>
      <c r="AT7" s="2364"/>
      <c r="AU7" s="2364"/>
      <c r="AV7" s="2364"/>
      <c r="AW7" s="2364"/>
      <c r="AX7" s="2364"/>
      <c r="AY7" s="2364"/>
      <c r="AZ7" s="2365"/>
      <c r="BB7" s="27"/>
      <c r="BC7" s="27">
        <v>6</v>
      </c>
      <c r="BD7" s="27"/>
      <c r="BE7" s="495" t="s">
        <v>1720</v>
      </c>
      <c r="BF7" s="496" t="str">
        <f>IF(COUNTIF(L39:P50,"*精*"),"●","")</f>
        <v/>
      </c>
      <c r="BG7" s="27"/>
    </row>
    <row r="8" spans="1:59" ht="14.25" customHeight="1">
      <c r="A8" s="2363" t="s">
        <v>181</v>
      </c>
      <c r="B8" s="2364"/>
      <c r="C8" s="2364"/>
      <c r="D8" s="2364"/>
      <c r="E8" s="2364"/>
      <c r="F8" s="2364"/>
      <c r="G8" s="2364"/>
      <c r="H8" s="2364"/>
      <c r="I8" s="2364"/>
      <c r="J8" s="2364"/>
      <c r="K8" s="2364"/>
      <c r="L8" s="2364"/>
      <c r="M8" s="2364"/>
      <c r="N8" s="2364"/>
      <c r="O8" s="2364"/>
      <c r="P8" s="2364"/>
      <c r="Q8" s="2364"/>
      <c r="R8" s="2364"/>
      <c r="S8" s="2364"/>
      <c r="T8" s="2364"/>
      <c r="U8" s="2364"/>
      <c r="V8" s="2364"/>
      <c r="W8" s="2364"/>
      <c r="X8" s="2364"/>
      <c r="Y8" s="2364"/>
      <c r="Z8" s="2365"/>
      <c r="AA8" s="2363" t="s">
        <v>181</v>
      </c>
      <c r="AB8" s="2364"/>
      <c r="AC8" s="2364"/>
      <c r="AD8" s="2364"/>
      <c r="AE8" s="2364"/>
      <c r="AF8" s="2364"/>
      <c r="AG8" s="2364"/>
      <c r="AH8" s="2364"/>
      <c r="AI8" s="2364"/>
      <c r="AJ8" s="2364"/>
      <c r="AK8" s="2364"/>
      <c r="AL8" s="2364"/>
      <c r="AM8" s="2364"/>
      <c r="AN8" s="2364"/>
      <c r="AO8" s="2364"/>
      <c r="AP8" s="2364"/>
      <c r="AQ8" s="2364"/>
      <c r="AR8" s="2364"/>
      <c r="AS8" s="2364"/>
      <c r="AT8" s="2364"/>
      <c r="AU8" s="2364"/>
      <c r="AV8" s="2364"/>
      <c r="AW8" s="2364"/>
      <c r="AX8" s="2364"/>
      <c r="AY8" s="2364"/>
      <c r="AZ8" s="2365"/>
      <c r="BB8" s="27"/>
      <c r="BC8" s="27">
        <v>7</v>
      </c>
      <c r="BD8" s="27"/>
      <c r="BE8" s="495" t="s">
        <v>1721</v>
      </c>
      <c r="BF8" s="496" t="str">
        <f>IF(COUNTIF(L39:P50,"*介添*"),"●","")</f>
        <v/>
      </c>
      <c r="BG8" s="27"/>
    </row>
    <row r="9" spans="1:59" ht="14.25" customHeight="1">
      <c r="A9" s="2363" t="s">
        <v>340</v>
      </c>
      <c r="B9" s="2364"/>
      <c r="C9" s="2364"/>
      <c r="D9" s="2364"/>
      <c r="E9" s="2364"/>
      <c r="F9" s="2364"/>
      <c r="G9" s="2364"/>
      <c r="H9" s="2364"/>
      <c r="I9" s="2364"/>
      <c r="J9" s="2364"/>
      <c r="K9" s="2364"/>
      <c r="L9" s="2364"/>
      <c r="M9" s="2364"/>
      <c r="N9" s="2364"/>
      <c r="O9" s="2364"/>
      <c r="P9" s="2364"/>
      <c r="Q9" s="2364"/>
      <c r="R9" s="2364"/>
      <c r="S9" s="2364"/>
      <c r="T9" s="2364"/>
      <c r="U9" s="2364"/>
      <c r="V9" s="2364"/>
      <c r="W9" s="2364"/>
      <c r="X9" s="2364"/>
      <c r="Y9" s="2364"/>
      <c r="Z9" s="2365"/>
      <c r="AA9" s="2363" t="s">
        <v>182</v>
      </c>
      <c r="AB9" s="2364"/>
      <c r="AC9" s="2364"/>
      <c r="AD9" s="2364"/>
      <c r="AE9" s="2364"/>
      <c r="AF9" s="2364"/>
      <c r="AG9" s="2364"/>
      <c r="AH9" s="2364"/>
      <c r="AI9" s="2364"/>
      <c r="AJ9" s="2364"/>
      <c r="AK9" s="2364"/>
      <c r="AL9" s="2364"/>
      <c r="AM9" s="2364"/>
      <c r="AN9" s="2364"/>
      <c r="AO9" s="2364"/>
      <c r="AP9" s="2364"/>
      <c r="AQ9" s="2364"/>
      <c r="AR9" s="2364"/>
      <c r="AS9" s="2364"/>
      <c r="AT9" s="2364"/>
      <c r="AU9" s="2364"/>
      <c r="AV9" s="2364"/>
      <c r="AW9" s="2364"/>
      <c r="AX9" s="2364"/>
      <c r="AY9" s="2364"/>
      <c r="AZ9" s="2365"/>
      <c r="BB9" s="27"/>
      <c r="BC9" s="27">
        <v>8</v>
      </c>
      <c r="BD9" s="27"/>
      <c r="BE9" s="27"/>
      <c r="BF9" s="27"/>
      <c r="BG9" s="27"/>
    </row>
    <row r="10" spans="1:59" ht="14.25" customHeight="1">
      <c r="A10" s="2363"/>
      <c r="B10" s="2364"/>
      <c r="C10" s="2364"/>
      <c r="D10" s="2364"/>
      <c r="E10" s="2364"/>
      <c r="F10" s="2364"/>
      <c r="G10" s="2364"/>
      <c r="H10" s="2364"/>
      <c r="I10" s="2364"/>
      <c r="J10" s="2364"/>
      <c r="K10" s="2364"/>
      <c r="L10" s="2364"/>
      <c r="M10" s="2364"/>
      <c r="N10" s="2364"/>
      <c r="O10" s="2364"/>
      <c r="P10" s="2364"/>
      <c r="Q10" s="2364"/>
      <c r="R10" s="2364"/>
      <c r="S10" s="2364"/>
      <c r="T10" s="2364"/>
      <c r="U10" s="2364"/>
      <c r="V10" s="2364"/>
      <c r="W10" s="2364"/>
      <c r="X10" s="2364"/>
      <c r="Y10" s="2364"/>
      <c r="Z10" s="2365"/>
      <c r="AA10" s="2363"/>
      <c r="AB10" s="2364"/>
      <c r="AC10" s="2364"/>
      <c r="AD10" s="2364"/>
      <c r="AE10" s="2364"/>
      <c r="AF10" s="2364"/>
      <c r="AG10" s="2364"/>
      <c r="AH10" s="2364"/>
      <c r="AI10" s="2364"/>
      <c r="AJ10" s="2364"/>
      <c r="AK10" s="2364"/>
      <c r="AL10" s="2364"/>
      <c r="AM10" s="2364"/>
      <c r="AN10" s="2364"/>
      <c r="AO10" s="2364"/>
      <c r="AP10" s="2364"/>
      <c r="AQ10" s="2364"/>
      <c r="AR10" s="2364"/>
      <c r="AS10" s="2364"/>
      <c r="AT10" s="2364"/>
      <c r="AU10" s="2364"/>
      <c r="AV10" s="2364"/>
      <c r="AW10" s="2364"/>
      <c r="AX10" s="2364"/>
      <c r="AY10" s="2364"/>
      <c r="AZ10" s="2365"/>
      <c r="BB10" s="27"/>
      <c r="BC10" s="27">
        <v>9</v>
      </c>
      <c r="BD10" s="27"/>
      <c r="BE10" s="27"/>
      <c r="BF10" s="27"/>
      <c r="BG10" s="27"/>
    </row>
    <row r="11" spans="1:59" ht="28.5" customHeight="1">
      <c r="A11" s="348"/>
      <c r="B11" s="349"/>
      <c r="C11" s="349"/>
      <c r="D11" s="349"/>
      <c r="E11" s="349"/>
      <c r="F11" s="153"/>
      <c r="G11" s="153"/>
      <c r="H11" s="153"/>
      <c r="I11" s="153"/>
      <c r="J11" s="153"/>
      <c r="K11" s="2361" t="s">
        <v>105</v>
      </c>
      <c r="L11" s="2361"/>
      <c r="M11" s="2361"/>
      <c r="N11" s="2372" t="str">
        <f>CONCATENATE('01 使用承認申請書'!D4)</f>
        <v/>
      </c>
      <c r="O11" s="2372"/>
      <c r="P11" s="2372"/>
      <c r="Q11" s="2372"/>
      <c r="R11" s="2372"/>
      <c r="S11" s="2372"/>
      <c r="T11" s="2372"/>
      <c r="U11" s="2372"/>
      <c r="V11" s="2372"/>
      <c r="W11" s="2372"/>
      <c r="X11" s="2372"/>
      <c r="Y11" s="2372"/>
      <c r="Z11" s="2373"/>
      <c r="AA11" s="2360"/>
      <c r="AB11" s="2361"/>
      <c r="AC11" s="2361"/>
      <c r="AD11" s="2361"/>
      <c r="AE11" s="2361"/>
      <c r="AF11" s="2361"/>
      <c r="AG11" s="2361"/>
      <c r="AH11" s="2361"/>
      <c r="AI11" s="2361"/>
      <c r="AJ11" s="2361"/>
      <c r="AK11" s="2361"/>
      <c r="AL11" s="2361"/>
      <c r="AM11" s="2361" t="s">
        <v>105</v>
      </c>
      <c r="AN11" s="2361"/>
      <c r="AO11" s="2361"/>
      <c r="AP11" s="2369" t="s">
        <v>227</v>
      </c>
      <c r="AQ11" s="2370"/>
      <c r="AR11" s="2370"/>
      <c r="AS11" s="2370"/>
      <c r="AT11" s="2370"/>
      <c r="AU11" s="2370"/>
      <c r="AV11" s="2370"/>
      <c r="AW11" s="2370"/>
      <c r="AX11" s="2370"/>
      <c r="AY11" s="2370"/>
      <c r="AZ11" s="2371"/>
      <c r="BB11" s="27"/>
      <c r="BC11" s="27">
        <v>10</v>
      </c>
      <c r="BD11" s="27"/>
      <c r="BE11" s="27"/>
      <c r="BF11" s="27"/>
      <c r="BG11" s="27"/>
    </row>
    <row r="12" spans="1:59" ht="28.5" customHeight="1">
      <c r="A12" s="348"/>
      <c r="B12" s="349"/>
      <c r="C12" s="349"/>
      <c r="D12" s="349"/>
      <c r="E12" s="349"/>
      <c r="F12" s="153"/>
      <c r="G12" s="153"/>
      <c r="H12" s="153"/>
      <c r="I12" s="153"/>
      <c r="J12" s="153"/>
      <c r="K12" s="2361" t="s">
        <v>2726</v>
      </c>
      <c r="L12" s="2361"/>
      <c r="M12" s="2361"/>
      <c r="N12" s="2372" t="str">
        <f>CONCATENATE('01 使用承認申請書'!S6)</f>
        <v/>
      </c>
      <c r="O12" s="2372"/>
      <c r="P12" s="2372"/>
      <c r="Q12" s="2372"/>
      <c r="R12" s="2372"/>
      <c r="S12" s="2372"/>
      <c r="T12" s="2372"/>
      <c r="U12" s="2372"/>
      <c r="V12" s="2372"/>
      <c r="W12" s="2372"/>
      <c r="X12" s="2372"/>
      <c r="Y12" s="2372"/>
      <c r="Z12" s="2373"/>
      <c r="AA12" s="2360"/>
      <c r="AB12" s="2361"/>
      <c r="AC12" s="2361"/>
      <c r="AD12" s="2361"/>
      <c r="AE12" s="2361"/>
      <c r="AF12" s="2361"/>
      <c r="AG12" s="2361"/>
      <c r="AH12" s="2361"/>
      <c r="AI12" s="2361"/>
      <c r="AJ12" s="2361"/>
      <c r="AK12" s="2361"/>
      <c r="AL12" s="2361"/>
      <c r="AM12" s="2361" t="s">
        <v>2726</v>
      </c>
      <c r="AN12" s="2361"/>
      <c r="AO12" s="2361"/>
      <c r="AP12" s="2369" t="s">
        <v>106</v>
      </c>
      <c r="AQ12" s="2369"/>
      <c r="AR12" s="2369"/>
      <c r="AS12" s="2369"/>
      <c r="AT12" s="2369"/>
      <c r="AU12" s="2369"/>
      <c r="AV12" s="2369"/>
      <c r="AW12" s="2369"/>
      <c r="AX12" s="2369"/>
      <c r="AY12" s="2369"/>
      <c r="AZ12" s="2374"/>
      <c r="BB12" s="27"/>
      <c r="BC12" s="27">
        <v>11</v>
      </c>
      <c r="BD12" s="27"/>
      <c r="BE12" s="27"/>
      <c r="BF12" s="27"/>
      <c r="BG12" s="27"/>
    </row>
    <row r="13" spans="1:59" ht="28.5" customHeight="1">
      <c r="A13" s="348"/>
      <c r="B13" s="349"/>
      <c r="C13" s="349"/>
      <c r="D13" s="349"/>
      <c r="E13" s="349"/>
      <c r="F13" s="153"/>
      <c r="G13" s="153"/>
      <c r="H13" s="153"/>
      <c r="I13" s="153"/>
      <c r="J13" s="153"/>
      <c r="K13" s="2361" t="s">
        <v>185</v>
      </c>
      <c r="L13" s="2361"/>
      <c r="M13" s="2361"/>
      <c r="N13" s="2372" t="str">
        <f>'01 使用承認申請書'!$E$8&amp;'01 使用承認申請書'!$R$8</f>
        <v/>
      </c>
      <c r="O13" s="2372"/>
      <c r="P13" s="2372"/>
      <c r="Q13" s="2372"/>
      <c r="R13" s="2372"/>
      <c r="S13" s="2372"/>
      <c r="T13" s="2372"/>
      <c r="U13" s="2372"/>
      <c r="V13" s="2372"/>
      <c r="W13" s="2372"/>
      <c r="X13" s="2372"/>
      <c r="Y13" s="2372"/>
      <c r="Z13" s="2373"/>
      <c r="AA13" s="2360"/>
      <c r="AB13" s="2361"/>
      <c r="AC13" s="2361"/>
      <c r="AD13" s="2361"/>
      <c r="AE13" s="2361"/>
      <c r="AF13" s="2361"/>
      <c r="AG13" s="2361"/>
      <c r="AH13" s="2361"/>
      <c r="AI13" s="2361"/>
      <c r="AJ13" s="2361"/>
      <c r="AK13" s="2361"/>
      <c r="AL13" s="2361"/>
      <c r="AM13" s="2361" t="s">
        <v>185</v>
      </c>
      <c r="AN13" s="2361"/>
      <c r="AO13" s="2361"/>
      <c r="AP13" s="2369" t="s">
        <v>50</v>
      </c>
      <c r="AQ13" s="2369"/>
      <c r="AR13" s="2369"/>
      <c r="AS13" s="2369"/>
      <c r="AT13" s="2369"/>
      <c r="AU13" s="2369"/>
      <c r="AV13" s="2369"/>
      <c r="AW13" s="2369"/>
      <c r="AX13" s="2369"/>
      <c r="AY13" s="2369"/>
      <c r="AZ13" s="2374"/>
      <c r="BB13" s="27"/>
      <c r="BC13" s="27">
        <v>12</v>
      </c>
      <c r="BD13" s="27"/>
      <c r="BE13" s="27"/>
      <c r="BF13" s="27"/>
      <c r="BG13" s="27"/>
    </row>
    <row r="14" spans="1:59" ht="28.5" customHeight="1">
      <c r="A14" s="348"/>
      <c r="B14" s="349"/>
      <c r="C14" s="349"/>
      <c r="D14" s="349"/>
      <c r="E14" s="349"/>
      <c r="F14" s="153"/>
      <c r="G14" s="153"/>
      <c r="H14" s="153"/>
      <c r="I14" s="153"/>
      <c r="J14" s="153"/>
      <c r="K14" s="2361" t="s">
        <v>186</v>
      </c>
      <c r="L14" s="2361"/>
      <c r="M14" s="2361"/>
      <c r="N14" s="2375" t="str">
        <f>CONCATENATE('01 使用承認申請書'!D9)</f>
        <v/>
      </c>
      <c r="O14" s="2375"/>
      <c r="P14" s="2375"/>
      <c r="Q14" s="2375"/>
      <c r="R14" s="2375"/>
      <c r="S14" s="2375"/>
      <c r="T14" s="2375"/>
      <c r="U14" s="2375"/>
      <c r="V14" s="2375"/>
      <c r="W14" s="2375"/>
      <c r="X14" s="2375"/>
      <c r="Y14" s="2375"/>
      <c r="Z14" s="2376"/>
      <c r="AA14" s="2360"/>
      <c r="AB14" s="2361"/>
      <c r="AC14" s="2361"/>
      <c r="AD14" s="2361"/>
      <c r="AE14" s="2361"/>
      <c r="AF14" s="2361"/>
      <c r="AG14" s="2361"/>
      <c r="AH14" s="2361"/>
      <c r="AI14" s="2361"/>
      <c r="AJ14" s="2361"/>
      <c r="AK14" s="2361"/>
      <c r="AL14" s="2361"/>
      <c r="AM14" s="2361" t="s">
        <v>186</v>
      </c>
      <c r="AN14" s="2361"/>
      <c r="AO14" s="2361"/>
      <c r="AP14" s="2381" t="s">
        <v>2689</v>
      </c>
      <c r="AQ14" s="2381"/>
      <c r="AR14" s="2381"/>
      <c r="AS14" s="2381"/>
      <c r="AT14" s="2381"/>
      <c r="AU14" s="2381"/>
      <c r="AV14" s="2381"/>
      <c r="AW14" s="2381"/>
      <c r="AX14" s="2381"/>
      <c r="AY14" s="2381"/>
      <c r="AZ14" s="351"/>
      <c r="BB14" s="27"/>
      <c r="BC14" s="27">
        <v>13</v>
      </c>
      <c r="BD14" s="27"/>
      <c r="BE14" s="27"/>
      <c r="BF14" s="27"/>
      <c r="BG14" s="27"/>
    </row>
    <row r="15" spans="1:59" ht="14.25" customHeight="1">
      <c r="A15" s="2363"/>
      <c r="B15" s="2364"/>
      <c r="C15" s="2364"/>
      <c r="D15" s="2364"/>
      <c r="E15" s="2364"/>
      <c r="F15" s="2364"/>
      <c r="G15" s="2364"/>
      <c r="H15" s="2364"/>
      <c r="I15" s="2364"/>
      <c r="J15" s="2364"/>
      <c r="K15" s="2364"/>
      <c r="L15" s="2364"/>
      <c r="M15" s="2364"/>
      <c r="N15" s="2364"/>
      <c r="O15" s="2364"/>
      <c r="P15" s="2364"/>
      <c r="Q15" s="2364"/>
      <c r="R15" s="2364"/>
      <c r="S15" s="2364"/>
      <c r="T15" s="2364"/>
      <c r="U15" s="2364"/>
      <c r="V15" s="2364"/>
      <c r="W15" s="2364"/>
      <c r="X15" s="2364"/>
      <c r="Y15" s="2364"/>
      <c r="Z15" s="2365"/>
      <c r="AA15" s="2363"/>
      <c r="AB15" s="2364"/>
      <c r="AC15" s="2364"/>
      <c r="AD15" s="2364"/>
      <c r="AE15" s="2364"/>
      <c r="AF15" s="2364"/>
      <c r="AG15" s="2364"/>
      <c r="AH15" s="2364"/>
      <c r="AI15" s="2364"/>
      <c r="AJ15" s="2364"/>
      <c r="AK15" s="2364"/>
      <c r="AL15" s="2364"/>
      <c r="AM15" s="2364"/>
      <c r="AN15" s="2364"/>
      <c r="AO15" s="2364"/>
      <c r="AP15" s="2364"/>
      <c r="AQ15" s="2364"/>
      <c r="AR15" s="2364"/>
      <c r="AS15" s="2364"/>
      <c r="AT15" s="2364"/>
      <c r="AU15" s="2364"/>
      <c r="AV15" s="2364"/>
      <c r="AW15" s="2364"/>
      <c r="AX15" s="2364"/>
      <c r="AY15" s="2364"/>
      <c r="AZ15" s="2365"/>
      <c r="BB15" s="27"/>
      <c r="BC15" s="27">
        <v>14</v>
      </c>
      <c r="BD15" s="27"/>
      <c r="BE15" s="27"/>
      <c r="BF15" s="27"/>
      <c r="BG15" s="27"/>
    </row>
    <row r="16" spans="1:59" ht="14.25" customHeight="1">
      <c r="A16" s="2363" t="s">
        <v>187</v>
      </c>
      <c r="B16" s="2364"/>
      <c r="C16" s="2364"/>
      <c r="D16" s="2364"/>
      <c r="E16" s="2364"/>
      <c r="F16" s="2364"/>
      <c r="G16" s="2364"/>
      <c r="H16" s="2364"/>
      <c r="I16" s="2364"/>
      <c r="J16" s="2364"/>
      <c r="K16" s="2364"/>
      <c r="L16" s="2364"/>
      <c r="M16" s="2364"/>
      <c r="N16" s="2364"/>
      <c r="O16" s="2364"/>
      <c r="P16" s="2364"/>
      <c r="Q16" s="2364"/>
      <c r="R16" s="2364"/>
      <c r="S16" s="2364"/>
      <c r="T16" s="2364"/>
      <c r="U16" s="2364"/>
      <c r="V16" s="2364"/>
      <c r="W16" s="2364"/>
      <c r="X16" s="2364"/>
      <c r="Y16" s="2364"/>
      <c r="Z16" s="2365"/>
      <c r="AA16" s="2363" t="s">
        <v>187</v>
      </c>
      <c r="AB16" s="2364"/>
      <c r="AC16" s="2364"/>
      <c r="AD16" s="2364"/>
      <c r="AE16" s="2364"/>
      <c r="AF16" s="2364"/>
      <c r="AG16" s="2364"/>
      <c r="AH16" s="2364"/>
      <c r="AI16" s="2364"/>
      <c r="AJ16" s="2364"/>
      <c r="AK16" s="2364"/>
      <c r="AL16" s="2364"/>
      <c r="AM16" s="2364"/>
      <c r="AN16" s="2364"/>
      <c r="AO16" s="2364"/>
      <c r="AP16" s="2364"/>
      <c r="AQ16" s="2364"/>
      <c r="AR16" s="2364"/>
      <c r="AS16" s="2364"/>
      <c r="AT16" s="2364"/>
      <c r="AU16" s="2364"/>
      <c r="AV16" s="2364"/>
      <c r="AW16" s="2364"/>
      <c r="AX16" s="2364"/>
      <c r="AY16" s="2364"/>
      <c r="AZ16" s="2365"/>
      <c r="BB16" s="27"/>
      <c r="BC16" s="27">
        <v>15</v>
      </c>
      <c r="BD16" s="27"/>
      <c r="BE16" s="27"/>
      <c r="BF16" s="27"/>
      <c r="BG16" s="27"/>
    </row>
    <row r="17" spans="1:59" ht="14.25" customHeight="1">
      <c r="A17" s="2363" t="s">
        <v>188</v>
      </c>
      <c r="B17" s="2364"/>
      <c r="C17" s="2364"/>
      <c r="D17" s="2364"/>
      <c r="E17" s="2364"/>
      <c r="F17" s="2364"/>
      <c r="G17" s="2364"/>
      <c r="H17" s="2364"/>
      <c r="I17" s="2364"/>
      <c r="J17" s="2364"/>
      <c r="K17" s="2364"/>
      <c r="L17" s="2364"/>
      <c r="M17" s="2364"/>
      <c r="N17" s="2364"/>
      <c r="O17" s="2364"/>
      <c r="P17" s="2364"/>
      <c r="Q17" s="2364"/>
      <c r="R17" s="2364"/>
      <c r="S17" s="2364"/>
      <c r="T17" s="2364"/>
      <c r="U17" s="2364"/>
      <c r="V17" s="2364"/>
      <c r="W17" s="2364"/>
      <c r="X17" s="2364"/>
      <c r="Y17" s="2364"/>
      <c r="Z17" s="2365"/>
      <c r="AA17" s="2363" t="s">
        <v>188</v>
      </c>
      <c r="AB17" s="2364"/>
      <c r="AC17" s="2364"/>
      <c r="AD17" s="2364"/>
      <c r="AE17" s="2364"/>
      <c r="AF17" s="2364"/>
      <c r="AG17" s="2364"/>
      <c r="AH17" s="2364"/>
      <c r="AI17" s="2364"/>
      <c r="AJ17" s="2364"/>
      <c r="AK17" s="2364"/>
      <c r="AL17" s="2364"/>
      <c r="AM17" s="2364"/>
      <c r="AN17" s="2364"/>
      <c r="AO17" s="2364"/>
      <c r="AP17" s="2364"/>
      <c r="AQ17" s="2364"/>
      <c r="AR17" s="2364"/>
      <c r="AS17" s="2364"/>
      <c r="AT17" s="2364"/>
      <c r="AU17" s="2364"/>
      <c r="AV17" s="2364"/>
      <c r="AW17" s="2364"/>
      <c r="AX17" s="2364"/>
      <c r="AY17" s="2364"/>
      <c r="AZ17" s="2365"/>
      <c r="BB17" s="27"/>
      <c r="BC17" s="27">
        <v>16</v>
      </c>
      <c r="BD17" s="27"/>
      <c r="BE17" s="27"/>
      <c r="BF17" s="27"/>
      <c r="BG17" s="27"/>
    </row>
    <row r="18" spans="1:59" ht="14.25" customHeight="1">
      <c r="A18" s="2363"/>
      <c r="B18" s="2364"/>
      <c r="C18" s="2364"/>
      <c r="D18" s="2364"/>
      <c r="E18" s="2364"/>
      <c r="F18" s="2364"/>
      <c r="G18" s="2364"/>
      <c r="H18" s="2364"/>
      <c r="I18" s="2364"/>
      <c r="J18" s="2364"/>
      <c r="K18" s="2364"/>
      <c r="L18" s="2364"/>
      <c r="M18" s="2364"/>
      <c r="N18" s="2364"/>
      <c r="O18" s="2364"/>
      <c r="P18" s="2364"/>
      <c r="Q18" s="2364"/>
      <c r="R18" s="2364"/>
      <c r="S18" s="2364"/>
      <c r="T18" s="2364"/>
      <c r="U18" s="2364"/>
      <c r="V18" s="2364"/>
      <c r="W18" s="2364"/>
      <c r="X18" s="2364"/>
      <c r="Y18" s="2364"/>
      <c r="Z18" s="2365"/>
      <c r="AA18" s="2363"/>
      <c r="AB18" s="2364"/>
      <c r="AC18" s="2364"/>
      <c r="AD18" s="2364"/>
      <c r="AE18" s="2364"/>
      <c r="AF18" s="2364"/>
      <c r="AG18" s="2364"/>
      <c r="AH18" s="2364"/>
      <c r="AI18" s="2364"/>
      <c r="AJ18" s="2364"/>
      <c r="AK18" s="2364"/>
      <c r="AL18" s="2364"/>
      <c r="AM18" s="2364"/>
      <c r="AN18" s="2364"/>
      <c r="AO18" s="2364"/>
      <c r="AP18" s="2364"/>
      <c r="AQ18" s="2364"/>
      <c r="AR18" s="2364"/>
      <c r="AS18" s="2364"/>
      <c r="AT18" s="2364"/>
      <c r="AU18" s="2364"/>
      <c r="AV18" s="2364"/>
      <c r="AW18" s="2364"/>
      <c r="AX18" s="2364"/>
      <c r="AY18" s="2364"/>
      <c r="AZ18" s="2365"/>
      <c r="BB18" s="27"/>
      <c r="BC18" s="27">
        <v>17</v>
      </c>
      <c r="BD18" s="27"/>
      <c r="BE18" s="27"/>
      <c r="BF18" s="27"/>
      <c r="BG18" s="27"/>
    </row>
    <row r="19" spans="1:59" ht="26.1" customHeight="1">
      <c r="A19" s="348"/>
      <c r="B19" s="2377" t="s">
        <v>2685</v>
      </c>
      <c r="C19" s="2378"/>
      <c r="D19" s="2378"/>
      <c r="E19" s="2378"/>
      <c r="F19" s="2378"/>
      <c r="G19" s="2380"/>
      <c r="H19" s="2377" t="s">
        <v>3139</v>
      </c>
      <c r="I19" s="2378"/>
      <c r="J19" s="2378"/>
      <c r="K19" s="352">
        <f>'01 使用承認申請書'!F12</f>
        <v>0</v>
      </c>
      <c r="L19" s="353" t="s">
        <v>3140</v>
      </c>
      <c r="M19" s="446" t="str">
        <f>CONCATENATE('01 使用承認申請書'!C14)</f>
        <v/>
      </c>
      <c r="N19" s="353" t="s">
        <v>13</v>
      </c>
      <c r="O19" s="446" t="str">
        <f>CONCATENATE('01 使用承認申請書'!F14)</f>
        <v/>
      </c>
      <c r="P19" s="353" t="s">
        <v>12</v>
      </c>
      <c r="Q19" s="2379" t="s">
        <v>27</v>
      </c>
      <c r="R19" s="2379"/>
      <c r="S19" s="446" t="str">
        <f>CONCATENATE('01 使用承認申請書'!C16)</f>
        <v/>
      </c>
      <c r="T19" s="353" t="s">
        <v>13</v>
      </c>
      <c r="U19" s="446" t="str">
        <f>CONCATENATE('01 使用承認申請書'!F16)</f>
        <v/>
      </c>
      <c r="V19" s="353" t="s">
        <v>12</v>
      </c>
      <c r="W19" s="2378"/>
      <c r="X19" s="2378"/>
      <c r="Y19" s="2380"/>
      <c r="Z19" s="354"/>
      <c r="AA19" s="348"/>
      <c r="AB19" s="2377" t="s">
        <v>2685</v>
      </c>
      <c r="AC19" s="2378"/>
      <c r="AD19" s="2378"/>
      <c r="AE19" s="2378"/>
      <c r="AF19" s="2378"/>
      <c r="AG19" s="2380"/>
      <c r="AH19" s="2377"/>
      <c r="AI19" s="2378"/>
      <c r="AJ19" s="2378"/>
      <c r="AK19" s="352"/>
      <c r="AL19" s="355"/>
      <c r="AM19" s="374">
        <f>AV4</f>
        <v>9</v>
      </c>
      <c r="AN19" s="355" t="s">
        <v>13</v>
      </c>
      <c r="AO19" s="744">
        <v>12</v>
      </c>
      <c r="AP19" s="355" t="s">
        <v>12</v>
      </c>
      <c r="AQ19" s="2378" t="s">
        <v>228</v>
      </c>
      <c r="AR19" s="2378"/>
      <c r="AS19" s="374">
        <f>AV4</f>
        <v>9</v>
      </c>
      <c r="AT19" s="355" t="s">
        <v>13</v>
      </c>
      <c r="AU19" s="745">
        <f>AO19+1</f>
        <v>13</v>
      </c>
      <c r="AV19" s="355" t="s">
        <v>12</v>
      </c>
      <c r="AW19" s="2378"/>
      <c r="AX19" s="2378"/>
      <c r="AY19" s="2380"/>
      <c r="AZ19" s="354"/>
      <c r="BB19" s="27"/>
      <c r="BC19" s="27">
        <v>18</v>
      </c>
      <c r="BD19" s="27"/>
      <c r="BE19" s="27"/>
      <c r="BF19" s="27"/>
      <c r="BG19" s="27"/>
    </row>
    <row r="20" spans="1:59" ht="26.1" customHeight="1">
      <c r="A20" s="348"/>
      <c r="B20" s="2377" t="s">
        <v>2686</v>
      </c>
      <c r="C20" s="2378"/>
      <c r="D20" s="2378"/>
      <c r="E20" s="2378"/>
      <c r="F20" s="2378"/>
      <c r="G20" s="2380"/>
      <c r="H20" s="2390" t="str">
        <f>IF('05 人数報告用紙'!T37&gt;0,"宿泊学習","校外学習")</f>
        <v>校外学習</v>
      </c>
      <c r="I20" s="2391"/>
      <c r="J20" s="2391"/>
      <c r="K20" s="2391"/>
      <c r="L20" s="2391"/>
      <c r="M20" s="2391"/>
      <c r="N20" s="2391"/>
      <c r="O20" s="2391"/>
      <c r="P20" s="2391"/>
      <c r="Q20" s="2391"/>
      <c r="R20" s="2391"/>
      <c r="S20" s="2391"/>
      <c r="T20" s="2391"/>
      <c r="U20" s="2391"/>
      <c r="V20" s="2391"/>
      <c r="W20" s="2391"/>
      <c r="X20" s="2391"/>
      <c r="Y20" s="2392"/>
      <c r="Z20" s="354"/>
      <c r="AA20" s="348"/>
      <c r="AB20" s="2377" t="s">
        <v>2686</v>
      </c>
      <c r="AC20" s="2378"/>
      <c r="AD20" s="2378"/>
      <c r="AE20" s="2378"/>
      <c r="AF20" s="2378"/>
      <c r="AG20" s="2380"/>
      <c r="AH20" s="2385" t="s">
        <v>189</v>
      </c>
      <c r="AI20" s="2386"/>
      <c r="AJ20" s="2386"/>
      <c r="AK20" s="2386"/>
      <c r="AL20" s="2386"/>
      <c r="AM20" s="2386"/>
      <c r="AN20" s="2386"/>
      <c r="AO20" s="2386"/>
      <c r="AP20" s="2386"/>
      <c r="AQ20" s="2386"/>
      <c r="AR20" s="2386"/>
      <c r="AS20" s="2386"/>
      <c r="AT20" s="2386"/>
      <c r="AU20" s="2386"/>
      <c r="AV20" s="2386"/>
      <c r="AW20" s="2386"/>
      <c r="AX20" s="2386"/>
      <c r="AY20" s="2393"/>
      <c r="AZ20" s="354"/>
      <c r="BB20" s="27"/>
      <c r="BC20" s="27">
        <v>19</v>
      </c>
      <c r="BD20" s="27"/>
      <c r="BE20" s="27"/>
      <c r="BF20" s="27"/>
      <c r="BG20" s="27"/>
    </row>
    <row r="21" spans="1:59" ht="26.1" customHeight="1">
      <c r="A21" s="348"/>
      <c r="B21" s="2377" t="s">
        <v>2687</v>
      </c>
      <c r="C21" s="2378"/>
      <c r="D21" s="2378"/>
      <c r="E21" s="2378"/>
      <c r="F21" s="2378"/>
      <c r="G21" s="2380"/>
      <c r="H21" s="2385"/>
      <c r="I21" s="2386"/>
      <c r="J21" s="2386"/>
      <c r="K21" s="2386"/>
      <c r="L21" s="2386"/>
      <c r="M21" s="2386"/>
      <c r="N21" s="2386"/>
      <c r="O21" s="2384">
        <f>W39+W41+W43+W45+W47+W49+W51</f>
        <v>0</v>
      </c>
      <c r="P21" s="2384"/>
      <c r="Q21" s="355" t="s">
        <v>24</v>
      </c>
      <c r="R21" s="2378"/>
      <c r="S21" s="2378"/>
      <c r="T21" s="2378"/>
      <c r="U21" s="2378"/>
      <c r="V21" s="2378"/>
      <c r="W21" s="2378"/>
      <c r="X21" s="2378"/>
      <c r="Y21" s="2380"/>
      <c r="Z21" s="354"/>
      <c r="AA21" s="348"/>
      <c r="AB21" s="2377" t="s">
        <v>2687</v>
      </c>
      <c r="AC21" s="2378"/>
      <c r="AD21" s="2378"/>
      <c r="AE21" s="2378"/>
      <c r="AF21" s="2378"/>
      <c r="AG21" s="2380"/>
      <c r="AH21" s="2382">
        <v>10</v>
      </c>
      <c r="AI21" s="2383"/>
      <c r="AJ21" s="2383"/>
      <c r="AK21" s="2383"/>
      <c r="AL21" s="2383"/>
      <c r="AM21" s="2383"/>
      <c r="AN21" s="2383"/>
      <c r="AO21" s="2383"/>
      <c r="AP21" s="2383"/>
      <c r="AQ21" s="355" t="s">
        <v>24</v>
      </c>
      <c r="AR21" s="2378"/>
      <c r="AS21" s="2378"/>
      <c r="AT21" s="2378"/>
      <c r="AU21" s="2378"/>
      <c r="AV21" s="2378"/>
      <c r="AW21" s="2378"/>
      <c r="AX21" s="2378"/>
      <c r="AY21" s="2380"/>
      <c r="AZ21" s="354"/>
      <c r="BB21" s="27"/>
      <c r="BC21" s="27">
        <v>20</v>
      </c>
      <c r="BD21" s="27"/>
      <c r="BE21" s="27"/>
      <c r="BF21" s="27"/>
      <c r="BG21" s="27"/>
    </row>
    <row r="22" spans="1:59" ht="26.1" customHeight="1">
      <c r="A22" s="348"/>
      <c r="B22" s="2351" t="s">
        <v>2688</v>
      </c>
      <c r="C22" s="2352"/>
      <c r="D22" s="2352"/>
      <c r="E22" s="2352"/>
      <c r="F22" s="2352"/>
      <c r="G22" s="2353"/>
      <c r="H22" s="356" t="str">
        <f t="shared" ref="H22:H27" si="0">BF3</f>
        <v/>
      </c>
      <c r="I22" s="2394" t="s">
        <v>2646</v>
      </c>
      <c r="J22" s="2394"/>
      <c r="K22" s="2394"/>
      <c r="L22" s="2394"/>
      <c r="M22" s="2394"/>
      <c r="N22" s="2394"/>
      <c r="O22" s="2394"/>
      <c r="P22" s="2394"/>
      <c r="Q22" s="2394"/>
      <c r="R22" s="2394"/>
      <c r="S22" s="2394"/>
      <c r="T22" s="2394"/>
      <c r="U22" s="2394"/>
      <c r="V22" s="2394"/>
      <c r="W22" s="2394"/>
      <c r="X22" s="2394"/>
      <c r="Y22" s="2395"/>
      <c r="Z22" s="357"/>
      <c r="AA22" s="348"/>
      <c r="AB22" s="2351" t="s">
        <v>2688</v>
      </c>
      <c r="AC22" s="2352"/>
      <c r="AD22" s="2352"/>
      <c r="AE22" s="2352"/>
      <c r="AF22" s="2352"/>
      <c r="AG22" s="2353"/>
      <c r="AH22" s="356" t="s">
        <v>2682</v>
      </c>
      <c r="AI22" s="2394" t="s">
        <v>2646</v>
      </c>
      <c r="AJ22" s="2394"/>
      <c r="AK22" s="2394"/>
      <c r="AL22" s="2394"/>
      <c r="AM22" s="2394"/>
      <c r="AN22" s="2394"/>
      <c r="AO22" s="2394"/>
      <c r="AP22" s="2394"/>
      <c r="AQ22" s="2394"/>
      <c r="AR22" s="2394"/>
      <c r="AS22" s="2394"/>
      <c r="AT22" s="2394"/>
      <c r="AU22" s="2394"/>
      <c r="AV22" s="2394"/>
      <c r="AW22" s="2394"/>
      <c r="AX22" s="2394"/>
      <c r="AY22" s="2395"/>
      <c r="AZ22" s="354"/>
      <c r="BB22" s="27"/>
      <c r="BC22" s="27">
        <v>21</v>
      </c>
      <c r="BD22" s="27"/>
      <c r="BE22" s="27"/>
      <c r="BF22" s="27"/>
      <c r="BG22" s="27"/>
    </row>
    <row r="23" spans="1:59" ht="26.1" customHeight="1">
      <c r="A23" s="348"/>
      <c r="B23" s="2360"/>
      <c r="C23" s="2361"/>
      <c r="D23" s="2361"/>
      <c r="E23" s="2361"/>
      <c r="F23" s="2361"/>
      <c r="G23" s="2362"/>
      <c r="H23" s="356" t="str">
        <f t="shared" si="0"/>
        <v/>
      </c>
      <c r="I23" s="2394" t="s">
        <v>2647</v>
      </c>
      <c r="J23" s="2394"/>
      <c r="K23" s="2394"/>
      <c r="L23" s="2394"/>
      <c r="M23" s="2394"/>
      <c r="N23" s="2394"/>
      <c r="O23" s="2394"/>
      <c r="P23" s="2394"/>
      <c r="Q23" s="2394"/>
      <c r="R23" s="2394"/>
      <c r="S23" s="2394"/>
      <c r="T23" s="2394"/>
      <c r="U23" s="2394"/>
      <c r="V23" s="2394"/>
      <c r="W23" s="2394"/>
      <c r="X23" s="2394"/>
      <c r="Y23" s="2395"/>
      <c r="Z23" s="357"/>
      <c r="AA23" s="348"/>
      <c r="AB23" s="2360"/>
      <c r="AC23" s="2361"/>
      <c r="AD23" s="2361"/>
      <c r="AE23" s="2361"/>
      <c r="AF23" s="2361"/>
      <c r="AG23" s="2362"/>
      <c r="AH23" s="356" t="s">
        <v>2683</v>
      </c>
      <c r="AI23" s="2394" t="s">
        <v>2647</v>
      </c>
      <c r="AJ23" s="2394"/>
      <c r="AK23" s="2394"/>
      <c r="AL23" s="2394"/>
      <c r="AM23" s="2394"/>
      <c r="AN23" s="2394"/>
      <c r="AO23" s="2394"/>
      <c r="AP23" s="2394"/>
      <c r="AQ23" s="2394"/>
      <c r="AR23" s="2394"/>
      <c r="AS23" s="2394"/>
      <c r="AT23" s="2394"/>
      <c r="AU23" s="2394"/>
      <c r="AV23" s="2394"/>
      <c r="AW23" s="2394"/>
      <c r="AX23" s="2394"/>
      <c r="AY23" s="2395"/>
      <c r="AZ23" s="354"/>
      <c r="BB23" s="27"/>
      <c r="BC23" s="27">
        <v>22</v>
      </c>
      <c r="BD23" s="27"/>
      <c r="BE23" s="27"/>
      <c r="BF23" s="27"/>
      <c r="BG23" s="27"/>
    </row>
    <row r="24" spans="1:59" ht="26.1" customHeight="1">
      <c r="A24" s="348"/>
      <c r="B24" s="2360"/>
      <c r="C24" s="2361"/>
      <c r="D24" s="2361"/>
      <c r="E24" s="2361"/>
      <c r="F24" s="2361"/>
      <c r="G24" s="2362"/>
      <c r="H24" s="356" t="str">
        <f t="shared" si="0"/>
        <v/>
      </c>
      <c r="I24" s="2394" t="s">
        <v>2648</v>
      </c>
      <c r="J24" s="2394"/>
      <c r="K24" s="2394"/>
      <c r="L24" s="2394"/>
      <c r="M24" s="2394"/>
      <c r="N24" s="2394"/>
      <c r="O24" s="2394"/>
      <c r="P24" s="2394"/>
      <c r="Q24" s="2394"/>
      <c r="R24" s="2394"/>
      <c r="S24" s="2394"/>
      <c r="T24" s="2394"/>
      <c r="U24" s="2394"/>
      <c r="V24" s="2394"/>
      <c r="W24" s="2394"/>
      <c r="X24" s="2394"/>
      <c r="Y24" s="2395"/>
      <c r="Z24" s="357"/>
      <c r="AA24" s="348"/>
      <c r="AB24" s="2360"/>
      <c r="AC24" s="2361"/>
      <c r="AD24" s="2361"/>
      <c r="AE24" s="2361"/>
      <c r="AF24" s="2361"/>
      <c r="AG24" s="2362"/>
      <c r="AH24" s="356">
        <f>CF5</f>
        <v>0</v>
      </c>
      <c r="AI24" s="2394" t="s">
        <v>2648</v>
      </c>
      <c r="AJ24" s="2394"/>
      <c r="AK24" s="2394"/>
      <c r="AL24" s="2394"/>
      <c r="AM24" s="2394"/>
      <c r="AN24" s="2394"/>
      <c r="AO24" s="2394"/>
      <c r="AP24" s="2394"/>
      <c r="AQ24" s="2394"/>
      <c r="AR24" s="2394"/>
      <c r="AS24" s="2394"/>
      <c r="AT24" s="2394"/>
      <c r="AU24" s="2394"/>
      <c r="AV24" s="2394"/>
      <c r="AW24" s="2394"/>
      <c r="AX24" s="2394"/>
      <c r="AY24" s="2395"/>
      <c r="AZ24" s="354"/>
      <c r="BB24" s="27"/>
      <c r="BC24" s="27">
        <v>23</v>
      </c>
      <c r="BD24" s="27"/>
      <c r="BE24" s="27"/>
      <c r="BF24" s="27"/>
      <c r="BG24" s="27"/>
    </row>
    <row r="25" spans="1:59" ht="26.1" customHeight="1">
      <c r="A25" s="348"/>
      <c r="B25" s="2360"/>
      <c r="C25" s="2361"/>
      <c r="D25" s="2361"/>
      <c r="E25" s="2361"/>
      <c r="F25" s="2361"/>
      <c r="G25" s="2362"/>
      <c r="H25" s="356" t="str">
        <f t="shared" si="0"/>
        <v/>
      </c>
      <c r="I25" s="2394" t="s">
        <v>2649</v>
      </c>
      <c r="J25" s="2394"/>
      <c r="K25" s="2394"/>
      <c r="L25" s="2394"/>
      <c r="M25" s="2394"/>
      <c r="N25" s="2394"/>
      <c r="O25" s="2394"/>
      <c r="P25" s="2394"/>
      <c r="Q25" s="2394"/>
      <c r="R25" s="2394"/>
      <c r="S25" s="2394"/>
      <c r="T25" s="2394"/>
      <c r="U25" s="2394"/>
      <c r="V25" s="2394"/>
      <c r="W25" s="2394"/>
      <c r="X25" s="2394"/>
      <c r="Y25" s="2395"/>
      <c r="Z25" s="357"/>
      <c r="AA25" s="348"/>
      <c r="AB25" s="2360"/>
      <c r="AC25" s="2361"/>
      <c r="AD25" s="2361"/>
      <c r="AE25" s="2361"/>
      <c r="AF25" s="2361"/>
      <c r="AG25" s="2362"/>
      <c r="AH25" s="356" t="s">
        <v>2683</v>
      </c>
      <c r="AI25" s="2394" t="s">
        <v>2649</v>
      </c>
      <c r="AJ25" s="2394"/>
      <c r="AK25" s="2394"/>
      <c r="AL25" s="2394"/>
      <c r="AM25" s="2394"/>
      <c r="AN25" s="2394"/>
      <c r="AO25" s="2394"/>
      <c r="AP25" s="2394"/>
      <c r="AQ25" s="2394"/>
      <c r="AR25" s="2394"/>
      <c r="AS25" s="2394"/>
      <c r="AT25" s="2394"/>
      <c r="AU25" s="2394"/>
      <c r="AV25" s="2394"/>
      <c r="AW25" s="2394"/>
      <c r="AX25" s="2394"/>
      <c r="AY25" s="2395"/>
      <c r="AZ25" s="354"/>
      <c r="BB25" s="27"/>
      <c r="BC25" s="27">
        <v>24</v>
      </c>
      <c r="BD25" s="27"/>
      <c r="BE25" s="27"/>
      <c r="BF25" s="27"/>
      <c r="BG25" s="27"/>
    </row>
    <row r="26" spans="1:59" ht="26.1" customHeight="1">
      <c r="A26" s="348"/>
      <c r="B26" s="2360"/>
      <c r="C26" s="2361"/>
      <c r="D26" s="2361"/>
      <c r="E26" s="2361"/>
      <c r="F26" s="2361"/>
      <c r="G26" s="2362"/>
      <c r="H26" s="356" t="str">
        <f t="shared" si="0"/>
        <v/>
      </c>
      <c r="I26" s="2394" t="s">
        <v>2650</v>
      </c>
      <c r="J26" s="2394"/>
      <c r="K26" s="2394"/>
      <c r="L26" s="2394"/>
      <c r="M26" s="2394"/>
      <c r="N26" s="2394"/>
      <c r="O26" s="2394"/>
      <c r="P26" s="2394"/>
      <c r="Q26" s="2394"/>
      <c r="R26" s="2394"/>
      <c r="S26" s="2394"/>
      <c r="T26" s="2394"/>
      <c r="U26" s="2394"/>
      <c r="V26" s="2394"/>
      <c r="W26" s="2394"/>
      <c r="X26" s="2394"/>
      <c r="Y26" s="2395"/>
      <c r="Z26" s="357"/>
      <c r="AA26" s="348"/>
      <c r="AB26" s="2360"/>
      <c r="AC26" s="2361"/>
      <c r="AD26" s="2361"/>
      <c r="AE26" s="2361"/>
      <c r="AF26" s="2361"/>
      <c r="AG26" s="2362"/>
      <c r="AH26" s="356">
        <f>CF7</f>
        <v>0</v>
      </c>
      <c r="AI26" s="2394" t="s">
        <v>2650</v>
      </c>
      <c r="AJ26" s="2394"/>
      <c r="AK26" s="2394"/>
      <c r="AL26" s="2394"/>
      <c r="AM26" s="2394"/>
      <c r="AN26" s="2394"/>
      <c r="AO26" s="2394"/>
      <c r="AP26" s="2394"/>
      <c r="AQ26" s="2394"/>
      <c r="AR26" s="2394"/>
      <c r="AS26" s="2394"/>
      <c r="AT26" s="2394"/>
      <c r="AU26" s="2394"/>
      <c r="AV26" s="2394"/>
      <c r="AW26" s="2394"/>
      <c r="AX26" s="2394"/>
      <c r="AY26" s="2395"/>
      <c r="AZ26" s="354"/>
      <c r="BB26" s="27"/>
      <c r="BC26" s="27">
        <v>25</v>
      </c>
      <c r="BD26" s="27"/>
      <c r="BE26" s="27"/>
      <c r="BF26" s="27"/>
      <c r="BG26" s="27"/>
    </row>
    <row r="27" spans="1:59" ht="26.1" customHeight="1">
      <c r="A27" s="348"/>
      <c r="B27" s="2387"/>
      <c r="C27" s="2388"/>
      <c r="D27" s="2388"/>
      <c r="E27" s="2388"/>
      <c r="F27" s="2388"/>
      <c r="G27" s="2389"/>
      <c r="H27" s="356" t="str">
        <f t="shared" si="0"/>
        <v/>
      </c>
      <c r="I27" s="2394" t="s">
        <v>2651</v>
      </c>
      <c r="J27" s="2394"/>
      <c r="K27" s="2394"/>
      <c r="L27" s="2394"/>
      <c r="M27" s="2394"/>
      <c r="N27" s="2394"/>
      <c r="O27" s="2394"/>
      <c r="P27" s="2394"/>
      <c r="Q27" s="2394"/>
      <c r="R27" s="2394"/>
      <c r="S27" s="2394"/>
      <c r="T27" s="2394"/>
      <c r="U27" s="2394"/>
      <c r="V27" s="2394"/>
      <c r="W27" s="2394"/>
      <c r="X27" s="2394"/>
      <c r="Y27" s="2395"/>
      <c r="Z27" s="357"/>
      <c r="AA27" s="348"/>
      <c r="AB27" s="2387"/>
      <c r="AC27" s="2388"/>
      <c r="AD27" s="2388"/>
      <c r="AE27" s="2388"/>
      <c r="AF27" s="2388"/>
      <c r="AG27" s="2389"/>
      <c r="AH27" s="356" t="s">
        <v>2683</v>
      </c>
      <c r="AI27" s="2394" t="s">
        <v>2651</v>
      </c>
      <c r="AJ27" s="2394"/>
      <c r="AK27" s="2394"/>
      <c r="AL27" s="2394"/>
      <c r="AM27" s="2394"/>
      <c r="AN27" s="2394"/>
      <c r="AO27" s="2394"/>
      <c r="AP27" s="2394"/>
      <c r="AQ27" s="2394"/>
      <c r="AR27" s="2394"/>
      <c r="AS27" s="2394"/>
      <c r="AT27" s="2394"/>
      <c r="AU27" s="2394"/>
      <c r="AV27" s="2394"/>
      <c r="AW27" s="2394"/>
      <c r="AX27" s="2394"/>
      <c r="AY27" s="2395"/>
      <c r="AZ27" s="354"/>
      <c r="BB27" s="27"/>
      <c r="BC27" s="27">
        <v>26</v>
      </c>
      <c r="BD27" s="27"/>
      <c r="BE27" s="27"/>
      <c r="BF27" s="27"/>
      <c r="BG27" s="27"/>
    </row>
    <row r="28" spans="1:59" ht="14.25" customHeight="1">
      <c r="A28" s="2387"/>
      <c r="B28" s="2388"/>
      <c r="C28" s="2388"/>
      <c r="D28" s="2388"/>
      <c r="E28" s="2388"/>
      <c r="F28" s="2388"/>
      <c r="G28" s="2388"/>
      <c r="H28" s="2388"/>
      <c r="I28" s="2388"/>
      <c r="J28" s="2388"/>
      <c r="K28" s="2388"/>
      <c r="L28" s="2388"/>
      <c r="M28" s="2388"/>
      <c r="N28" s="2388"/>
      <c r="O28" s="2388"/>
      <c r="P28" s="2388"/>
      <c r="Q28" s="2388"/>
      <c r="R28" s="2388"/>
      <c r="S28" s="2388"/>
      <c r="T28" s="2388"/>
      <c r="U28" s="2388"/>
      <c r="V28" s="2388"/>
      <c r="W28" s="2388"/>
      <c r="X28" s="2388"/>
      <c r="Y28" s="2388"/>
      <c r="Z28" s="2389"/>
      <c r="AA28" s="2387"/>
      <c r="AB28" s="2388"/>
      <c r="AC28" s="2388"/>
      <c r="AD28" s="2388"/>
      <c r="AE28" s="2388"/>
      <c r="AF28" s="2388"/>
      <c r="AG28" s="2388"/>
      <c r="AH28" s="2388"/>
      <c r="AI28" s="2388"/>
      <c r="AJ28" s="2388"/>
      <c r="AK28" s="2388"/>
      <c r="AL28" s="2388"/>
      <c r="AM28" s="2388"/>
      <c r="AN28" s="2388"/>
      <c r="AO28" s="2388"/>
      <c r="AP28" s="2388"/>
      <c r="AQ28" s="2388"/>
      <c r="AR28" s="2388"/>
      <c r="AS28" s="2388"/>
      <c r="AT28" s="2388"/>
      <c r="AU28" s="2388"/>
      <c r="AV28" s="2388"/>
      <c r="AW28" s="2388"/>
      <c r="AX28" s="2388"/>
      <c r="AY28" s="2388"/>
      <c r="AZ28" s="2389"/>
      <c r="BB28" s="27"/>
      <c r="BC28" s="27">
        <v>27</v>
      </c>
      <c r="BD28" s="27"/>
      <c r="BE28" s="27"/>
      <c r="BF28" s="27"/>
      <c r="BG28" s="27"/>
    </row>
    <row r="29" spans="1:59" ht="14.25" customHeight="1">
      <c r="A29" s="2361"/>
      <c r="B29" s="2361"/>
      <c r="C29" s="2361"/>
      <c r="D29" s="2361"/>
      <c r="E29" s="2361"/>
      <c r="F29" s="2361"/>
      <c r="G29" s="2361"/>
      <c r="H29" s="2361"/>
      <c r="I29" s="2361"/>
      <c r="J29" s="2361"/>
      <c r="K29" s="2361"/>
      <c r="L29" s="2361"/>
      <c r="M29" s="2361"/>
      <c r="N29" s="2361"/>
      <c r="O29" s="2361"/>
      <c r="P29" s="2361"/>
      <c r="Q29" s="2361"/>
      <c r="R29" s="2361"/>
      <c r="S29" s="2361"/>
      <c r="T29" s="2361"/>
      <c r="U29" s="2361"/>
      <c r="V29" s="2361"/>
      <c r="W29" s="2361"/>
      <c r="X29" s="2361"/>
      <c r="Y29" s="2361"/>
      <c r="Z29" s="2361"/>
      <c r="AA29" s="2352"/>
      <c r="AB29" s="2352"/>
      <c r="AC29" s="2352"/>
      <c r="AD29" s="2352"/>
      <c r="AE29" s="2352"/>
      <c r="AF29" s="2352"/>
      <c r="AG29" s="2352"/>
      <c r="AH29" s="2352"/>
      <c r="AI29" s="2352"/>
      <c r="AJ29" s="2352"/>
      <c r="AK29" s="2352"/>
      <c r="AL29" s="2352"/>
      <c r="AM29" s="2352"/>
      <c r="AN29" s="2352"/>
      <c r="AO29" s="2352"/>
      <c r="AP29" s="2352"/>
      <c r="AQ29" s="2352"/>
      <c r="AR29" s="2352"/>
      <c r="AS29" s="2352"/>
      <c r="AT29" s="2352"/>
      <c r="AU29" s="2352"/>
      <c r="AV29" s="2352"/>
      <c r="AW29" s="2352"/>
      <c r="AX29" s="2352"/>
      <c r="AY29" s="2352"/>
      <c r="AZ29" s="2352"/>
      <c r="BB29" s="27"/>
      <c r="BC29" s="27">
        <v>28</v>
      </c>
      <c r="BD29" s="27"/>
      <c r="BE29" s="27"/>
      <c r="BF29" s="27"/>
      <c r="BG29" s="27"/>
    </row>
    <row r="30" spans="1:59" ht="14.25" customHeight="1">
      <c r="A30" s="358"/>
      <c r="B30" s="359"/>
      <c r="C30" s="359"/>
      <c r="D30" s="359"/>
      <c r="E30" s="359"/>
      <c r="F30" s="359"/>
      <c r="G30" s="359"/>
      <c r="H30" s="359"/>
      <c r="I30" s="359"/>
      <c r="J30" s="359"/>
      <c r="K30" s="359"/>
      <c r="L30" s="359"/>
      <c r="M30" s="359"/>
      <c r="N30" s="359"/>
      <c r="O30" s="359"/>
      <c r="P30" s="359"/>
      <c r="Q30" s="359"/>
      <c r="R30" s="359"/>
      <c r="S30" s="359"/>
      <c r="T30" s="359"/>
      <c r="U30" s="359"/>
      <c r="V30" s="360">
        <f>H42</f>
        <v>0</v>
      </c>
      <c r="W30" s="359"/>
      <c r="X30" s="359"/>
      <c r="Y30" s="359"/>
      <c r="Z30" s="359"/>
      <c r="AA30" s="358"/>
      <c r="AB30" s="359"/>
      <c r="AC30" s="359"/>
      <c r="AD30" s="359"/>
      <c r="AE30" s="359"/>
      <c r="AF30" s="359"/>
      <c r="AG30" s="359"/>
      <c r="AH30" s="359"/>
      <c r="AI30" s="359"/>
      <c r="AJ30" s="359"/>
      <c r="AK30" s="359"/>
      <c r="AL30" s="359"/>
      <c r="AM30" s="359"/>
      <c r="AN30" s="359"/>
      <c r="AO30" s="359"/>
      <c r="AP30" s="359"/>
      <c r="AQ30" s="359"/>
      <c r="AR30" s="359"/>
      <c r="AS30" s="359"/>
      <c r="AT30" s="359"/>
      <c r="AU30" s="359"/>
      <c r="AV30" s="359"/>
      <c r="AW30" s="359"/>
      <c r="AX30" s="359"/>
      <c r="AY30" s="359"/>
      <c r="AZ30" s="375"/>
      <c r="BB30" s="27"/>
      <c r="BC30" s="27">
        <v>29</v>
      </c>
      <c r="BD30" s="27"/>
      <c r="BE30" s="27"/>
      <c r="BF30" s="27"/>
      <c r="BG30" s="27"/>
    </row>
    <row r="31" spans="1:59" ht="14.25" customHeight="1">
      <c r="A31" s="361"/>
      <c r="B31" s="362"/>
      <c r="C31" s="362"/>
      <c r="D31" s="362"/>
      <c r="E31" s="362"/>
      <c r="F31" s="362"/>
      <c r="G31" s="362"/>
      <c r="H31" s="362"/>
      <c r="I31" s="362"/>
      <c r="J31" s="362"/>
      <c r="K31" s="362"/>
      <c r="L31" s="362"/>
      <c r="M31" s="362"/>
      <c r="N31" s="362"/>
      <c r="O31" s="362"/>
      <c r="P31" s="362"/>
      <c r="Q31" s="362"/>
      <c r="R31" s="362"/>
      <c r="S31" s="362"/>
      <c r="T31" s="362"/>
      <c r="U31" s="362"/>
      <c r="V31" s="350">
        <f>H41</f>
        <v>0</v>
      </c>
      <c r="W31" s="362"/>
      <c r="X31" s="362"/>
      <c r="Y31" s="362"/>
      <c r="Z31" s="362"/>
      <c r="AA31" s="361"/>
      <c r="AB31" s="362"/>
      <c r="AC31" s="362"/>
      <c r="AD31" s="362"/>
      <c r="AE31" s="362"/>
      <c r="AF31" s="362"/>
      <c r="AG31" s="362"/>
      <c r="AH31" s="362"/>
      <c r="AI31" s="362"/>
      <c r="AJ31" s="362"/>
      <c r="AK31" s="362"/>
      <c r="AL31" s="362"/>
      <c r="AM31" s="362"/>
      <c r="AN31" s="362"/>
      <c r="AO31" s="362"/>
      <c r="AP31" s="362"/>
      <c r="AQ31" s="362"/>
      <c r="AR31" s="362"/>
      <c r="AS31" s="362"/>
      <c r="AV31" s="401">
        <v>7</v>
      </c>
      <c r="AW31" s="362"/>
      <c r="AX31" s="362"/>
      <c r="AY31" s="362"/>
      <c r="AZ31" s="376"/>
      <c r="BB31" s="27"/>
      <c r="BC31" s="27">
        <v>30</v>
      </c>
      <c r="BD31" s="27"/>
      <c r="BE31" s="27"/>
      <c r="BF31" s="27"/>
      <c r="BG31" s="27"/>
    </row>
    <row r="32" spans="1:59" ht="14.25" customHeight="1">
      <c r="A32" s="348"/>
      <c r="B32" s="349"/>
      <c r="C32" s="349"/>
      <c r="D32" s="349"/>
      <c r="E32" s="349"/>
      <c r="F32" s="349"/>
      <c r="G32" s="349"/>
      <c r="H32" s="349"/>
      <c r="I32" s="349"/>
      <c r="J32" s="349"/>
      <c r="K32" s="349"/>
      <c r="L32" s="349"/>
      <c r="M32" s="349"/>
      <c r="N32" s="349"/>
      <c r="O32" s="349"/>
      <c r="P32" s="349"/>
      <c r="Q32" s="349"/>
      <c r="R32" s="349"/>
      <c r="S32" s="349"/>
      <c r="T32" s="349"/>
      <c r="U32" s="349"/>
      <c r="V32" s="350">
        <f>H38</f>
        <v>0</v>
      </c>
      <c r="W32" s="349"/>
      <c r="X32" s="349"/>
      <c r="Y32" s="349"/>
      <c r="Z32" s="349"/>
      <c r="AA32" s="348"/>
      <c r="AB32" s="349"/>
      <c r="AC32" s="349"/>
      <c r="AD32" s="349"/>
      <c r="AE32" s="349"/>
      <c r="AF32" s="349"/>
      <c r="AG32" s="349"/>
      <c r="AH32" s="349"/>
      <c r="AI32" s="349"/>
      <c r="AJ32" s="349"/>
      <c r="AK32" s="349"/>
      <c r="AL32" s="349"/>
      <c r="AM32" s="349"/>
      <c r="AN32" s="349"/>
      <c r="AO32" s="349"/>
      <c r="AP32" s="349"/>
      <c r="AQ32" s="349"/>
      <c r="AR32" s="349"/>
      <c r="AS32" s="349"/>
      <c r="AV32" s="401">
        <v>2</v>
      </c>
      <c r="AW32" s="349"/>
      <c r="AX32" s="349"/>
      <c r="AY32" s="349"/>
      <c r="AZ32" s="354"/>
      <c r="BB32" s="27"/>
      <c r="BC32" s="27">
        <v>31</v>
      </c>
      <c r="BD32" s="27"/>
      <c r="BE32" s="27"/>
      <c r="BF32" s="27"/>
      <c r="BG32" s="27"/>
    </row>
    <row r="33" spans="1:59" ht="14.25" customHeight="1">
      <c r="A33" s="1141" t="s">
        <v>2693</v>
      </c>
      <c r="B33" s="1142"/>
      <c r="C33" s="1142"/>
      <c r="D33" s="1142"/>
      <c r="E33" s="1142"/>
      <c r="F33" s="1142"/>
      <c r="G33" s="1142"/>
      <c r="H33" s="1142"/>
      <c r="I33" s="1142"/>
      <c r="J33" s="1142"/>
      <c r="K33" s="1142"/>
      <c r="L33" s="1142"/>
      <c r="M33" s="1142"/>
      <c r="N33" s="1142"/>
      <c r="O33" s="1142"/>
      <c r="P33" s="1142"/>
      <c r="Q33" s="1142"/>
      <c r="R33" s="1142"/>
      <c r="S33" s="1142"/>
      <c r="T33" s="1142"/>
      <c r="U33" s="175"/>
      <c r="V33" s="350">
        <f>H37</f>
        <v>0</v>
      </c>
      <c r="W33" s="1142" t="s">
        <v>2645</v>
      </c>
      <c r="X33" s="1142"/>
      <c r="Y33" s="1142"/>
      <c r="Z33" s="175"/>
      <c r="AA33" s="2400" t="s">
        <v>2717</v>
      </c>
      <c r="AB33" s="1088"/>
      <c r="AC33" s="1088"/>
      <c r="AD33" s="1088"/>
      <c r="AE33" s="1088"/>
      <c r="AF33" s="1088"/>
      <c r="AG33" s="1088"/>
      <c r="AH33" s="1088"/>
      <c r="AI33" s="1088"/>
      <c r="AJ33" s="1088"/>
      <c r="AK33" s="1088"/>
      <c r="AL33" s="1088"/>
      <c r="AM33" s="1088"/>
      <c r="AN33" s="1088"/>
      <c r="AO33" s="1088"/>
      <c r="AP33" s="1088"/>
      <c r="AQ33" s="1088"/>
      <c r="AR33" s="1088"/>
      <c r="AS33" s="1088"/>
      <c r="AT33" s="1088"/>
      <c r="AV33" s="175">
        <v>1</v>
      </c>
      <c r="AW33" s="1142" t="s">
        <v>2645</v>
      </c>
      <c r="AX33" s="1142"/>
      <c r="AY33" s="1142"/>
      <c r="AZ33" s="357"/>
      <c r="BB33" s="27"/>
      <c r="BC33" s="27"/>
      <c r="BD33" s="27"/>
      <c r="BE33" s="27"/>
      <c r="BF33" s="27"/>
      <c r="BG33" s="27"/>
    </row>
    <row r="34" spans="1:59" ht="14.25" customHeight="1">
      <c r="A34" s="2363" t="s">
        <v>190</v>
      </c>
      <c r="B34" s="2364"/>
      <c r="C34" s="2364"/>
      <c r="D34" s="2364"/>
      <c r="E34" s="2364"/>
      <c r="F34" s="2364"/>
      <c r="G34" s="2364"/>
      <c r="H34" s="2364"/>
      <c r="I34" s="2364"/>
      <c r="J34" s="2364"/>
      <c r="K34" s="2364"/>
      <c r="L34" s="2364"/>
      <c r="M34" s="2364"/>
      <c r="N34" s="2364"/>
      <c r="O34" s="2364"/>
      <c r="P34" s="2364"/>
      <c r="Q34" s="2364"/>
      <c r="R34" s="2364"/>
      <c r="S34" s="349"/>
      <c r="T34" s="349"/>
      <c r="U34" s="349"/>
      <c r="V34" s="350">
        <f>H39</f>
        <v>0</v>
      </c>
      <c r="W34" s="349"/>
      <c r="X34" s="349"/>
      <c r="Y34" s="349"/>
      <c r="Z34" s="349"/>
      <c r="AA34" s="2363" t="s">
        <v>190</v>
      </c>
      <c r="AB34" s="2364"/>
      <c r="AC34" s="2364"/>
      <c r="AD34" s="2364"/>
      <c r="AE34" s="2364"/>
      <c r="AF34" s="2364"/>
      <c r="AG34" s="2364"/>
      <c r="AH34" s="2364"/>
      <c r="AI34" s="2364"/>
      <c r="AJ34" s="2364"/>
      <c r="AK34" s="2364"/>
      <c r="AL34" s="2364"/>
      <c r="AM34" s="2364"/>
      <c r="AN34" s="2364"/>
      <c r="AO34" s="349"/>
      <c r="AP34" s="349"/>
      <c r="AQ34" s="349"/>
      <c r="AR34" s="349"/>
      <c r="AS34" s="349"/>
      <c r="AV34" s="401">
        <v>4</v>
      </c>
      <c r="AW34" s="349"/>
      <c r="AX34" s="349"/>
      <c r="AY34" s="349"/>
      <c r="AZ34" s="354"/>
      <c r="BB34" s="27"/>
      <c r="BC34" s="27"/>
      <c r="BD34" s="27"/>
      <c r="BE34" s="27"/>
      <c r="BF34" s="27"/>
      <c r="BG34" s="27"/>
    </row>
    <row r="35" spans="1:59" ht="14.25" customHeight="1">
      <c r="A35" s="348"/>
      <c r="B35" s="175"/>
      <c r="C35" s="175"/>
      <c r="D35" s="363"/>
      <c r="E35" s="363"/>
      <c r="F35" s="363"/>
      <c r="G35" s="363"/>
      <c r="H35" s="363"/>
      <c r="I35" s="363"/>
      <c r="J35" s="363"/>
      <c r="K35" s="363"/>
      <c r="L35" s="175"/>
      <c r="M35" s="1142" t="s">
        <v>191</v>
      </c>
      <c r="N35" s="1142"/>
      <c r="O35" s="1142"/>
      <c r="P35" s="1142"/>
      <c r="Q35" s="1142"/>
      <c r="R35" s="175"/>
      <c r="S35" s="175"/>
      <c r="T35" s="175"/>
      <c r="U35" s="175"/>
      <c r="V35" s="350">
        <f>H40</f>
        <v>0</v>
      </c>
      <c r="W35" s="175"/>
      <c r="X35" s="175"/>
      <c r="Y35" s="175"/>
      <c r="Z35" s="175"/>
      <c r="AA35" s="348"/>
      <c r="AB35" s="175"/>
      <c r="AC35" s="175"/>
      <c r="AD35" s="175"/>
      <c r="AE35" s="175"/>
      <c r="AF35" s="175"/>
      <c r="AG35" s="175"/>
      <c r="AH35" s="175"/>
      <c r="AI35" s="175"/>
      <c r="AJ35" s="175"/>
      <c r="AK35" s="175"/>
      <c r="AL35" s="175"/>
      <c r="AM35" s="1142" t="s">
        <v>191</v>
      </c>
      <c r="AN35" s="1142"/>
      <c r="AO35" s="1142"/>
      <c r="AP35" s="1142"/>
      <c r="AQ35" s="1142"/>
      <c r="AR35" s="175"/>
      <c r="AS35" s="175"/>
      <c r="AT35" s="175"/>
      <c r="AU35" s="175"/>
      <c r="AV35" s="175">
        <f>AH40</f>
        <v>0</v>
      </c>
      <c r="AW35" s="175"/>
      <c r="AX35" s="175"/>
      <c r="AY35" s="175"/>
      <c r="AZ35" s="357"/>
      <c r="BB35" s="27"/>
      <c r="BC35" s="27"/>
      <c r="BD35" s="27"/>
      <c r="BE35" s="27"/>
      <c r="BF35" s="27"/>
      <c r="BG35" s="27"/>
    </row>
    <row r="36" spans="1:59" ht="14.25" customHeight="1">
      <c r="A36" s="364"/>
      <c r="B36" s="363"/>
      <c r="C36" s="363"/>
      <c r="D36" s="363"/>
      <c r="E36" s="363"/>
      <c r="F36" s="363"/>
      <c r="G36" s="363"/>
      <c r="H36" s="363"/>
      <c r="I36" s="363"/>
      <c r="J36" s="363"/>
      <c r="K36" s="363"/>
      <c r="L36" s="175"/>
      <c r="M36" s="1142"/>
      <c r="N36" s="1142"/>
      <c r="O36" s="1142"/>
      <c r="P36" s="1142"/>
      <c r="Q36" s="1142"/>
      <c r="R36" s="2396">
        <f>R39*W39+R41*W41+R43*W43+R45*W45+R47*W47+R49*W49</f>
        <v>0</v>
      </c>
      <c r="S36" s="2396"/>
      <c r="T36" s="2396"/>
      <c r="U36" s="2396"/>
      <c r="V36" s="2396"/>
      <c r="W36" s="2396"/>
      <c r="X36" s="2396"/>
      <c r="Y36" s="175"/>
      <c r="Z36" s="175"/>
      <c r="AA36" s="348"/>
      <c r="AB36" s="175"/>
      <c r="AC36" s="175"/>
      <c r="AD36" s="175"/>
      <c r="AE36" s="175"/>
      <c r="AF36" s="175"/>
      <c r="AG36" s="175"/>
      <c r="AH36" s="175"/>
      <c r="AI36" s="175"/>
      <c r="AJ36" s="175"/>
      <c r="AK36" s="175"/>
      <c r="AL36" s="175"/>
      <c r="AM36" s="1142"/>
      <c r="AN36" s="1142"/>
      <c r="AO36" s="1142"/>
      <c r="AP36" s="1142"/>
      <c r="AQ36" s="1142"/>
      <c r="AR36" s="2398">
        <f>AR39*AW39+AR41*AW41+AR43*AW43+AR45*AW45+AR47*AW47+AR49*AW49</f>
        <v>3630</v>
      </c>
      <c r="AS36" s="2398"/>
      <c r="AT36" s="2398"/>
      <c r="AU36" s="2398"/>
      <c r="AV36" s="2398"/>
      <c r="AW36" s="2398"/>
      <c r="AX36" s="2398"/>
      <c r="AY36" s="175"/>
      <c r="AZ36" s="357"/>
    </row>
    <row r="37" spans="1:59" ht="14.25" customHeight="1" thickBot="1">
      <c r="A37" s="364"/>
      <c r="B37" s="365"/>
      <c r="C37" s="365" t="s">
        <v>2652</v>
      </c>
      <c r="D37" s="365">
        <f>IF(OR(H22="",H22=0),0,1)</f>
        <v>0</v>
      </c>
      <c r="E37" s="365"/>
      <c r="F37" s="365"/>
      <c r="G37" s="365">
        <v>1</v>
      </c>
      <c r="H37" s="365">
        <f t="shared" ref="H37:H42" si="1">LARGE($D$37:$D$42,ROW(A1))</f>
        <v>0</v>
      </c>
      <c r="I37" s="365"/>
      <c r="J37" s="365"/>
      <c r="K37" s="363"/>
      <c r="L37" s="175"/>
      <c r="M37" s="175"/>
      <c r="N37" s="175"/>
      <c r="O37" s="175"/>
      <c r="P37" s="175"/>
      <c r="Q37" s="175"/>
      <c r="R37" s="2397"/>
      <c r="S37" s="2397"/>
      <c r="T37" s="2397"/>
      <c r="U37" s="2397"/>
      <c r="V37" s="2397"/>
      <c r="W37" s="2397"/>
      <c r="X37" s="2397"/>
      <c r="Y37" s="366" t="s">
        <v>192</v>
      </c>
      <c r="Z37" s="175"/>
      <c r="AA37" s="348"/>
      <c r="AB37" s="175"/>
      <c r="AC37" s="175"/>
      <c r="AD37" s="175"/>
      <c r="AE37" s="175"/>
      <c r="AF37" s="175"/>
      <c r="AG37" s="175"/>
      <c r="AH37" s="175"/>
      <c r="AI37" s="175"/>
      <c r="AJ37" s="175"/>
      <c r="AK37" s="175"/>
      <c r="AL37" s="175"/>
      <c r="AM37" s="175"/>
      <c r="AN37" s="175"/>
      <c r="AO37" s="175"/>
      <c r="AP37" s="175"/>
      <c r="AQ37" s="175"/>
      <c r="AR37" s="2399"/>
      <c r="AS37" s="2399"/>
      <c r="AT37" s="2399"/>
      <c r="AU37" s="2399"/>
      <c r="AV37" s="2399"/>
      <c r="AW37" s="2399"/>
      <c r="AX37" s="2399"/>
      <c r="AY37" s="366" t="s">
        <v>192</v>
      </c>
      <c r="AZ37" s="357"/>
    </row>
    <row r="38" spans="1:59" ht="14.25" customHeight="1">
      <c r="A38" s="364"/>
      <c r="B38" s="365"/>
      <c r="C38" s="365" t="s">
        <v>2653</v>
      </c>
      <c r="D38" s="365">
        <f>IF(OR(H23="",H23=0),0,2)</f>
        <v>0</v>
      </c>
      <c r="E38" s="365"/>
      <c r="F38" s="365"/>
      <c r="G38" s="365">
        <v>2</v>
      </c>
      <c r="H38" s="365">
        <f t="shared" si="1"/>
        <v>0</v>
      </c>
      <c r="I38" s="365"/>
      <c r="J38" s="365"/>
      <c r="K38" s="363"/>
      <c r="L38" s="175"/>
      <c r="M38" s="175"/>
      <c r="N38" s="1088" t="s">
        <v>193</v>
      </c>
      <c r="O38" s="1088"/>
      <c r="P38" s="1088"/>
      <c r="Q38" s="1088"/>
      <c r="R38" s="1088"/>
      <c r="S38" s="1088"/>
      <c r="T38" s="1088"/>
      <c r="U38" s="1088"/>
      <c r="V38" s="1088"/>
      <c r="W38" s="1088"/>
      <c r="X38" s="1088"/>
      <c r="Y38" s="1088"/>
      <c r="Z38" s="175"/>
      <c r="AA38" s="348"/>
      <c r="AB38" s="175"/>
      <c r="AC38" s="175"/>
      <c r="AD38" s="175"/>
      <c r="AE38" s="175"/>
      <c r="AF38" s="175"/>
      <c r="AG38" s="175"/>
      <c r="AH38" s="175"/>
      <c r="AI38" s="175"/>
      <c r="AJ38" s="175"/>
      <c r="AK38" s="175"/>
      <c r="AL38" s="175"/>
      <c r="AM38" s="175"/>
      <c r="AN38" s="1088" t="s">
        <v>193</v>
      </c>
      <c r="AO38" s="1088"/>
      <c r="AP38" s="1088"/>
      <c r="AQ38" s="1088"/>
      <c r="AR38" s="1088"/>
      <c r="AS38" s="1088"/>
      <c r="AT38" s="1088"/>
      <c r="AU38" s="1088"/>
      <c r="AV38" s="1088"/>
      <c r="AW38" s="1088"/>
      <c r="AX38" s="1088"/>
      <c r="AY38" s="1088"/>
      <c r="AZ38" s="357"/>
    </row>
    <row r="39" spans="1:59" ht="14.25" customHeight="1">
      <c r="A39" s="364"/>
      <c r="B39" s="365"/>
      <c r="C39" s="365" t="s">
        <v>2654</v>
      </c>
      <c r="D39" s="365">
        <f>IF(OR(H24="",H24=0),0,3)</f>
        <v>0</v>
      </c>
      <c r="E39" s="365"/>
      <c r="F39" s="365"/>
      <c r="G39" s="365">
        <v>3</v>
      </c>
      <c r="H39" s="365">
        <f t="shared" si="1"/>
        <v>0</v>
      </c>
      <c r="I39" s="365"/>
      <c r="J39" s="365"/>
      <c r="K39" s="198"/>
      <c r="L39" s="2350">
        <f>IF(OR(W39="",W39=0),0,'04 利用者名簿'!CN3)</f>
        <v>0</v>
      </c>
      <c r="M39" s="2350"/>
      <c r="N39" s="2350"/>
      <c r="O39" s="2350"/>
      <c r="P39" s="2350"/>
      <c r="Q39" s="367"/>
      <c r="R39" s="2404">
        <f>IF(OR(W39="",W39=0),0,'04 利用者名簿'!CQ3)</f>
        <v>0</v>
      </c>
      <c r="S39" s="2404"/>
      <c r="T39" s="2404"/>
      <c r="U39" s="175"/>
      <c r="V39" s="175"/>
      <c r="W39" s="2401">
        <f>'04 利用者名簿'!CO3</f>
        <v>0</v>
      </c>
      <c r="X39" s="2401"/>
      <c r="Y39" s="175"/>
      <c r="Z39" s="175"/>
      <c r="AA39" s="348"/>
      <c r="AB39" s="175"/>
      <c r="AC39" s="175"/>
      <c r="AD39" s="175"/>
      <c r="AE39" s="175"/>
      <c r="AF39" s="175"/>
      <c r="AG39" s="175"/>
      <c r="AH39" s="175"/>
      <c r="AI39" s="175"/>
      <c r="AJ39" s="175"/>
      <c r="AK39" s="175"/>
      <c r="AL39" s="2350" t="s">
        <v>2690</v>
      </c>
      <c r="AM39" s="2350"/>
      <c r="AN39" s="2350"/>
      <c r="AO39" s="2350"/>
      <c r="AP39" s="2350"/>
      <c r="AQ39" s="367"/>
      <c r="AR39" s="2407">
        <v>330</v>
      </c>
      <c r="AS39" s="2407"/>
      <c r="AT39" s="2407"/>
      <c r="AU39" s="175"/>
      <c r="AV39" s="175"/>
      <c r="AW39" s="2407">
        <v>9</v>
      </c>
      <c r="AX39" s="2407"/>
      <c r="AY39" s="175"/>
      <c r="AZ39" s="357"/>
    </row>
    <row r="40" spans="1:59" ht="14.25" customHeight="1">
      <c r="A40" s="364"/>
      <c r="B40" s="365"/>
      <c r="C40" s="365" t="s">
        <v>2655</v>
      </c>
      <c r="D40" s="365">
        <f>IF(OR(H25="",H25=0),0,4)</f>
        <v>0</v>
      </c>
      <c r="E40" s="365"/>
      <c r="F40" s="365"/>
      <c r="G40" s="365">
        <v>4</v>
      </c>
      <c r="H40" s="365">
        <f t="shared" si="1"/>
        <v>0</v>
      </c>
      <c r="I40" s="365"/>
      <c r="J40" s="365"/>
      <c r="K40" s="198"/>
      <c r="L40" s="2350"/>
      <c r="M40" s="2350"/>
      <c r="N40" s="2350"/>
      <c r="O40" s="2350"/>
      <c r="P40" s="2350"/>
      <c r="Q40" s="188" t="s">
        <v>229</v>
      </c>
      <c r="R40" s="2405"/>
      <c r="S40" s="2405"/>
      <c r="T40" s="2405"/>
      <c r="U40" s="188" t="s">
        <v>192</v>
      </c>
      <c r="V40" s="188" t="s">
        <v>230</v>
      </c>
      <c r="W40" s="2402"/>
      <c r="X40" s="2402"/>
      <c r="Y40" s="188" t="s">
        <v>24</v>
      </c>
      <c r="Z40" s="175"/>
      <c r="AA40" s="348"/>
      <c r="AB40" s="175"/>
      <c r="AC40" s="175"/>
      <c r="AD40" s="175"/>
      <c r="AE40" s="175"/>
      <c r="AF40" s="175"/>
      <c r="AG40" s="175"/>
      <c r="AH40" s="175"/>
      <c r="AI40" s="175"/>
      <c r="AJ40" s="175"/>
      <c r="AK40" s="175"/>
      <c r="AL40" s="2350"/>
      <c r="AM40" s="2350"/>
      <c r="AN40" s="2350"/>
      <c r="AO40" s="2350"/>
      <c r="AP40" s="2350"/>
      <c r="AQ40" s="188" t="s">
        <v>194</v>
      </c>
      <c r="AR40" s="2408"/>
      <c r="AS40" s="2408"/>
      <c r="AT40" s="2408"/>
      <c r="AU40" s="188" t="s">
        <v>192</v>
      </c>
      <c r="AV40" s="188" t="s">
        <v>99</v>
      </c>
      <c r="AW40" s="2408"/>
      <c r="AX40" s="2408"/>
      <c r="AY40" s="188" t="s">
        <v>24</v>
      </c>
      <c r="AZ40" s="357"/>
    </row>
    <row r="41" spans="1:59" ht="14.25" customHeight="1">
      <c r="A41" s="364"/>
      <c r="B41" s="365"/>
      <c r="C41" s="365" t="s">
        <v>2656</v>
      </c>
      <c r="D41" s="365">
        <f>IF(OR(H26="",H26=0),0,5)</f>
        <v>0</v>
      </c>
      <c r="E41" s="365"/>
      <c r="F41" s="365"/>
      <c r="G41" s="365">
        <v>5</v>
      </c>
      <c r="H41" s="365">
        <f t="shared" si="1"/>
        <v>0</v>
      </c>
      <c r="I41" s="365"/>
      <c r="J41" s="365"/>
      <c r="K41" s="198"/>
      <c r="L41" s="2350">
        <f>IF(OR(W41="",W41=0),0,'04 利用者名簿'!CN4)</f>
        <v>0</v>
      </c>
      <c r="M41" s="2350"/>
      <c r="N41" s="2350"/>
      <c r="O41" s="2350"/>
      <c r="P41" s="2350"/>
      <c r="Q41" s="368"/>
      <c r="R41" s="2406">
        <f>IF(OR(W41="",W41=0),0,'04 利用者名簿'!CQ4)</f>
        <v>0</v>
      </c>
      <c r="S41" s="2406"/>
      <c r="T41" s="2406"/>
      <c r="U41" s="368"/>
      <c r="V41" s="368"/>
      <c r="W41" s="2403">
        <f>'04 利用者名簿'!CO4</f>
        <v>0</v>
      </c>
      <c r="X41" s="2403"/>
      <c r="Y41" s="368"/>
      <c r="Z41" s="175"/>
      <c r="AA41" s="348"/>
      <c r="AB41" s="175"/>
      <c r="AC41" s="175"/>
      <c r="AD41" s="175"/>
      <c r="AE41" s="175"/>
      <c r="AF41" s="175"/>
      <c r="AG41" s="175"/>
      <c r="AH41" s="175"/>
      <c r="AI41" s="175"/>
      <c r="AJ41" s="175"/>
      <c r="AK41" s="175"/>
      <c r="AL41" s="2350" t="s">
        <v>2691</v>
      </c>
      <c r="AM41" s="2350"/>
      <c r="AN41" s="2350"/>
      <c r="AO41" s="2350"/>
      <c r="AP41" s="2350"/>
      <c r="AQ41" s="368"/>
      <c r="AR41" s="2409">
        <v>330</v>
      </c>
      <c r="AS41" s="2409"/>
      <c r="AT41" s="2409"/>
      <c r="AU41" s="368"/>
      <c r="AV41" s="368"/>
      <c r="AW41" s="2409">
        <v>1</v>
      </c>
      <c r="AX41" s="2409"/>
      <c r="AY41" s="368"/>
      <c r="AZ41" s="357"/>
    </row>
    <row r="42" spans="1:59" ht="14.25" customHeight="1">
      <c r="A42" s="364"/>
      <c r="B42" s="365"/>
      <c r="C42" s="365" t="s">
        <v>2657</v>
      </c>
      <c r="D42" s="365">
        <f>IF(OR(H27="",H27=0),0,7)</f>
        <v>0</v>
      </c>
      <c r="E42" s="365"/>
      <c r="F42" s="365"/>
      <c r="G42" s="365">
        <v>7</v>
      </c>
      <c r="H42" s="365">
        <f t="shared" si="1"/>
        <v>0</v>
      </c>
      <c r="I42" s="365"/>
      <c r="J42" s="365"/>
      <c r="K42" s="198"/>
      <c r="L42" s="2350"/>
      <c r="M42" s="2350"/>
      <c r="N42" s="2350"/>
      <c r="O42" s="2350"/>
      <c r="P42" s="2350"/>
      <c r="Q42" s="188" t="s">
        <v>229</v>
      </c>
      <c r="R42" s="2405"/>
      <c r="S42" s="2405"/>
      <c r="T42" s="2405"/>
      <c r="U42" s="188" t="s">
        <v>192</v>
      </c>
      <c r="V42" s="188" t="s">
        <v>99</v>
      </c>
      <c r="W42" s="2402"/>
      <c r="X42" s="2402"/>
      <c r="Y42" s="188" t="s">
        <v>24</v>
      </c>
      <c r="Z42" s="175"/>
      <c r="AA42" s="348"/>
      <c r="AB42" s="175"/>
      <c r="AC42" s="175"/>
      <c r="AD42" s="175"/>
      <c r="AE42" s="175"/>
      <c r="AF42" s="175"/>
      <c r="AG42" s="175"/>
      <c r="AH42" s="175"/>
      <c r="AI42" s="175"/>
      <c r="AJ42" s="175"/>
      <c r="AK42" s="175"/>
      <c r="AL42" s="2350"/>
      <c r="AM42" s="2350"/>
      <c r="AN42" s="2350"/>
      <c r="AO42" s="2350"/>
      <c r="AP42" s="2350"/>
      <c r="AQ42" s="188" t="s">
        <v>194</v>
      </c>
      <c r="AR42" s="2408"/>
      <c r="AS42" s="2408"/>
      <c r="AT42" s="2408"/>
      <c r="AU42" s="188" t="s">
        <v>192</v>
      </c>
      <c r="AV42" s="188" t="s">
        <v>99</v>
      </c>
      <c r="AW42" s="2408"/>
      <c r="AX42" s="2408"/>
      <c r="AY42" s="188" t="s">
        <v>24</v>
      </c>
      <c r="AZ42" s="357"/>
    </row>
    <row r="43" spans="1:59" ht="14.25" customHeight="1">
      <c r="A43" s="364"/>
      <c r="B43" s="365"/>
      <c r="C43" s="365"/>
      <c r="D43" s="365"/>
      <c r="E43" s="365"/>
      <c r="F43" s="365"/>
      <c r="G43" s="365"/>
      <c r="H43" s="365"/>
      <c r="I43" s="365"/>
      <c r="J43" s="365"/>
      <c r="K43" s="198"/>
      <c r="L43" s="2350">
        <f>IF(OR(W43="",W43=0),0,'04 利用者名簿'!CN5)</f>
        <v>0</v>
      </c>
      <c r="M43" s="2350"/>
      <c r="N43" s="2350"/>
      <c r="O43" s="2350"/>
      <c r="P43" s="2350"/>
      <c r="Q43" s="368"/>
      <c r="R43" s="2406">
        <f>IF(OR(W43="",W43=0),0,'04 利用者名簿'!CQ5)</f>
        <v>0</v>
      </c>
      <c r="S43" s="2406"/>
      <c r="T43" s="2406"/>
      <c r="U43" s="368"/>
      <c r="V43" s="368"/>
      <c r="W43" s="2403">
        <f>'04 利用者名簿'!CO5</f>
        <v>0</v>
      </c>
      <c r="X43" s="2403"/>
      <c r="Y43" s="368"/>
      <c r="Z43" s="175"/>
      <c r="AA43" s="348"/>
      <c r="AB43" s="175"/>
      <c r="AC43" s="175"/>
      <c r="AD43" s="175"/>
      <c r="AE43" s="175"/>
      <c r="AF43" s="175"/>
      <c r="AG43" s="175"/>
      <c r="AH43" s="175"/>
      <c r="AI43" s="175"/>
      <c r="AJ43" s="175"/>
      <c r="AK43" s="175"/>
      <c r="AL43" s="2350" t="s">
        <v>2692</v>
      </c>
      <c r="AM43" s="2350"/>
      <c r="AN43" s="2350"/>
      <c r="AO43" s="2350"/>
      <c r="AP43" s="2350"/>
      <c r="AQ43" s="368"/>
      <c r="AR43" s="2409">
        <v>330</v>
      </c>
      <c r="AS43" s="2409"/>
      <c r="AT43" s="2409"/>
      <c r="AU43" s="368"/>
      <c r="AV43" s="368"/>
      <c r="AW43" s="2409">
        <v>1</v>
      </c>
      <c r="AX43" s="2409"/>
      <c r="AY43" s="368"/>
      <c r="AZ43" s="357"/>
    </row>
    <row r="44" spans="1:59" ht="14.25" customHeight="1">
      <c r="A44" s="364"/>
      <c r="B44" s="365"/>
      <c r="C44" s="365"/>
      <c r="D44" s="365"/>
      <c r="E44" s="365"/>
      <c r="F44" s="365"/>
      <c r="G44" s="365"/>
      <c r="H44" s="365"/>
      <c r="I44" s="365"/>
      <c r="J44" s="365"/>
      <c r="K44" s="198"/>
      <c r="L44" s="2350"/>
      <c r="M44" s="2350"/>
      <c r="N44" s="2350"/>
      <c r="O44" s="2350"/>
      <c r="P44" s="2350"/>
      <c r="Q44" s="188" t="s">
        <v>229</v>
      </c>
      <c r="R44" s="2405"/>
      <c r="S44" s="2405"/>
      <c r="T44" s="2405"/>
      <c r="U44" s="188" t="s">
        <v>192</v>
      </c>
      <c r="V44" s="188" t="s">
        <v>230</v>
      </c>
      <c r="W44" s="2402"/>
      <c r="X44" s="2402"/>
      <c r="Y44" s="188" t="s">
        <v>24</v>
      </c>
      <c r="Z44" s="175"/>
      <c r="AA44" s="348"/>
      <c r="AB44" s="175"/>
      <c r="AC44" s="175"/>
      <c r="AD44" s="175"/>
      <c r="AE44" s="175"/>
      <c r="AF44" s="175"/>
      <c r="AG44" s="175"/>
      <c r="AH44" s="175"/>
      <c r="AI44" s="175"/>
      <c r="AJ44" s="175"/>
      <c r="AK44" s="175"/>
      <c r="AL44" s="2350"/>
      <c r="AM44" s="2350"/>
      <c r="AN44" s="2350"/>
      <c r="AO44" s="2350"/>
      <c r="AP44" s="2350"/>
      <c r="AQ44" s="188" t="s">
        <v>194</v>
      </c>
      <c r="AR44" s="2408"/>
      <c r="AS44" s="2408"/>
      <c r="AT44" s="2408"/>
      <c r="AU44" s="188" t="s">
        <v>192</v>
      </c>
      <c r="AV44" s="188" t="s">
        <v>99</v>
      </c>
      <c r="AW44" s="2408"/>
      <c r="AX44" s="2408"/>
      <c r="AY44" s="188" t="s">
        <v>24</v>
      </c>
      <c r="AZ44" s="357"/>
    </row>
    <row r="45" spans="1:59" ht="14.25" customHeight="1">
      <c r="A45" s="348"/>
      <c r="B45" s="153"/>
      <c r="C45" s="153"/>
      <c r="D45" s="198"/>
      <c r="E45" s="198"/>
      <c r="F45" s="198"/>
      <c r="G45" s="198"/>
      <c r="H45" s="198"/>
      <c r="I45" s="198"/>
      <c r="J45" s="198"/>
      <c r="K45" s="198"/>
      <c r="L45" s="2350">
        <f>IF(OR(W45="",W45=0),0,'04 利用者名簿'!CN6)</f>
        <v>0</v>
      </c>
      <c r="M45" s="2350"/>
      <c r="N45" s="2350"/>
      <c r="O45" s="2350"/>
      <c r="P45" s="2350"/>
      <c r="Q45" s="368"/>
      <c r="R45" s="2406">
        <f>IF(OR(W45="",W45=0),0,'04 利用者名簿'!CQ6)</f>
        <v>0</v>
      </c>
      <c r="S45" s="2406"/>
      <c r="T45" s="2406"/>
      <c r="U45" s="368"/>
      <c r="V45" s="368"/>
      <c r="W45" s="2403">
        <f>'04 利用者名簿'!CO6</f>
        <v>0</v>
      </c>
      <c r="X45" s="2403"/>
      <c r="Y45" s="368"/>
      <c r="Z45" s="175"/>
      <c r="AA45" s="348"/>
      <c r="AB45" s="153"/>
      <c r="AC45" s="153"/>
      <c r="AD45" s="153"/>
      <c r="AE45" s="153"/>
      <c r="AF45" s="153"/>
      <c r="AG45" s="153"/>
      <c r="AH45" s="153"/>
      <c r="AI45" s="153"/>
      <c r="AJ45" s="153"/>
      <c r="AK45" s="175"/>
      <c r="AL45" s="2350">
        <f>IF(OR(AW45="",AW45=0),0,'04 利用者名簿'!DN6)</f>
        <v>0</v>
      </c>
      <c r="AM45" s="2350"/>
      <c r="AN45" s="2350"/>
      <c r="AO45" s="2350"/>
      <c r="AP45" s="2350"/>
      <c r="AQ45" s="368"/>
      <c r="AR45" s="2409">
        <f>IF(OR(AW45="",AW45=0),0,'04 利用者名簿'!DQ6)</f>
        <v>0</v>
      </c>
      <c r="AS45" s="2409"/>
      <c r="AT45" s="2409"/>
      <c r="AU45" s="368"/>
      <c r="AV45" s="368"/>
      <c r="AW45" s="2409">
        <f>'04 利用者名簿'!DO6</f>
        <v>0</v>
      </c>
      <c r="AX45" s="2409"/>
      <c r="AY45" s="368"/>
      <c r="AZ45" s="357"/>
    </row>
    <row r="46" spans="1:59" ht="14.25" customHeight="1">
      <c r="A46" s="348"/>
      <c r="B46" s="153"/>
      <c r="C46" s="153"/>
      <c r="D46" s="153"/>
      <c r="E46" s="153"/>
      <c r="F46" s="153"/>
      <c r="G46" s="153"/>
      <c r="H46" s="153"/>
      <c r="I46" s="153"/>
      <c r="J46" s="181"/>
      <c r="K46" s="153"/>
      <c r="L46" s="2350"/>
      <c r="M46" s="2350"/>
      <c r="N46" s="2350"/>
      <c r="O46" s="2350"/>
      <c r="P46" s="2350"/>
      <c r="Q46" s="188" t="s">
        <v>229</v>
      </c>
      <c r="R46" s="2405"/>
      <c r="S46" s="2405"/>
      <c r="T46" s="2405"/>
      <c r="U46" s="188" t="s">
        <v>192</v>
      </c>
      <c r="V46" s="188" t="s">
        <v>232</v>
      </c>
      <c r="W46" s="2402"/>
      <c r="X46" s="2402"/>
      <c r="Y46" s="188" t="s">
        <v>24</v>
      </c>
      <c r="Z46" s="175"/>
      <c r="AA46" s="348"/>
      <c r="AB46" s="153"/>
      <c r="AC46" s="153"/>
      <c r="AD46" s="153"/>
      <c r="AE46" s="153"/>
      <c r="AF46" s="153"/>
      <c r="AG46" s="153"/>
      <c r="AH46" s="153"/>
      <c r="AI46" s="153"/>
      <c r="AJ46" s="153"/>
      <c r="AK46" s="175"/>
      <c r="AL46" s="2350"/>
      <c r="AM46" s="2350"/>
      <c r="AN46" s="2350"/>
      <c r="AO46" s="2350"/>
      <c r="AP46" s="2350"/>
      <c r="AQ46" s="188" t="s">
        <v>194</v>
      </c>
      <c r="AR46" s="2408"/>
      <c r="AS46" s="2408"/>
      <c r="AT46" s="2408"/>
      <c r="AU46" s="188" t="s">
        <v>192</v>
      </c>
      <c r="AV46" s="188" t="s">
        <v>99</v>
      </c>
      <c r="AW46" s="2408"/>
      <c r="AX46" s="2408"/>
      <c r="AY46" s="188" t="s">
        <v>24</v>
      </c>
      <c r="AZ46" s="357"/>
    </row>
    <row r="47" spans="1:59" ht="14.25" customHeight="1">
      <c r="A47" s="348"/>
      <c r="B47" s="2410" t="s">
        <v>334</v>
      </c>
      <c r="C47" s="2410"/>
      <c r="D47" s="2410"/>
      <c r="E47" s="2410" t="s">
        <v>195</v>
      </c>
      <c r="F47" s="2410"/>
      <c r="G47" s="2410"/>
      <c r="H47" s="2410" t="s">
        <v>7</v>
      </c>
      <c r="I47" s="2410"/>
      <c r="J47" s="2410"/>
      <c r="K47" s="369"/>
      <c r="L47" s="2350">
        <f>IF(OR(W47="",W47=0),0,'04 利用者名簿'!CN7)</f>
        <v>0</v>
      </c>
      <c r="M47" s="2350"/>
      <c r="N47" s="2350"/>
      <c r="O47" s="2350"/>
      <c r="P47" s="2350"/>
      <c r="Q47" s="368"/>
      <c r="R47" s="2406">
        <f>IF(OR(W47="",W47=0),0,'04 利用者名簿'!CQ7)</f>
        <v>0</v>
      </c>
      <c r="S47" s="2406"/>
      <c r="T47" s="2406"/>
      <c r="U47" s="368"/>
      <c r="V47" s="368"/>
      <c r="W47" s="2403">
        <f>'04 利用者名簿'!CO7</f>
        <v>0</v>
      </c>
      <c r="X47" s="2403"/>
      <c r="Y47" s="368"/>
      <c r="Z47" s="175"/>
      <c r="AA47" s="348"/>
      <c r="AB47" s="2410" t="s">
        <v>334</v>
      </c>
      <c r="AC47" s="2410"/>
      <c r="AD47" s="2410"/>
      <c r="AE47" s="2410" t="s">
        <v>195</v>
      </c>
      <c r="AF47" s="2410"/>
      <c r="AG47" s="2410"/>
      <c r="AH47" s="2410" t="s">
        <v>7</v>
      </c>
      <c r="AI47" s="2410"/>
      <c r="AJ47" s="2410"/>
      <c r="AK47" s="175"/>
      <c r="AL47" s="2350">
        <f>IF(OR(AW47="",AW47=0),0,'04 利用者名簿'!DN7)</f>
        <v>0</v>
      </c>
      <c r="AM47" s="2350"/>
      <c r="AN47" s="2350"/>
      <c r="AO47" s="2350"/>
      <c r="AP47" s="2350"/>
      <c r="AQ47" s="368"/>
      <c r="AR47" s="2409">
        <f>IF(OR(AW47="",AW47=0),0,'04 利用者名簿'!DQ7)</f>
        <v>0</v>
      </c>
      <c r="AS47" s="2409"/>
      <c r="AT47" s="2409"/>
      <c r="AU47" s="368"/>
      <c r="AV47" s="368"/>
      <c r="AW47" s="2409">
        <f>'04 利用者名簿'!DO7</f>
        <v>0</v>
      </c>
      <c r="AX47" s="2409"/>
      <c r="AY47" s="368"/>
      <c r="AZ47" s="357"/>
    </row>
    <row r="48" spans="1:59" ht="14.25" customHeight="1">
      <c r="A48" s="348"/>
      <c r="B48" s="2410"/>
      <c r="C48" s="2410"/>
      <c r="D48" s="2410"/>
      <c r="E48" s="2410"/>
      <c r="F48" s="2410"/>
      <c r="G48" s="2410"/>
      <c r="H48" s="2410"/>
      <c r="I48" s="2410"/>
      <c r="J48" s="2410"/>
      <c r="K48" s="369"/>
      <c r="L48" s="2350"/>
      <c r="M48" s="2350"/>
      <c r="N48" s="2350"/>
      <c r="O48" s="2350"/>
      <c r="P48" s="2350"/>
      <c r="Q48" s="188" t="s">
        <v>231</v>
      </c>
      <c r="R48" s="2405"/>
      <c r="S48" s="2405"/>
      <c r="T48" s="2405"/>
      <c r="U48" s="188" t="s">
        <v>192</v>
      </c>
      <c r="V48" s="188" t="s">
        <v>230</v>
      </c>
      <c r="W48" s="2402"/>
      <c r="X48" s="2402"/>
      <c r="Y48" s="188" t="s">
        <v>24</v>
      </c>
      <c r="Z48" s="175"/>
      <c r="AA48" s="348"/>
      <c r="AB48" s="2410"/>
      <c r="AC48" s="2410"/>
      <c r="AD48" s="2410"/>
      <c r="AE48" s="2410"/>
      <c r="AF48" s="2410"/>
      <c r="AG48" s="2410"/>
      <c r="AH48" s="2410"/>
      <c r="AI48" s="2410"/>
      <c r="AJ48" s="2410"/>
      <c r="AK48" s="175"/>
      <c r="AL48" s="2350"/>
      <c r="AM48" s="2350"/>
      <c r="AN48" s="2350"/>
      <c r="AO48" s="2350"/>
      <c r="AP48" s="2350"/>
      <c r="AQ48" s="188" t="s">
        <v>194</v>
      </c>
      <c r="AR48" s="2408"/>
      <c r="AS48" s="2408"/>
      <c r="AT48" s="2408"/>
      <c r="AU48" s="188" t="s">
        <v>192</v>
      </c>
      <c r="AV48" s="188" t="s">
        <v>99</v>
      </c>
      <c r="AW48" s="2408"/>
      <c r="AX48" s="2408"/>
      <c r="AY48" s="188" t="s">
        <v>24</v>
      </c>
      <c r="AZ48" s="357"/>
    </row>
    <row r="49" spans="1:52" ht="14.25" customHeight="1">
      <c r="A49" s="348"/>
      <c r="B49" s="1202"/>
      <c r="C49" s="1203"/>
      <c r="D49" s="1204"/>
      <c r="E49" s="1202"/>
      <c r="F49" s="1203"/>
      <c r="G49" s="1204"/>
      <c r="H49" s="1202"/>
      <c r="I49" s="1203"/>
      <c r="J49" s="1204"/>
      <c r="K49" s="369"/>
      <c r="L49" s="2350">
        <f>IF(OR(W49="",W49=0),0,'04 利用者名簿'!CN8)</f>
        <v>0</v>
      </c>
      <c r="M49" s="2350"/>
      <c r="N49" s="2350"/>
      <c r="O49" s="2350"/>
      <c r="P49" s="2350"/>
      <c r="Q49" s="368"/>
      <c r="R49" s="2406">
        <f>IF(OR(W49="",W49=0),0,'04 利用者名簿'!CQ8)</f>
        <v>0</v>
      </c>
      <c r="S49" s="2406"/>
      <c r="T49" s="2406"/>
      <c r="U49" s="368"/>
      <c r="V49" s="368"/>
      <c r="W49" s="2403">
        <f>'04 利用者名簿'!CO8</f>
        <v>0</v>
      </c>
      <c r="X49" s="2403"/>
      <c r="Y49" s="368"/>
      <c r="Z49" s="175"/>
      <c r="AA49" s="348"/>
      <c r="AB49" s="2410"/>
      <c r="AC49" s="2410"/>
      <c r="AD49" s="2410"/>
      <c r="AE49" s="2410"/>
      <c r="AF49" s="2410"/>
      <c r="AG49" s="2410"/>
      <c r="AH49" s="2410"/>
      <c r="AI49" s="2410"/>
      <c r="AJ49" s="2410"/>
      <c r="AK49" s="175"/>
      <c r="AL49" s="2350">
        <f>IF(OR(AW49="",AW49=0),0,'04 利用者名簿'!DN8)</f>
        <v>0</v>
      </c>
      <c r="AM49" s="2350"/>
      <c r="AN49" s="2350"/>
      <c r="AO49" s="2350"/>
      <c r="AP49" s="2350"/>
      <c r="AQ49" s="368"/>
      <c r="AR49" s="2409">
        <f>IF(OR(AW49="",AW49=0),0,'04 利用者名簿'!DQ8)</f>
        <v>0</v>
      </c>
      <c r="AS49" s="2409"/>
      <c r="AT49" s="2409"/>
      <c r="AU49" s="368"/>
      <c r="AV49" s="368"/>
      <c r="AW49" s="2409">
        <f>'04 利用者名簿'!DO8</f>
        <v>0</v>
      </c>
      <c r="AX49" s="2409"/>
      <c r="AY49" s="368"/>
      <c r="AZ49" s="357"/>
    </row>
    <row r="50" spans="1:52" ht="14.25" customHeight="1">
      <c r="A50" s="348"/>
      <c r="B50" s="1141"/>
      <c r="C50" s="1142"/>
      <c r="D50" s="2411"/>
      <c r="E50" s="1141"/>
      <c r="F50" s="1142"/>
      <c r="G50" s="2411"/>
      <c r="H50" s="1141"/>
      <c r="I50" s="1142"/>
      <c r="J50" s="2411"/>
      <c r="K50" s="369"/>
      <c r="L50" s="2350"/>
      <c r="M50" s="2350"/>
      <c r="N50" s="2350"/>
      <c r="O50" s="2350"/>
      <c r="P50" s="2350"/>
      <c r="Q50" s="188" t="s">
        <v>231</v>
      </c>
      <c r="R50" s="2405"/>
      <c r="S50" s="2405"/>
      <c r="T50" s="2405"/>
      <c r="U50" s="188" t="s">
        <v>192</v>
      </c>
      <c r="V50" s="188" t="s">
        <v>233</v>
      </c>
      <c r="W50" s="2402"/>
      <c r="X50" s="2402"/>
      <c r="Y50" s="188" t="s">
        <v>24</v>
      </c>
      <c r="Z50" s="175"/>
      <c r="AA50" s="348"/>
      <c r="AB50" s="2410"/>
      <c r="AC50" s="2410"/>
      <c r="AD50" s="2410"/>
      <c r="AE50" s="2410"/>
      <c r="AF50" s="2410"/>
      <c r="AG50" s="2410"/>
      <c r="AH50" s="2410"/>
      <c r="AI50" s="2410"/>
      <c r="AJ50" s="2410"/>
      <c r="AK50" s="175"/>
      <c r="AL50" s="2350"/>
      <c r="AM50" s="2350"/>
      <c r="AN50" s="2350"/>
      <c r="AO50" s="2350"/>
      <c r="AP50" s="2350"/>
      <c r="AQ50" s="188" t="s">
        <v>194</v>
      </c>
      <c r="AR50" s="2408"/>
      <c r="AS50" s="2408"/>
      <c r="AT50" s="2408"/>
      <c r="AU50" s="188" t="s">
        <v>192</v>
      </c>
      <c r="AV50" s="188" t="s">
        <v>99</v>
      </c>
      <c r="AW50" s="2408"/>
      <c r="AX50" s="2408"/>
      <c r="AY50" s="188" t="s">
        <v>24</v>
      </c>
      <c r="AZ50" s="357"/>
    </row>
    <row r="51" spans="1:52" ht="14.25" customHeight="1">
      <c r="A51" s="370"/>
      <c r="B51" s="1141"/>
      <c r="C51" s="1142"/>
      <c r="D51" s="2411"/>
      <c r="E51" s="1141"/>
      <c r="F51" s="1142"/>
      <c r="G51" s="2411"/>
      <c r="H51" s="1141"/>
      <c r="I51" s="1142"/>
      <c r="J51" s="2411"/>
      <c r="K51" s="349"/>
      <c r="L51" s="2350">
        <f>IF(OR(W51="",W51=0),0,'04 利用者名簿'!CN9)</f>
        <v>0</v>
      </c>
      <c r="M51" s="2350"/>
      <c r="N51" s="2350"/>
      <c r="O51" s="2350"/>
      <c r="P51" s="2350"/>
      <c r="Q51" s="368"/>
      <c r="R51" s="2406">
        <f>IF(OR(W51="",W51=0),0,'04 利用者名簿'!CQ9)</f>
        <v>0</v>
      </c>
      <c r="S51" s="2406"/>
      <c r="T51" s="2406"/>
      <c r="U51" s="368"/>
      <c r="V51" s="368"/>
      <c r="W51" s="2403">
        <f>'04 利用者名簿'!CO9</f>
        <v>0</v>
      </c>
      <c r="X51" s="2403"/>
      <c r="Y51" s="368"/>
      <c r="Z51" s="349"/>
      <c r="AA51" s="348"/>
      <c r="AB51" s="2410"/>
      <c r="AC51" s="2410"/>
      <c r="AD51" s="2410"/>
      <c r="AE51" s="2410"/>
      <c r="AF51" s="2410"/>
      <c r="AG51" s="2410"/>
      <c r="AH51" s="2410"/>
      <c r="AI51" s="2410"/>
      <c r="AJ51" s="2410"/>
      <c r="AK51" s="349"/>
      <c r="AL51" s="2350">
        <f>IF(OR(AW51="",AW51=0),0,'04 利用者名簿'!DN9)</f>
        <v>0</v>
      </c>
      <c r="AM51" s="2350"/>
      <c r="AN51" s="2350"/>
      <c r="AO51" s="2350"/>
      <c r="AP51" s="2350"/>
      <c r="AQ51" s="368"/>
      <c r="AR51" s="2409">
        <f>IF(OR(AW51="",AW51=0),0,'04 利用者名簿'!DQ9)</f>
        <v>0</v>
      </c>
      <c r="AS51" s="2409"/>
      <c r="AT51" s="2409"/>
      <c r="AU51" s="368"/>
      <c r="AV51" s="368"/>
      <c r="AW51" s="2409">
        <f>'04 利用者名簿'!DO9</f>
        <v>0</v>
      </c>
      <c r="AX51" s="2409"/>
      <c r="AY51" s="368"/>
      <c r="AZ51" s="354"/>
    </row>
    <row r="52" spans="1:52" ht="14.25" customHeight="1">
      <c r="A52" s="348"/>
      <c r="B52" s="1143"/>
      <c r="C52" s="1144"/>
      <c r="D52" s="1205"/>
      <c r="E52" s="1143"/>
      <c r="F52" s="1144"/>
      <c r="G52" s="1205"/>
      <c r="H52" s="1143"/>
      <c r="I52" s="1144"/>
      <c r="J52" s="1205"/>
      <c r="K52" s="371"/>
      <c r="L52" s="2350"/>
      <c r="M52" s="2350"/>
      <c r="N52" s="2350"/>
      <c r="O52" s="2350"/>
      <c r="P52" s="2350"/>
      <c r="Q52" s="188" t="s">
        <v>194</v>
      </c>
      <c r="R52" s="2405"/>
      <c r="S52" s="2405"/>
      <c r="T52" s="2405"/>
      <c r="U52" s="188" t="s">
        <v>192</v>
      </c>
      <c r="V52" s="188" t="s">
        <v>99</v>
      </c>
      <c r="W52" s="2402"/>
      <c r="X52" s="2402"/>
      <c r="Y52" s="188" t="s">
        <v>24</v>
      </c>
      <c r="Z52" s="175"/>
      <c r="AA52" s="370"/>
      <c r="AB52" s="2410"/>
      <c r="AC52" s="2410"/>
      <c r="AD52" s="2410"/>
      <c r="AE52" s="2410"/>
      <c r="AF52" s="2410"/>
      <c r="AG52" s="2410"/>
      <c r="AH52" s="2410"/>
      <c r="AI52" s="2410"/>
      <c r="AJ52" s="2410"/>
      <c r="AK52" s="371"/>
      <c r="AL52" s="2350"/>
      <c r="AM52" s="2350"/>
      <c r="AN52" s="2350"/>
      <c r="AO52" s="2350"/>
      <c r="AP52" s="2350"/>
      <c r="AQ52" s="188" t="s">
        <v>194</v>
      </c>
      <c r="AR52" s="2408"/>
      <c r="AS52" s="2408"/>
      <c r="AT52" s="2408"/>
      <c r="AU52" s="188" t="s">
        <v>192</v>
      </c>
      <c r="AV52" s="188" t="s">
        <v>99</v>
      </c>
      <c r="AW52" s="2408"/>
      <c r="AX52" s="2408"/>
      <c r="AY52" s="188" t="s">
        <v>24</v>
      </c>
      <c r="AZ52" s="357"/>
    </row>
    <row r="53" spans="1:52" ht="14.25" customHeight="1">
      <c r="A53" s="372"/>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372"/>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377"/>
    </row>
    <row r="54" spans="1:52" ht="14.25" customHeight="1">
      <c r="A54" s="349"/>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5"/>
      <c r="AB54" s="14"/>
      <c r="AC54" s="14"/>
      <c r="AD54" s="14"/>
      <c r="AE54" s="14"/>
      <c r="AF54" s="14"/>
      <c r="AG54" s="14"/>
      <c r="AH54" s="14"/>
      <c r="AI54" s="14"/>
      <c r="AJ54" s="16"/>
      <c r="AK54" s="16"/>
      <c r="AL54" s="16"/>
      <c r="AM54" s="16"/>
      <c r="AN54" s="16"/>
      <c r="AO54" s="16"/>
      <c r="AP54" s="16"/>
      <c r="AQ54" s="16"/>
      <c r="AR54" s="16"/>
      <c r="AS54" s="16"/>
      <c r="AT54" s="16"/>
      <c r="AU54" s="16"/>
      <c r="AV54" s="16"/>
      <c r="AW54" s="16"/>
      <c r="AX54" s="16"/>
      <c r="AY54" s="16"/>
      <c r="AZ54" s="16"/>
    </row>
    <row r="55" spans="1:52" ht="14.25" customHeight="1">
      <c r="A55" s="15"/>
      <c r="B55" s="14"/>
      <c r="C55" s="14"/>
      <c r="D55" s="14"/>
      <c r="E55" s="14"/>
      <c r="F55" s="14"/>
      <c r="G55" s="14"/>
      <c r="H55" s="14"/>
      <c r="I55" s="14"/>
      <c r="J55" s="16"/>
      <c r="K55" s="16"/>
      <c r="L55" s="16"/>
      <c r="M55" s="16"/>
      <c r="N55" s="16"/>
      <c r="O55" s="16"/>
      <c r="P55" s="16"/>
      <c r="Q55" s="16"/>
      <c r="R55" s="16"/>
      <c r="S55" s="16"/>
      <c r="T55" s="16"/>
      <c r="U55" s="16"/>
      <c r="V55" s="16"/>
      <c r="W55" s="16"/>
      <c r="X55" s="16"/>
      <c r="Y55" s="16"/>
      <c r="Z55" s="16"/>
      <c r="AA55" s="15"/>
      <c r="AB55" s="14"/>
      <c r="AC55" s="14"/>
      <c r="AD55" s="14"/>
      <c r="AE55" s="14"/>
      <c r="AF55" s="14"/>
      <c r="AG55" s="14"/>
      <c r="AH55" s="14"/>
      <c r="AI55" s="14"/>
      <c r="AJ55" s="16"/>
      <c r="AK55" s="16"/>
      <c r="AL55" s="16"/>
      <c r="AM55" s="16"/>
      <c r="AN55" s="16"/>
      <c r="AO55" s="16"/>
      <c r="AP55" s="16"/>
      <c r="AQ55" s="16"/>
      <c r="AR55" s="16"/>
      <c r="AS55" s="16"/>
      <c r="AT55" s="16"/>
      <c r="AU55" s="16"/>
      <c r="AV55" s="16"/>
      <c r="AW55" s="16"/>
      <c r="AX55" s="16"/>
      <c r="AY55" s="16"/>
      <c r="AZ55" s="16"/>
    </row>
    <row r="56" spans="1:52" ht="14.25" customHeight="1">
      <c r="A56" s="15"/>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row>
    <row r="57" spans="1:52" ht="14.25" customHeight="1">
      <c r="A57" s="15"/>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row>
    <row r="58" spans="1:52" ht="14.25" customHeight="1">
      <c r="A58" s="1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5"/>
      <c r="AK58" s="14"/>
      <c r="AL58" s="14"/>
      <c r="AM58" s="14"/>
      <c r="AN58" s="14"/>
      <c r="AO58" s="14"/>
      <c r="AP58" s="14"/>
      <c r="AQ58" s="14"/>
      <c r="AR58" s="14"/>
      <c r="AS58" s="14"/>
      <c r="AT58" s="14"/>
      <c r="AU58" s="14"/>
      <c r="AV58" s="14"/>
      <c r="AW58" s="14"/>
      <c r="AX58" s="14"/>
      <c r="AY58" s="14"/>
      <c r="AZ58" s="14"/>
    </row>
    <row r="59" spans="1:52" ht="14.25" customHeight="1">
      <c r="A59" s="15"/>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5"/>
      <c r="AK59" s="14"/>
      <c r="AL59" s="14"/>
      <c r="AM59" s="14"/>
      <c r="AN59" s="14"/>
      <c r="AO59" s="14"/>
      <c r="AP59" s="14"/>
      <c r="AQ59" s="14"/>
      <c r="AR59" s="14"/>
      <c r="AS59" s="14"/>
      <c r="AT59" s="14"/>
      <c r="AU59" s="14"/>
      <c r="AV59" s="14"/>
      <c r="AW59" s="14"/>
      <c r="AX59" s="14"/>
      <c r="AY59" s="14"/>
      <c r="AZ59" s="14"/>
    </row>
    <row r="60" spans="1:52" ht="14.25" customHeight="1">
      <c r="A60" s="15"/>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5"/>
      <c r="AK60" s="14"/>
      <c r="AL60" s="14"/>
      <c r="AM60" s="14"/>
      <c r="AN60" s="14"/>
      <c r="AO60" s="14"/>
      <c r="AP60" s="14"/>
      <c r="AQ60" s="14"/>
      <c r="AR60" s="14"/>
      <c r="AS60" s="14"/>
      <c r="AT60" s="14"/>
      <c r="AU60" s="14"/>
      <c r="AV60" s="14"/>
      <c r="AW60" s="14"/>
      <c r="AX60" s="14"/>
      <c r="AY60" s="14"/>
      <c r="AZ60" s="14"/>
    </row>
    <row r="61" spans="1:52" ht="14.25" customHeight="1">
      <c r="A61" s="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5"/>
      <c r="AK61" s="14"/>
      <c r="AL61" s="14"/>
      <c r="AM61" s="14"/>
      <c r="AN61" s="14"/>
      <c r="AO61" s="14"/>
      <c r="AP61" s="14"/>
      <c r="AQ61" s="14"/>
      <c r="AR61" s="14"/>
      <c r="AS61" s="14"/>
      <c r="AT61" s="14"/>
      <c r="AU61" s="14"/>
      <c r="AV61" s="14"/>
      <c r="AW61" s="14"/>
      <c r="AX61" s="14"/>
      <c r="AY61" s="14"/>
      <c r="AZ61" s="14"/>
    </row>
    <row r="62" spans="1:52" ht="14.25">
      <c r="A62" s="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5"/>
      <c r="AK62" s="14"/>
      <c r="AL62" s="14"/>
      <c r="AM62" s="14"/>
      <c r="AN62" s="14"/>
      <c r="AO62" s="14"/>
      <c r="AP62" s="14"/>
      <c r="AQ62" s="14"/>
      <c r="AR62" s="14"/>
      <c r="AS62" s="14"/>
      <c r="AT62" s="14"/>
      <c r="AU62" s="14"/>
      <c r="AV62" s="14"/>
      <c r="AW62" s="14"/>
      <c r="AX62" s="14"/>
      <c r="AY62" s="14"/>
      <c r="AZ62" s="14"/>
    </row>
    <row r="63" spans="1:52" ht="14.25">
      <c r="A63" s="14"/>
      <c r="B63" s="14"/>
      <c r="C63" s="14"/>
      <c r="D63" s="14"/>
      <c r="E63" s="14"/>
      <c r="F63" s="14"/>
      <c r="G63" s="14"/>
      <c r="H63" s="14"/>
      <c r="I63" s="14"/>
      <c r="J63" s="16"/>
      <c r="K63" s="16"/>
      <c r="L63" s="16"/>
      <c r="M63" s="16"/>
      <c r="N63" s="16"/>
      <c r="O63" s="16"/>
      <c r="P63" s="16"/>
      <c r="Q63" s="16"/>
      <c r="R63" s="16"/>
      <c r="S63" s="16"/>
      <c r="T63" s="16"/>
      <c r="U63" s="16"/>
      <c r="V63" s="16"/>
      <c r="W63" s="16"/>
      <c r="X63" s="16"/>
      <c r="Y63" s="16"/>
      <c r="Z63" s="16"/>
      <c r="AA63" s="14"/>
      <c r="AK63" s="16"/>
      <c r="AL63" s="16"/>
      <c r="AM63" s="16"/>
      <c r="AN63" s="16"/>
      <c r="AO63" s="16"/>
      <c r="AP63" s="16"/>
      <c r="AQ63" s="16"/>
      <c r="AR63" s="16"/>
      <c r="AS63" s="16"/>
      <c r="AT63" s="16"/>
      <c r="AU63" s="16"/>
      <c r="AV63" s="16"/>
      <c r="AW63" s="16"/>
      <c r="AX63" s="16"/>
      <c r="AY63" s="16"/>
      <c r="AZ63" s="16"/>
    </row>
    <row r="64" spans="1:52" ht="14.25">
      <c r="A64" s="14"/>
      <c r="B64" s="14"/>
      <c r="C64" s="14"/>
      <c r="D64" s="14"/>
      <c r="E64" s="14"/>
      <c r="F64" s="14"/>
      <c r="G64" s="14"/>
      <c r="H64" s="14"/>
      <c r="I64" s="14"/>
      <c r="J64" s="16"/>
      <c r="K64" s="16"/>
      <c r="L64" s="16"/>
      <c r="M64" s="16"/>
      <c r="N64" s="16"/>
      <c r="O64" s="16"/>
      <c r="P64" s="16"/>
      <c r="Q64" s="16"/>
      <c r="R64" s="16"/>
      <c r="S64" s="16"/>
      <c r="T64" s="16"/>
      <c r="U64" s="16"/>
      <c r="V64" s="16"/>
      <c r="W64" s="16"/>
      <c r="X64" s="16"/>
      <c r="Y64" s="16"/>
      <c r="Z64" s="16"/>
      <c r="AA64" s="14"/>
      <c r="AB64" s="14"/>
      <c r="AC64" s="14"/>
      <c r="AD64" s="14"/>
      <c r="AE64" s="14"/>
      <c r="AF64" s="14"/>
      <c r="AG64" s="14"/>
      <c r="AH64" s="14"/>
      <c r="AI64" s="14"/>
      <c r="AJ64" s="16"/>
      <c r="AK64" s="16"/>
      <c r="AL64" s="16"/>
      <c r="AM64" s="16"/>
      <c r="AN64" s="16"/>
      <c r="AO64" s="16"/>
      <c r="AP64" s="16"/>
      <c r="AQ64" s="16"/>
      <c r="AR64" s="16"/>
      <c r="AS64" s="16"/>
      <c r="AT64" s="16"/>
      <c r="AU64" s="16"/>
      <c r="AV64" s="16"/>
      <c r="AW64" s="16"/>
      <c r="AX64" s="16"/>
      <c r="AY64" s="16"/>
      <c r="AZ64" s="16"/>
    </row>
    <row r="65" spans="1:52" ht="14.25">
      <c r="A65" s="14"/>
      <c r="B65" s="14"/>
      <c r="C65" s="14"/>
      <c r="D65" s="14"/>
      <c r="E65" s="14"/>
      <c r="F65" s="14"/>
      <c r="G65" s="14"/>
      <c r="H65" s="14"/>
      <c r="I65" s="14"/>
      <c r="J65" s="16"/>
      <c r="K65" s="16"/>
      <c r="L65" s="16"/>
      <c r="M65" s="16"/>
      <c r="N65" s="16"/>
      <c r="O65" s="16"/>
      <c r="P65" s="16"/>
      <c r="Q65" s="16"/>
      <c r="R65" s="16"/>
      <c r="S65" s="16"/>
      <c r="T65" s="16"/>
      <c r="U65" s="16"/>
      <c r="V65" s="16"/>
      <c r="W65" s="16"/>
      <c r="X65" s="16"/>
      <c r="Y65" s="16"/>
      <c r="Z65" s="16"/>
      <c r="AA65" s="14"/>
      <c r="AB65" s="14"/>
      <c r="AC65" s="14"/>
      <c r="AD65" s="14"/>
      <c r="AE65" s="14"/>
      <c r="AF65" s="14"/>
      <c r="AG65" s="14"/>
      <c r="AH65" s="14"/>
      <c r="AI65" s="14"/>
      <c r="AJ65" s="16"/>
      <c r="AK65" s="16"/>
      <c r="AL65" s="16"/>
      <c r="AM65" s="16"/>
      <c r="AN65" s="16"/>
      <c r="AO65" s="16"/>
      <c r="AP65" s="16"/>
      <c r="AQ65" s="16"/>
      <c r="AR65" s="16"/>
      <c r="AS65" s="16"/>
      <c r="AT65" s="16"/>
      <c r="AU65" s="16"/>
      <c r="AV65" s="16"/>
      <c r="AW65" s="16"/>
      <c r="AX65" s="16"/>
      <c r="AY65" s="16"/>
      <c r="AZ65" s="16"/>
    </row>
    <row r="66" spans="1:52" ht="14.25">
      <c r="A66" s="14"/>
      <c r="B66" s="14"/>
      <c r="C66" s="14"/>
      <c r="D66" s="14"/>
      <c r="E66" s="14"/>
      <c r="F66" s="14"/>
      <c r="G66" s="14"/>
      <c r="H66" s="14"/>
      <c r="I66" s="14"/>
      <c r="J66" s="16"/>
      <c r="K66" s="16"/>
      <c r="L66" s="16"/>
      <c r="M66" s="16"/>
      <c r="N66" s="16"/>
      <c r="O66" s="16"/>
      <c r="P66" s="16"/>
      <c r="Q66" s="16"/>
      <c r="R66" s="16"/>
      <c r="S66" s="16"/>
      <c r="T66" s="16"/>
      <c r="U66" s="16"/>
      <c r="V66" s="16"/>
      <c r="W66" s="16"/>
      <c r="X66" s="16"/>
      <c r="Y66" s="16"/>
      <c r="Z66" s="16"/>
      <c r="AA66" s="14"/>
      <c r="AB66" s="14"/>
      <c r="AC66" s="14"/>
      <c r="AD66" s="14"/>
      <c r="AE66" s="14"/>
      <c r="AF66" s="14"/>
      <c r="AG66" s="14"/>
      <c r="AH66" s="14"/>
      <c r="AI66" s="14"/>
      <c r="AJ66" s="16"/>
      <c r="AK66" s="16"/>
      <c r="AL66" s="16"/>
      <c r="AM66" s="16"/>
      <c r="AN66" s="16"/>
      <c r="AO66" s="16"/>
      <c r="AP66" s="16"/>
      <c r="AQ66" s="16"/>
      <c r="AR66" s="16"/>
      <c r="AS66" s="16"/>
      <c r="AT66" s="16"/>
      <c r="AU66" s="16"/>
      <c r="AV66" s="16"/>
      <c r="AW66" s="16"/>
      <c r="AX66" s="16"/>
      <c r="AY66" s="16"/>
      <c r="AZ66" s="16"/>
    </row>
    <row r="67" spans="1:52" ht="14.25">
      <c r="A67" s="14"/>
      <c r="B67" s="14"/>
      <c r="C67" s="14"/>
      <c r="D67" s="14"/>
      <c r="E67" s="14"/>
      <c r="F67" s="14"/>
      <c r="G67" s="14"/>
      <c r="H67" s="14"/>
      <c r="I67" s="14"/>
      <c r="J67" s="16"/>
      <c r="K67" s="16"/>
      <c r="L67" s="16"/>
      <c r="M67" s="16"/>
      <c r="N67" s="16"/>
      <c r="O67" s="16"/>
      <c r="P67" s="16"/>
      <c r="Q67" s="16"/>
      <c r="R67" s="16"/>
      <c r="S67" s="16"/>
      <c r="T67" s="16"/>
      <c r="U67" s="16"/>
      <c r="V67" s="16"/>
      <c r="W67" s="16"/>
      <c r="X67" s="16"/>
      <c r="Y67" s="16"/>
      <c r="Z67" s="16"/>
      <c r="AA67" s="14"/>
      <c r="AB67" s="14"/>
      <c r="AC67" s="14"/>
      <c r="AD67" s="14"/>
      <c r="AE67" s="14"/>
      <c r="AF67" s="14"/>
      <c r="AG67" s="14"/>
      <c r="AH67" s="14"/>
      <c r="AI67" s="14"/>
      <c r="AJ67" s="16"/>
      <c r="AK67" s="16"/>
      <c r="AL67" s="16"/>
      <c r="AM67" s="16"/>
      <c r="AN67" s="16"/>
      <c r="AO67" s="16"/>
      <c r="AP67" s="16"/>
      <c r="AQ67" s="16"/>
      <c r="AR67" s="16"/>
      <c r="AS67" s="16"/>
      <c r="AT67" s="16"/>
      <c r="AU67" s="16"/>
      <c r="AV67" s="16"/>
      <c r="AW67" s="16"/>
      <c r="AX67" s="16"/>
      <c r="AY67" s="16"/>
      <c r="AZ67" s="16"/>
    </row>
    <row r="68" spans="1:52" ht="14.25">
      <c r="A68" s="14"/>
      <c r="B68" s="14"/>
      <c r="C68" s="14"/>
      <c r="D68" s="14"/>
      <c r="E68" s="14"/>
      <c r="F68" s="14"/>
      <c r="G68" s="14"/>
      <c r="H68" s="14"/>
      <c r="I68" s="14"/>
      <c r="J68" s="16"/>
      <c r="K68" s="16"/>
      <c r="L68" s="16"/>
      <c r="M68" s="16"/>
      <c r="N68" s="16"/>
      <c r="O68" s="16"/>
      <c r="P68" s="16"/>
      <c r="Q68" s="16"/>
      <c r="R68" s="16"/>
      <c r="S68" s="16"/>
      <c r="T68" s="16"/>
      <c r="U68" s="16"/>
      <c r="V68" s="16"/>
      <c r="W68" s="16"/>
      <c r="X68" s="16"/>
      <c r="Y68" s="16"/>
      <c r="Z68" s="16"/>
      <c r="AA68" s="14"/>
      <c r="AB68" s="14"/>
      <c r="AC68" s="14"/>
      <c r="AD68" s="14"/>
      <c r="AE68" s="14"/>
      <c r="AF68" s="14"/>
      <c r="AG68" s="14"/>
      <c r="AH68" s="14"/>
      <c r="AI68" s="14"/>
      <c r="AJ68" s="16"/>
      <c r="AK68" s="16"/>
      <c r="AL68" s="16"/>
      <c r="AM68" s="16"/>
      <c r="AN68" s="16"/>
      <c r="AO68" s="16"/>
      <c r="AP68" s="16"/>
      <c r="AQ68" s="16"/>
      <c r="AR68" s="16"/>
      <c r="AS68" s="16"/>
      <c r="AT68" s="16"/>
      <c r="AU68" s="16"/>
      <c r="AV68" s="16"/>
      <c r="AW68" s="16"/>
      <c r="AX68" s="16"/>
      <c r="AY68" s="16"/>
      <c r="AZ68" s="16"/>
    </row>
    <row r="69" spans="1:52" ht="14.25">
      <c r="A69" s="14"/>
      <c r="B69" s="14"/>
      <c r="C69" s="14"/>
      <c r="D69" s="14"/>
      <c r="E69" s="14"/>
      <c r="F69" s="14"/>
      <c r="G69" s="14"/>
      <c r="H69" s="14"/>
      <c r="I69" s="14"/>
      <c r="J69" s="16"/>
      <c r="K69" s="16"/>
      <c r="L69" s="16"/>
      <c r="M69" s="16"/>
      <c r="N69" s="16"/>
      <c r="O69" s="16"/>
      <c r="P69" s="16"/>
      <c r="Q69" s="16"/>
      <c r="R69" s="16"/>
      <c r="S69" s="16"/>
      <c r="T69" s="16"/>
      <c r="U69" s="16"/>
      <c r="V69" s="16"/>
      <c r="W69" s="16"/>
      <c r="X69" s="16"/>
      <c r="Y69" s="16"/>
      <c r="Z69" s="16"/>
      <c r="AA69" s="14"/>
      <c r="AB69" s="14"/>
      <c r="AC69" s="14"/>
      <c r="AD69" s="14"/>
      <c r="AE69" s="14"/>
      <c r="AF69" s="14"/>
      <c r="AG69" s="14"/>
      <c r="AH69" s="14"/>
      <c r="AI69" s="14"/>
      <c r="AJ69" s="16"/>
      <c r="AK69" s="16"/>
      <c r="AL69" s="16"/>
      <c r="AM69" s="16"/>
      <c r="AN69" s="16"/>
      <c r="AO69" s="16"/>
      <c r="AP69" s="16"/>
      <c r="AQ69" s="16"/>
      <c r="AR69" s="16"/>
      <c r="AS69" s="16"/>
      <c r="AT69" s="16"/>
      <c r="AU69" s="16"/>
      <c r="AV69" s="16"/>
      <c r="AW69" s="16"/>
      <c r="AX69" s="16"/>
      <c r="AY69" s="16"/>
      <c r="AZ69" s="16"/>
    </row>
    <row r="70" spans="1:52" ht="14.25">
      <c r="A70" s="14"/>
      <c r="B70" s="14"/>
      <c r="C70" s="14"/>
      <c r="D70" s="14"/>
      <c r="E70" s="14"/>
      <c r="F70" s="14"/>
      <c r="G70" s="14"/>
      <c r="H70" s="14"/>
      <c r="I70" s="14"/>
      <c r="J70" s="16"/>
      <c r="K70" s="16"/>
      <c r="L70" s="16"/>
      <c r="M70" s="16"/>
      <c r="N70" s="16"/>
      <c r="O70" s="16"/>
      <c r="P70" s="16"/>
      <c r="Q70" s="16"/>
      <c r="R70" s="16"/>
      <c r="S70" s="16"/>
      <c r="T70" s="16"/>
      <c r="U70" s="16"/>
      <c r="V70" s="16"/>
      <c r="W70" s="16"/>
      <c r="X70" s="16"/>
      <c r="Y70" s="16"/>
      <c r="Z70" s="16"/>
      <c r="AA70" s="14"/>
      <c r="AB70" s="14"/>
      <c r="AC70" s="14"/>
      <c r="AD70" s="14"/>
      <c r="AE70" s="14"/>
      <c r="AF70" s="14"/>
      <c r="AG70" s="14"/>
      <c r="AH70" s="14"/>
      <c r="AI70" s="14"/>
      <c r="AJ70" s="16"/>
      <c r="AK70" s="16"/>
      <c r="AL70" s="16"/>
      <c r="AM70" s="16"/>
      <c r="AN70" s="16"/>
      <c r="AO70" s="16"/>
      <c r="AP70" s="16"/>
      <c r="AQ70" s="16"/>
      <c r="AR70" s="16"/>
      <c r="AS70" s="16"/>
      <c r="AT70" s="16"/>
      <c r="AU70" s="16"/>
      <c r="AV70" s="16"/>
      <c r="AW70" s="16"/>
      <c r="AX70" s="16"/>
      <c r="AY70" s="16"/>
      <c r="AZ70" s="16"/>
    </row>
    <row r="71" spans="1:52" ht="14.25">
      <c r="A71" s="14"/>
      <c r="B71" s="14"/>
      <c r="C71" s="14"/>
      <c r="D71" s="14"/>
      <c r="E71" s="14"/>
      <c r="F71" s="14"/>
      <c r="G71" s="14"/>
      <c r="H71" s="14"/>
      <c r="I71" s="14"/>
      <c r="J71" s="16"/>
      <c r="K71" s="16"/>
      <c r="L71" s="16"/>
      <c r="M71" s="16"/>
      <c r="N71" s="16"/>
      <c r="O71" s="16"/>
      <c r="P71" s="16"/>
      <c r="Q71" s="16"/>
      <c r="R71" s="16"/>
      <c r="S71" s="16"/>
      <c r="T71" s="16"/>
      <c r="U71" s="16"/>
      <c r="V71" s="16"/>
      <c r="W71" s="16"/>
      <c r="X71" s="16"/>
      <c r="Y71" s="16"/>
      <c r="Z71" s="16"/>
      <c r="AA71" s="14"/>
      <c r="AB71" s="14"/>
      <c r="AC71" s="14"/>
      <c r="AD71" s="14"/>
      <c r="AE71" s="14"/>
      <c r="AF71" s="14"/>
      <c r="AG71" s="14"/>
      <c r="AH71" s="14"/>
      <c r="AI71" s="14"/>
      <c r="AJ71" s="16"/>
      <c r="AK71" s="16"/>
      <c r="AL71" s="16"/>
      <c r="AM71" s="16"/>
      <c r="AN71" s="16"/>
      <c r="AO71" s="16"/>
      <c r="AP71" s="16"/>
      <c r="AQ71" s="16"/>
      <c r="AR71" s="16"/>
      <c r="AS71" s="16"/>
      <c r="AT71" s="16"/>
      <c r="AU71" s="16"/>
      <c r="AV71" s="16"/>
      <c r="AW71" s="16"/>
      <c r="AX71" s="16"/>
      <c r="AY71" s="16"/>
      <c r="AZ71" s="16"/>
    </row>
    <row r="72" spans="1:52" ht="14.25">
      <c r="A72" s="14"/>
      <c r="B72" s="14"/>
      <c r="C72" s="14"/>
      <c r="D72" s="14"/>
      <c r="E72" s="14"/>
      <c r="F72" s="14"/>
      <c r="G72" s="14"/>
      <c r="H72" s="14"/>
      <c r="I72" s="14"/>
      <c r="J72" s="16"/>
      <c r="K72" s="16"/>
      <c r="L72" s="16"/>
      <c r="M72" s="16"/>
      <c r="N72" s="16"/>
      <c r="O72" s="16"/>
      <c r="P72" s="16"/>
      <c r="Q72" s="16"/>
      <c r="R72" s="16"/>
      <c r="S72" s="16"/>
      <c r="T72" s="16"/>
      <c r="U72" s="16"/>
      <c r="V72" s="16"/>
      <c r="W72" s="16"/>
      <c r="X72" s="16"/>
      <c r="Y72" s="16"/>
      <c r="Z72" s="16"/>
      <c r="AA72" s="14"/>
      <c r="AB72" s="14"/>
      <c r="AC72" s="14"/>
      <c r="AD72" s="14"/>
      <c r="AE72" s="14"/>
      <c r="AF72" s="14"/>
      <c r="AG72" s="14"/>
      <c r="AH72" s="14"/>
      <c r="AI72" s="14"/>
      <c r="AJ72" s="16"/>
      <c r="AK72" s="16"/>
      <c r="AL72" s="16"/>
      <c r="AM72" s="16"/>
      <c r="AN72" s="16"/>
      <c r="AO72" s="16"/>
      <c r="AP72" s="16"/>
      <c r="AQ72" s="16"/>
      <c r="AR72" s="16"/>
      <c r="AS72" s="16"/>
      <c r="AT72" s="16"/>
      <c r="AU72" s="16"/>
      <c r="AV72" s="16"/>
      <c r="AW72" s="16"/>
      <c r="AX72" s="16"/>
      <c r="AY72" s="16"/>
      <c r="AZ72" s="16"/>
    </row>
    <row r="73" spans="1:52" ht="14.25">
      <c r="A73" s="14"/>
      <c r="B73" s="14"/>
      <c r="C73" s="14"/>
      <c r="D73" s="14"/>
      <c r="E73" s="14"/>
      <c r="F73" s="14"/>
      <c r="G73" s="14"/>
      <c r="H73" s="14"/>
      <c r="I73" s="14"/>
      <c r="J73" s="16"/>
      <c r="K73" s="16"/>
      <c r="L73" s="16"/>
      <c r="M73" s="16"/>
      <c r="N73" s="16"/>
      <c r="O73" s="16"/>
      <c r="P73" s="16"/>
      <c r="Q73" s="16"/>
      <c r="R73" s="16"/>
      <c r="S73" s="16"/>
      <c r="T73" s="16"/>
      <c r="U73" s="16"/>
      <c r="V73" s="16"/>
      <c r="W73" s="16"/>
      <c r="X73" s="16"/>
      <c r="Y73" s="16"/>
      <c r="Z73" s="16"/>
      <c r="AA73" s="14"/>
      <c r="AB73" s="14"/>
      <c r="AC73" s="14"/>
      <c r="AD73" s="14"/>
      <c r="AE73" s="14"/>
      <c r="AF73" s="14"/>
      <c r="AG73" s="14"/>
      <c r="AH73" s="14"/>
      <c r="AI73" s="14"/>
      <c r="AJ73" s="16"/>
      <c r="AK73" s="16"/>
      <c r="AL73" s="16"/>
      <c r="AM73" s="16"/>
      <c r="AN73" s="16"/>
      <c r="AO73" s="16"/>
      <c r="AP73" s="16"/>
      <c r="AQ73" s="16"/>
      <c r="AR73" s="16"/>
      <c r="AS73" s="16"/>
      <c r="AT73" s="16"/>
      <c r="AU73" s="16"/>
      <c r="AV73" s="16"/>
      <c r="AW73" s="16"/>
      <c r="AX73" s="16"/>
      <c r="AY73" s="16"/>
      <c r="AZ73" s="16"/>
    </row>
    <row r="74" spans="1:52" ht="14.25">
      <c r="A74" s="14"/>
      <c r="B74" s="14"/>
      <c r="C74" s="14"/>
      <c r="D74" s="14"/>
      <c r="E74" s="14"/>
      <c r="F74" s="14"/>
      <c r="G74" s="14"/>
      <c r="H74" s="14"/>
      <c r="I74" s="14"/>
      <c r="J74" s="16"/>
      <c r="K74" s="16"/>
      <c r="L74" s="16"/>
      <c r="M74" s="16"/>
      <c r="N74" s="16"/>
      <c r="O74" s="16"/>
      <c r="P74" s="16"/>
      <c r="Q74" s="16"/>
      <c r="R74" s="16"/>
      <c r="S74" s="16"/>
      <c r="T74" s="16"/>
      <c r="U74" s="16"/>
      <c r="V74" s="16"/>
      <c r="W74" s="16"/>
      <c r="X74" s="16"/>
      <c r="Y74" s="16"/>
      <c r="Z74" s="16"/>
      <c r="AA74" s="14"/>
      <c r="AB74" s="14"/>
      <c r="AC74" s="14"/>
      <c r="AD74" s="14"/>
      <c r="AE74" s="14"/>
      <c r="AF74" s="14"/>
      <c r="AG74" s="14"/>
      <c r="AH74" s="14"/>
      <c r="AI74" s="14"/>
      <c r="AJ74" s="16"/>
      <c r="AK74" s="16"/>
      <c r="AL74" s="16"/>
      <c r="AM74" s="16"/>
      <c r="AN74" s="16"/>
      <c r="AO74" s="16"/>
      <c r="AP74" s="16"/>
      <c r="AQ74" s="16"/>
      <c r="AR74" s="16"/>
      <c r="AS74" s="16"/>
      <c r="AT74" s="16"/>
      <c r="AU74" s="16"/>
      <c r="AV74" s="16"/>
      <c r="AW74" s="16"/>
      <c r="AX74" s="16"/>
      <c r="AY74" s="16"/>
      <c r="AZ74" s="16"/>
    </row>
    <row r="75" spans="1:52" ht="14.25">
      <c r="A75" s="14"/>
      <c r="B75" s="14"/>
      <c r="C75" s="14"/>
      <c r="D75" s="14"/>
      <c r="E75" s="14"/>
      <c r="F75" s="14"/>
      <c r="G75" s="14"/>
      <c r="H75" s="14"/>
      <c r="I75" s="14"/>
      <c r="J75" s="16"/>
      <c r="K75" s="16"/>
      <c r="L75" s="16"/>
      <c r="M75" s="16"/>
      <c r="N75" s="16"/>
      <c r="O75" s="16"/>
      <c r="P75" s="16"/>
      <c r="Q75" s="16"/>
      <c r="R75" s="16"/>
      <c r="S75" s="16"/>
      <c r="T75" s="16"/>
      <c r="U75" s="16"/>
      <c r="V75" s="16"/>
      <c r="W75" s="16"/>
      <c r="X75" s="16"/>
      <c r="Y75" s="16"/>
      <c r="Z75" s="16"/>
      <c r="AA75" s="14"/>
      <c r="AB75" s="14"/>
      <c r="AC75" s="14"/>
      <c r="AD75" s="14"/>
      <c r="AE75" s="14"/>
      <c r="AF75" s="14"/>
      <c r="AG75" s="14"/>
      <c r="AH75" s="14"/>
      <c r="AI75" s="14"/>
      <c r="AJ75" s="16"/>
      <c r="AK75" s="16"/>
      <c r="AL75" s="16"/>
      <c r="AM75" s="16"/>
      <c r="AN75" s="16"/>
      <c r="AO75" s="16"/>
      <c r="AP75" s="16"/>
      <c r="AQ75" s="16"/>
      <c r="AR75" s="16"/>
      <c r="AS75" s="16"/>
      <c r="AT75" s="16"/>
      <c r="AU75" s="16"/>
      <c r="AV75" s="16"/>
      <c r="AW75" s="16"/>
      <c r="AX75" s="16"/>
      <c r="AY75" s="16"/>
      <c r="AZ75" s="16"/>
    </row>
    <row r="76" spans="1:52" ht="14.25">
      <c r="A76" s="14"/>
      <c r="B76" s="14"/>
      <c r="C76" s="14"/>
      <c r="D76" s="14"/>
      <c r="E76" s="14"/>
      <c r="F76" s="14"/>
      <c r="G76" s="14"/>
      <c r="H76" s="14"/>
      <c r="I76" s="14"/>
      <c r="J76" s="16"/>
      <c r="K76" s="16"/>
      <c r="L76" s="16"/>
      <c r="M76" s="16"/>
      <c r="N76" s="16"/>
      <c r="O76" s="16"/>
      <c r="P76" s="16"/>
      <c r="Q76" s="16"/>
      <c r="R76" s="16"/>
      <c r="S76" s="16"/>
      <c r="T76" s="16"/>
      <c r="U76" s="16"/>
      <c r="V76" s="16"/>
      <c r="W76" s="16"/>
      <c r="X76" s="16"/>
      <c r="Y76" s="16"/>
      <c r="Z76" s="16"/>
      <c r="AA76" s="14"/>
      <c r="AB76" s="14"/>
      <c r="AC76" s="14"/>
      <c r="AD76" s="14"/>
      <c r="AE76" s="14"/>
      <c r="AF76" s="14"/>
      <c r="AG76" s="14"/>
      <c r="AH76" s="14"/>
      <c r="AI76" s="14"/>
      <c r="AJ76" s="16"/>
      <c r="AK76" s="16"/>
      <c r="AL76" s="16"/>
      <c r="AM76" s="16"/>
      <c r="AN76" s="16"/>
      <c r="AO76" s="16"/>
      <c r="AP76" s="16"/>
      <c r="AQ76" s="16"/>
      <c r="AR76" s="16"/>
      <c r="AS76" s="16"/>
      <c r="AT76" s="16"/>
      <c r="AU76" s="16"/>
      <c r="AV76" s="16"/>
      <c r="AW76" s="16"/>
      <c r="AX76" s="16"/>
      <c r="AY76" s="16"/>
      <c r="AZ76" s="16"/>
    </row>
    <row r="77" spans="1:52" ht="14.25">
      <c r="A77" s="14"/>
      <c r="B77" s="14"/>
      <c r="C77" s="14"/>
      <c r="D77" s="14"/>
      <c r="E77" s="14"/>
      <c r="F77" s="14"/>
      <c r="G77" s="14"/>
      <c r="H77" s="14"/>
      <c r="I77" s="14"/>
      <c r="J77" s="16"/>
      <c r="K77" s="16"/>
      <c r="L77" s="16"/>
      <c r="M77" s="16"/>
      <c r="N77" s="16"/>
      <c r="O77" s="16"/>
      <c r="P77" s="16"/>
      <c r="Q77" s="16"/>
      <c r="R77" s="16"/>
      <c r="S77" s="16"/>
      <c r="T77" s="16"/>
      <c r="U77" s="16"/>
      <c r="V77" s="16"/>
      <c r="W77" s="16"/>
      <c r="X77" s="16"/>
      <c r="Y77" s="16"/>
      <c r="Z77" s="16"/>
      <c r="AA77" s="14"/>
      <c r="AB77" s="14"/>
      <c r="AC77" s="14"/>
      <c r="AD77" s="14"/>
      <c r="AE77" s="14"/>
      <c r="AF77" s="14"/>
      <c r="AG77" s="14"/>
      <c r="AH77" s="14"/>
      <c r="AI77" s="14"/>
      <c r="AJ77" s="16"/>
      <c r="AK77" s="16"/>
      <c r="AL77" s="16"/>
      <c r="AM77" s="16"/>
      <c r="AN77" s="16"/>
      <c r="AO77" s="16"/>
      <c r="AP77" s="16"/>
      <c r="AQ77" s="16"/>
      <c r="AR77" s="16"/>
      <c r="AS77" s="16"/>
      <c r="AT77" s="16"/>
      <c r="AU77" s="16"/>
      <c r="AV77" s="16"/>
      <c r="AW77" s="16"/>
      <c r="AX77" s="16"/>
      <c r="AY77" s="16"/>
      <c r="AZ77" s="16"/>
    </row>
    <row r="78" spans="1:52" ht="14.25">
      <c r="A78" s="14"/>
      <c r="B78" s="14"/>
      <c r="C78" s="14"/>
      <c r="D78" s="14"/>
      <c r="E78" s="14"/>
      <c r="F78" s="14"/>
      <c r="G78" s="14"/>
      <c r="H78" s="14"/>
      <c r="I78" s="14"/>
      <c r="J78" s="16"/>
      <c r="K78" s="16"/>
      <c r="L78" s="16"/>
      <c r="M78" s="16"/>
      <c r="N78" s="16"/>
      <c r="O78" s="16"/>
      <c r="P78" s="16"/>
      <c r="Q78" s="16"/>
      <c r="R78" s="16"/>
      <c r="S78" s="16"/>
      <c r="T78" s="16"/>
      <c r="U78" s="16"/>
      <c r="V78" s="16"/>
      <c r="W78" s="16"/>
      <c r="X78" s="16"/>
      <c r="Y78" s="16"/>
      <c r="Z78" s="16"/>
      <c r="AA78" s="14"/>
      <c r="AB78" s="14"/>
      <c r="AC78" s="14"/>
      <c r="AD78" s="14"/>
      <c r="AE78" s="14"/>
      <c r="AF78" s="14"/>
      <c r="AG78" s="14"/>
      <c r="AH78" s="14"/>
      <c r="AI78" s="14"/>
      <c r="AJ78" s="16"/>
      <c r="AK78" s="16"/>
      <c r="AL78" s="16"/>
      <c r="AM78" s="16"/>
      <c r="AN78" s="16"/>
      <c r="AO78" s="16"/>
      <c r="AP78" s="16"/>
      <c r="AQ78" s="16"/>
      <c r="AR78" s="16"/>
      <c r="AS78" s="16"/>
      <c r="AT78" s="16"/>
      <c r="AU78" s="16"/>
      <c r="AV78" s="16"/>
      <c r="AW78" s="16"/>
      <c r="AX78" s="16"/>
      <c r="AY78" s="16"/>
      <c r="AZ78" s="16"/>
    </row>
    <row r="79" spans="1:52" ht="14.25">
      <c r="A79" s="14"/>
      <c r="B79" s="14"/>
      <c r="C79" s="14"/>
      <c r="D79" s="14"/>
      <c r="E79" s="14"/>
      <c r="F79" s="14"/>
      <c r="G79" s="14"/>
      <c r="H79" s="14"/>
      <c r="I79" s="14"/>
      <c r="J79" s="16"/>
      <c r="K79" s="16"/>
      <c r="L79" s="16"/>
      <c r="M79" s="16"/>
      <c r="N79" s="16"/>
      <c r="O79" s="16"/>
      <c r="P79" s="16"/>
      <c r="Q79" s="16"/>
      <c r="R79" s="16"/>
      <c r="S79" s="16"/>
      <c r="T79" s="16"/>
      <c r="U79" s="16"/>
      <c r="V79" s="16"/>
      <c r="W79" s="16"/>
      <c r="X79" s="16"/>
      <c r="Y79" s="16"/>
      <c r="Z79" s="16"/>
      <c r="AA79" s="14"/>
      <c r="AB79" s="14"/>
      <c r="AC79" s="14"/>
      <c r="AD79" s="14"/>
      <c r="AE79" s="14"/>
      <c r="AF79" s="14"/>
      <c r="AG79" s="14"/>
      <c r="AH79" s="14"/>
      <c r="AI79" s="14"/>
      <c r="AJ79" s="16"/>
      <c r="AK79" s="16"/>
      <c r="AL79" s="16"/>
      <c r="AM79" s="16"/>
      <c r="AN79" s="16"/>
      <c r="AO79" s="16"/>
      <c r="AP79" s="16"/>
      <c r="AQ79" s="16"/>
      <c r="AR79" s="16"/>
      <c r="AS79" s="16"/>
      <c r="AT79" s="16"/>
      <c r="AU79" s="16"/>
      <c r="AV79" s="16"/>
      <c r="AW79" s="16"/>
      <c r="AX79" s="16"/>
      <c r="AY79" s="16"/>
      <c r="AZ79" s="16"/>
    </row>
    <row r="80" spans="1:52" ht="14.25">
      <c r="A80" s="14"/>
      <c r="B80" s="14"/>
      <c r="C80" s="14"/>
      <c r="D80" s="14"/>
      <c r="E80" s="14"/>
      <c r="F80" s="14"/>
      <c r="G80" s="14"/>
      <c r="H80" s="14"/>
      <c r="I80" s="14"/>
      <c r="J80" s="16"/>
      <c r="K80" s="16"/>
      <c r="L80" s="16"/>
      <c r="M80" s="16"/>
      <c r="N80" s="16"/>
      <c r="O80" s="16"/>
      <c r="P80" s="16"/>
      <c r="Q80" s="16"/>
      <c r="R80" s="16"/>
      <c r="S80" s="16"/>
      <c r="T80" s="16"/>
      <c r="U80" s="16"/>
      <c r="V80" s="16"/>
      <c r="W80" s="16"/>
      <c r="X80" s="16"/>
      <c r="Y80" s="16"/>
      <c r="Z80" s="16"/>
      <c r="AA80" s="14"/>
      <c r="AB80" s="14"/>
      <c r="AC80" s="14"/>
      <c r="AD80" s="14"/>
      <c r="AE80" s="14"/>
      <c r="AF80" s="14"/>
      <c r="AG80" s="14"/>
      <c r="AH80" s="14"/>
      <c r="AI80" s="14"/>
      <c r="AJ80" s="16"/>
      <c r="AK80" s="16"/>
      <c r="AL80" s="16"/>
      <c r="AM80" s="16"/>
      <c r="AN80" s="16"/>
      <c r="AO80" s="16"/>
      <c r="AP80" s="16"/>
      <c r="AQ80" s="16"/>
      <c r="AR80" s="16"/>
      <c r="AS80" s="16"/>
      <c r="AT80" s="16"/>
      <c r="AU80" s="16"/>
      <c r="AV80" s="16"/>
      <c r="AW80" s="16"/>
      <c r="AX80" s="16"/>
      <c r="AY80" s="16"/>
      <c r="AZ80" s="16"/>
    </row>
    <row r="81" spans="1:52" ht="14.25">
      <c r="A81" s="14"/>
      <c r="B81" s="14"/>
      <c r="C81" s="14"/>
      <c r="D81" s="14"/>
      <c r="E81" s="14"/>
      <c r="F81" s="14"/>
      <c r="G81" s="14"/>
      <c r="H81" s="14"/>
      <c r="I81" s="14"/>
      <c r="J81" s="16"/>
      <c r="K81" s="16"/>
      <c r="L81" s="16"/>
      <c r="M81" s="16"/>
      <c r="N81" s="16"/>
      <c r="O81" s="16"/>
      <c r="P81" s="16"/>
      <c r="Q81" s="16"/>
      <c r="R81" s="16"/>
      <c r="S81" s="16"/>
      <c r="T81" s="16"/>
      <c r="U81" s="16"/>
      <c r="V81" s="16"/>
      <c r="W81" s="16"/>
      <c r="X81" s="16"/>
      <c r="Y81" s="16"/>
      <c r="Z81" s="16"/>
      <c r="AA81" s="14"/>
      <c r="AB81" s="14"/>
      <c r="AC81" s="14"/>
      <c r="AD81" s="14"/>
      <c r="AE81" s="14"/>
      <c r="AF81" s="14"/>
      <c r="AG81" s="14"/>
      <c r="AH81" s="14"/>
      <c r="AI81" s="14"/>
      <c r="AJ81" s="16"/>
      <c r="AK81" s="16"/>
      <c r="AL81" s="16"/>
      <c r="AM81" s="16"/>
      <c r="AN81" s="16"/>
      <c r="AO81" s="16"/>
      <c r="AP81" s="16"/>
      <c r="AQ81" s="16"/>
      <c r="AR81" s="16"/>
      <c r="AS81" s="16"/>
      <c r="AT81" s="16"/>
      <c r="AU81" s="16"/>
      <c r="AV81" s="16"/>
      <c r="AW81" s="16"/>
      <c r="AX81" s="16"/>
      <c r="AY81" s="16"/>
      <c r="AZ81" s="16"/>
    </row>
    <row r="82" spans="1:52" ht="14.25">
      <c r="A82" s="14"/>
      <c r="B82" s="14"/>
      <c r="C82" s="14"/>
      <c r="D82" s="14"/>
      <c r="E82" s="14"/>
      <c r="F82" s="14"/>
      <c r="G82" s="14"/>
      <c r="H82" s="14"/>
      <c r="I82" s="14"/>
      <c r="J82" s="16"/>
      <c r="K82" s="16"/>
      <c r="L82" s="16"/>
      <c r="M82" s="16"/>
      <c r="N82" s="16"/>
      <c r="O82" s="16"/>
      <c r="P82" s="16"/>
      <c r="Q82" s="16"/>
      <c r="R82" s="16"/>
      <c r="S82" s="16"/>
      <c r="T82" s="16"/>
      <c r="U82" s="16"/>
      <c r="V82" s="16"/>
      <c r="W82" s="16"/>
      <c r="X82" s="16"/>
      <c r="Y82" s="16"/>
      <c r="Z82" s="16"/>
      <c r="AA82" s="14"/>
      <c r="AB82" s="14"/>
      <c r="AC82" s="14"/>
      <c r="AD82" s="14"/>
      <c r="AE82" s="14"/>
      <c r="AF82" s="14"/>
      <c r="AG82" s="14"/>
      <c r="AH82" s="14"/>
      <c r="AI82" s="14"/>
      <c r="AJ82" s="16"/>
      <c r="AK82" s="16"/>
      <c r="AL82" s="16"/>
      <c r="AM82" s="16"/>
      <c r="AN82" s="16"/>
      <c r="AO82" s="16"/>
      <c r="AP82" s="16"/>
      <c r="AQ82" s="16"/>
      <c r="AR82" s="16"/>
      <c r="AS82" s="16"/>
      <c r="AT82" s="16"/>
      <c r="AU82" s="16"/>
      <c r="AV82" s="16"/>
      <c r="AW82" s="16"/>
      <c r="AX82" s="16"/>
      <c r="AY82" s="16"/>
      <c r="AZ82" s="16"/>
    </row>
    <row r="83" spans="1:52" ht="14.25">
      <c r="A83" s="14"/>
      <c r="B83" s="14"/>
      <c r="C83" s="14"/>
      <c r="D83" s="14"/>
      <c r="E83" s="14"/>
      <c r="F83" s="14"/>
      <c r="G83" s="14"/>
      <c r="H83" s="14"/>
      <c r="I83" s="14"/>
      <c r="J83" s="16"/>
      <c r="K83" s="16"/>
      <c r="L83" s="16"/>
      <c r="M83" s="16"/>
      <c r="N83" s="16"/>
      <c r="O83" s="16"/>
      <c r="P83" s="16"/>
      <c r="Q83" s="16"/>
      <c r="R83" s="16"/>
      <c r="S83" s="16"/>
      <c r="T83" s="16"/>
      <c r="U83" s="16"/>
      <c r="V83" s="16"/>
      <c r="W83" s="16"/>
      <c r="X83" s="16"/>
      <c r="Y83" s="16"/>
      <c r="Z83" s="16"/>
      <c r="AA83" s="14"/>
      <c r="AB83" s="14"/>
      <c r="AC83" s="14"/>
      <c r="AD83" s="14"/>
      <c r="AE83" s="14"/>
      <c r="AF83" s="14"/>
      <c r="AG83" s="14"/>
      <c r="AH83" s="14"/>
      <c r="AI83" s="14"/>
      <c r="AJ83" s="16"/>
      <c r="AK83" s="16"/>
      <c r="AL83" s="16"/>
      <c r="AM83" s="16"/>
      <c r="AN83" s="16"/>
      <c r="AO83" s="16"/>
      <c r="AP83" s="16"/>
      <c r="AQ83" s="16"/>
      <c r="AR83" s="16"/>
      <c r="AS83" s="16"/>
      <c r="AT83" s="16"/>
      <c r="AU83" s="16"/>
      <c r="AV83" s="16"/>
      <c r="AW83" s="16"/>
      <c r="AX83" s="16"/>
      <c r="AY83" s="16"/>
      <c r="AZ83" s="16"/>
    </row>
    <row r="84" spans="1:52" ht="14.25">
      <c r="A84" s="14"/>
      <c r="B84" s="14"/>
      <c r="C84" s="14"/>
      <c r="D84" s="14"/>
      <c r="E84" s="14"/>
      <c r="F84" s="14"/>
      <c r="G84" s="14"/>
      <c r="H84" s="14"/>
      <c r="I84" s="14"/>
      <c r="J84" s="16"/>
      <c r="K84" s="16"/>
      <c r="L84" s="16"/>
      <c r="M84" s="16"/>
      <c r="N84" s="16"/>
      <c r="O84" s="16"/>
      <c r="P84" s="16"/>
      <c r="Q84" s="16"/>
      <c r="R84" s="16"/>
      <c r="S84" s="16"/>
      <c r="T84" s="16"/>
      <c r="U84" s="16"/>
      <c r="V84" s="16"/>
      <c r="W84" s="16"/>
      <c r="X84" s="16"/>
      <c r="Y84" s="16"/>
      <c r="Z84" s="16"/>
      <c r="AA84" s="14"/>
      <c r="AB84" s="14"/>
      <c r="AC84" s="14"/>
      <c r="AD84" s="14"/>
      <c r="AE84" s="14"/>
      <c r="AF84" s="14"/>
      <c r="AG84" s="14"/>
      <c r="AH84" s="14"/>
      <c r="AI84" s="14"/>
      <c r="AJ84" s="16"/>
      <c r="AK84" s="16"/>
      <c r="AL84" s="16"/>
      <c r="AM84" s="16"/>
      <c r="AN84" s="16"/>
      <c r="AO84" s="16"/>
      <c r="AP84" s="16"/>
      <c r="AQ84" s="16"/>
      <c r="AR84" s="16"/>
      <c r="AS84" s="16"/>
      <c r="AT84" s="16"/>
      <c r="AU84" s="16"/>
      <c r="AV84" s="16"/>
      <c r="AW84" s="16"/>
      <c r="AX84" s="16"/>
      <c r="AY84" s="16"/>
      <c r="AZ84" s="16"/>
    </row>
    <row r="85" spans="1:52" ht="14.25">
      <c r="A85" s="14"/>
      <c r="B85" s="14"/>
      <c r="C85" s="14"/>
      <c r="D85" s="14"/>
      <c r="E85" s="14"/>
      <c r="F85" s="14"/>
      <c r="G85" s="14"/>
      <c r="H85" s="14"/>
      <c r="I85" s="14"/>
      <c r="J85" s="16"/>
      <c r="K85" s="16"/>
      <c r="L85" s="16"/>
      <c r="M85" s="16"/>
      <c r="N85" s="16"/>
      <c r="O85" s="16"/>
      <c r="P85" s="16"/>
      <c r="Q85" s="16"/>
      <c r="R85" s="16"/>
      <c r="S85" s="16"/>
      <c r="T85" s="16"/>
      <c r="U85" s="16"/>
      <c r="V85" s="16"/>
      <c r="W85" s="16"/>
      <c r="X85" s="16"/>
      <c r="Y85" s="16"/>
      <c r="Z85" s="16"/>
      <c r="AA85" s="14"/>
      <c r="AB85" s="14"/>
      <c r="AC85" s="14"/>
      <c r="AD85" s="14"/>
      <c r="AE85" s="14"/>
      <c r="AF85" s="14"/>
      <c r="AG85" s="14"/>
      <c r="AH85" s="14"/>
      <c r="AI85" s="14"/>
      <c r="AJ85" s="16"/>
      <c r="AK85" s="16"/>
      <c r="AL85" s="16"/>
      <c r="AM85" s="16"/>
      <c r="AN85" s="16"/>
      <c r="AO85" s="16"/>
      <c r="AP85" s="16"/>
      <c r="AQ85" s="16"/>
      <c r="AR85" s="16"/>
      <c r="AS85" s="16"/>
      <c r="AT85" s="16"/>
      <c r="AU85" s="16"/>
      <c r="AV85" s="16"/>
      <c r="AW85" s="16"/>
      <c r="AX85" s="16"/>
      <c r="AY85" s="16"/>
      <c r="AZ85" s="16"/>
    </row>
    <row r="86" spans="1:52" ht="14.25">
      <c r="A86" s="14"/>
      <c r="B86" s="14"/>
      <c r="C86" s="14"/>
      <c r="D86" s="14"/>
      <c r="E86" s="14"/>
      <c r="F86" s="14"/>
      <c r="G86" s="14"/>
      <c r="H86" s="14"/>
      <c r="I86" s="14"/>
      <c r="J86" s="16"/>
      <c r="K86" s="16"/>
      <c r="L86" s="16"/>
      <c r="M86" s="16"/>
      <c r="N86" s="16"/>
      <c r="O86" s="16"/>
      <c r="P86" s="16"/>
      <c r="Q86" s="16"/>
      <c r="R86" s="16"/>
      <c r="S86" s="16"/>
      <c r="T86" s="16"/>
      <c r="U86" s="16"/>
      <c r="V86" s="16"/>
      <c r="W86" s="16"/>
      <c r="X86" s="16"/>
      <c r="Y86" s="16"/>
      <c r="Z86" s="16"/>
      <c r="AA86" s="14"/>
      <c r="AB86" s="14"/>
      <c r="AC86" s="14"/>
      <c r="AD86" s="14"/>
      <c r="AE86" s="14"/>
      <c r="AF86" s="14"/>
      <c r="AG86" s="14"/>
      <c r="AH86" s="14"/>
      <c r="AI86" s="14"/>
      <c r="AJ86" s="16"/>
      <c r="AK86" s="16"/>
      <c r="AL86" s="16"/>
      <c r="AM86" s="16"/>
      <c r="AN86" s="16"/>
      <c r="AO86" s="16"/>
      <c r="AP86" s="16"/>
      <c r="AQ86" s="16"/>
      <c r="AR86" s="16"/>
      <c r="AS86" s="16"/>
      <c r="AT86" s="16"/>
      <c r="AU86" s="16"/>
      <c r="AV86" s="16"/>
      <c r="AW86" s="16"/>
      <c r="AX86" s="16"/>
      <c r="AY86" s="16"/>
      <c r="AZ86" s="16"/>
    </row>
    <row r="87" spans="1:52" ht="14.25">
      <c r="A87" s="14"/>
      <c r="B87" s="14"/>
      <c r="C87" s="14"/>
      <c r="D87" s="14"/>
      <c r="E87" s="14"/>
      <c r="F87" s="14"/>
      <c r="G87" s="14"/>
      <c r="H87" s="14"/>
      <c r="I87" s="14"/>
      <c r="J87" s="16"/>
      <c r="K87" s="16"/>
      <c r="L87" s="16"/>
      <c r="M87" s="16"/>
      <c r="N87" s="16"/>
      <c r="O87" s="16"/>
      <c r="P87" s="16"/>
      <c r="Q87" s="16"/>
      <c r="R87" s="16"/>
      <c r="S87" s="16"/>
      <c r="T87" s="16"/>
      <c r="U87" s="16"/>
      <c r="V87" s="16"/>
      <c r="W87" s="16"/>
      <c r="X87" s="16"/>
      <c r="Y87" s="16"/>
      <c r="Z87" s="16"/>
      <c r="AA87" s="14"/>
      <c r="AB87" s="14"/>
      <c r="AC87" s="14"/>
      <c r="AD87" s="14"/>
      <c r="AE87" s="14"/>
      <c r="AF87" s="14"/>
      <c r="AG87" s="14"/>
      <c r="AH87" s="14"/>
      <c r="AI87" s="14"/>
      <c r="AJ87" s="16"/>
      <c r="AK87" s="16"/>
      <c r="AL87" s="16"/>
      <c r="AM87" s="16"/>
      <c r="AN87" s="16"/>
      <c r="AO87" s="16"/>
      <c r="AP87" s="16"/>
      <c r="AQ87" s="16"/>
      <c r="AR87" s="16"/>
      <c r="AS87" s="16"/>
      <c r="AT87" s="16"/>
      <c r="AU87" s="16"/>
      <c r="AV87" s="16"/>
      <c r="AW87" s="16"/>
      <c r="AX87" s="16"/>
      <c r="AY87" s="16"/>
      <c r="AZ87" s="16"/>
    </row>
    <row r="88" spans="1:52" ht="14.25">
      <c r="A88" s="14"/>
      <c r="B88" s="14"/>
      <c r="C88" s="14"/>
      <c r="D88" s="14"/>
      <c r="E88" s="14"/>
      <c r="F88" s="14"/>
      <c r="G88" s="14"/>
      <c r="H88" s="14"/>
      <c r="I88" s="14"/>
      <c r="J88" s="16"/>
      <c r="K88" s="16"/>
      <c r="L88" s="16"/>
      <c r="M88" s="16"/>
      <c r="N88" s="16"/>
      <c r="O88" s="16"/>
      <c r="P88" s="16"/>
      <c r="Q88" s="16"/>
      <c r="R88" s="16"/>
      <c r="S88" s="16"/>
      <c r="T88" s="16"/>
      <c r="U88" s="16"/>
      <c r="V88" s="16"/>
      <c r="W88" s="16"/>
      <c r="X88" s="16"/>
      <c r="Y88" s="16"/>
      <c r="Z88" s="16"/>
      <c r="AA88" s="14"/>
      <c r="AB88" s="14"/>
      <c r="AC88" s="14"/>
      <c r="AD88" s="14"/>
      <c r="AE88" s="14"/>
      <c r="AF88" s="14"/>
      <c r="AG88" s="14"/>
      <c r="AH88" s="14"/>
      <c r="AI88" s="14"/>
      <c r="AJ88" s="16"/>
      <c r="AK88" s="16"/>
      <c r="AL88" s="16"/>
      <c r="AM88" s="16"/>
      <c r="AN88" s="16"/>
      <c r="AO88" s="16"/>
      <c r="AP88" s="16"/>
      <c r="AQ88" s="16"/>
      <c r="AR88" s="16"/>
      <c r="AS88" s="16"/>
      <c r="AT88" s="16"/>
      <c r="AU88" s="16"/>
      <c r="AV88" s="16"/>
      <c r="AW88" s="16"/>
      <c r="AX88" s="16"/>
      <c r="AY88" s="16"/>
      <c r="AZ88" s="16"/>
    </row>
    <row r="89" spans="1:52" ht="14.25">
      <c r="A89" s="14"/>
      <c r="B89" s="14"/>
      <c r="C89" s="14"/>
      <c r="D89" s="14"/>
      <c r="E89" s="14"/>
      <c r="F89" s="14"/>
      <c r="G89" s="14"/>
      <c r="H89" s="14"/>
      <c r="I89" s="14"/>
      <c r="J89" s="16"/>
      <c r="K89" s="16"/>
      <c r="L89" s="16"/>
      <c r="M89" s="16"/>
      <c r="N89" s="16"/>
      <c r="O89" s="16"/>
      <c r="P89" s="16"/>
      <c r="Q89" s="16"/>
      <c r="R89" s="16"/>
      <c r="S89" s="16"/>
      <c r="T89" s="16"/>
      <c r="U89" s="16"/>
      <c r="V89" s="16"/>
      <c r="W89" s="16"/>
      <c r="X89" s="16"/>
      <c r="Y89" s="16"/>
      <c r="Z89" s="16"/>
      <c r="AA89" s="14"/>
      <c r="AB89" s="14"/>
      <c r="AC89" s="14"/>
      <c r="AD89" s="14"/>
      <c r="AE89" s="14"/>
      <c r="AF89" s="14"/>
      <c r="AG89" s="14"/>
      <c r="AH89" s="14"/>
      <c r="AI89" s="14"/>
      <c r="AJ89" s="16"/>
      <c r="AK89" s="16"/>
      <c r="AL89" s="16"/>
      <c r="AM89" s="16"/>
      <c r="AN89" s="16"/>
      <c r="AO89" s="16"/>
      <c r="AP89" s="16"/>
      <c r="AQ89" s="16"/>
      <c r="AR89" s="16"/>
      <c r="AS89" s="16"/>
      <c r="AT89" s="16"/>
      <c r="AU89" s="16"/>
      <c r="AV89" s="16"/>
      <c r="AW89" s="16"/>
      <c r="AX89" s="16"/>
      <c r="AY89" s="16"/>
      <c r="AZ89" s="16"/>
    </row>
    <row r="90" spans="1:52" ht="14.25">
      <c r="A90" s="14"/>
      <c r="B90" s="14"/>
      <c r="C90" s="14"/>
      <c r="D90" s="14"/>
      <c r="E90" s="14"/>
      <c r="F90" s="14"/>
      <c r="G90" s="14"/>
      <c r="H90" s="14"/>
      <c r="I90" s="14"/>
      <c r="J90" s="16"/>
      <c r="K90" s="16"/>
      <c r="L90" s="16"/>
      <c r="M90" s="16"/>
      <c r="N90" s="16"/>
      <c r="O90" s="16"/>
      <c r="P90" s="16"/>
      <c r="Q90" s="16"/>
      <c r="R90" s="16"/>
      <c r="S90" s="16"/>
      <c r="T90" s="16"/>
      <c r="U90" s="16"/>
      <c r="V90" s="16"/>
      <c r="W90" s="16"/>
      <c r="X90" s="16"/>
      <c r="Y90" s="16"/>
      <c r="Z90" s="16"/>
      <c r="AA90" s="14"/>
      <c r="AB90" s="14"/>
      <c r="AC90" s="14"/>
      <c r="AD90" s="14"/>
      <c r="AE90" s="14"/>
      <c r="AF90" s="14"/>
      <c r="AG90" s="14"/>
      <c r="AH90" s="14"/>
      <c r="AI90" s="14"/>
      <c r="AJ90" s="16"/>
      <c r="AK90" s="16"/>
      <c r="AL90" s="16"/>
      <c r="AM90" s="16"/>
      <c r="AN90" s="16"/>
      <c r="AO90" s="16"/>
      <c r="AP90" s="16"/>
      <c r="AQ90" s="16"/>
      <c r="AR90" s="16"/>
      <c r="AS90" s="16"/>
      <c r="AT90" s="16"/>
      <c r="AU90" s="16"/>
      <c r="AV90" s="16"/>
      <c r="AW90" s="16"/>
      <c r="AX90" s="16"/>
      <c r="AY90" s="16"/>
      <c r="AZ90" s="16"/>
    </row>
    <row r="91" spans="1:52" ht="14.25">
      <c r="A91" s="14"/>
      <c r="B91" s="14"/>
      <c r="C91" s="14"/>
      <c r="D91" s="14"/>
      <c r="E91" s="14"/>
      <c r="F91" s="14"/>
      <c r="G91" s="14"/>
      <c r="H91" s="14"/>
      <c r="I91" s="14"/>
      <c r="J91" s="16"/>
      <c r="K91" s="16"/>
      <c r="L91" s="16"/>
      <c r="M91" s="16"/>
      <c r="N91" s="16"/>
      <c r="O91" s="16"/>
      <c r="P91" s="16"/>
      <c r="Q91" s="16"/>
      <c r="R91" s="16"/>
      <c r="S91" s="16"/>
      <c r="T91" s="16"/>
      <c r="U91" s="16"/>
      <c r="V91" s="16"/>
      <c r="W91" s="16"/>
      <c r="X91" s="16"/>
      <c r="Y91" s="16"/>
      <c r="Z91" s="16"/>
      <c r="AA91" s="14"/>
      <c r="AB91" s="14"/>
      <c r="AC91" s="14"/>
      <c r="AD91" s="14"/>
      <c r="AE91" s="14"/>
      <c r="AF91" s="14"/>
      <c r="AG91" s="14"/>
      <c r="AH91" s="14"/>
      <c r="AI91" s="14"/>
      <c r="AJ91" s="16"/>
      <c r="AK91" s="16"/>
      <c r="AL91" s="16"/>
      <c r="AM91" s="16"/>
      <c r="AN91" s="16"/>
      <c r="AO91" s="16"/>
      <c r="AP91" s="16"/>
      <c r="AQ91" s="16"/>
      <c r="AR91" s="16"/>
      <c r="AS91" s="16"/>
      <c r="AT91" s="16"/>
      <c r="AU91" s="16"/>
      <c r="AV91" s="16"/>
      <c r="AW91" s="16"/>
      <c r="AX91" s="16"/>
      <c r="AY91" s="16"/>
      <c r="AZ91" s="16"/>
    </row>
    <row r="92" spans="1:52" ht="14.25">
      <c r="A92" s="14"/>
      <c r="B92" s="14"/>
      <c r="C92" s="14"/>
      <c r="D92" s="14"/>
      <c r="E92" s="14"/>
      <c r="F92" s="14"/>
      <c r="G92" s="14"/>
      <c r="H92" s="14"/>
      <c r="I92" s="14"/>
      <c r="J92" s="16"/>
      <c r="K92" s="16"/>
      <c r="L92" s="16"/>
      <c r="M92" s="16"/>
      <c r="N92" s="16"/>
      <c r="O92" s="16"/>
      <c r="P92" s="16"/>
      <c r="Q92" s="16"/>
      <c r="R92" s="16"/>
      <c r="S92" s="16"/>
      <c r="T92" s="16"/>
      <c r="U92" s="16"/>
      <c r="V92" s="16"/>
      <c r="W92" s="16"/>
      <c r="X92" s="16"/>
      <c r="Y92" s="16"/>
      <c r="Z92" s="16"/>
      <c r="AA92" s="14"/>
      <c r="AB92" s="14"/>
      <c r="AC92" s="14"/>
      <c r="AD92" s="14"/>
      <c r="AE92" s="14"/>
      <c r="AF92" s="14"/>
      <c r="AG92" s="14"/>
      <c r="AH92" s="14"/>
      <c r="AI92" s="14"/>
      <c r="AJ92" s="16"/>
      <c r="AK92" s="16"/>
      <c r="AL92" s="16"/>
      <c r="AM92" s="16"/>
      <c r="AN92" s="16"/>
      <c r="AO92" s="16"/>
      <c r="AP92" s="16"/>
      <c r="AQ92" s="16"/>
      <c r="AR92" s="16"/>
      <c r="AS92" s="16"/>
      <c r="AT92" s="16"/>
      <c r="AU92" s="16"/>
      <c r="AV92" s="16"/>
      <c r="AW92" s="16"/>
      <c r="AX92" s="16"/>
      <c r="AY92" s="16"/>
      <c r="AZ92" s="16"/>
    </row>
    <row r="93" spans="1:52" ht="14.25">
      <c r="A93" s="14"/>
      <c r="B93" s="14"/>
      <c r="C93" s="14"/>
      <c r="D93" s="14"/>
      <c r="E93" s="14"/>
      <c r="F93" s="14"/>
      <c r="G93" s="14"/>
      <c r="H93" s="14"/>
      <c r="I93" s="14"/>
      <c r="J93" s="16"/>
      <c r="K93" s="16"/>
      <c r="L93" s="16"/>
      <c r="M93" s="16"/>
      <c r="N93" s="16"/>
      <c r="O93" s="16"/>
      <c r="P93" s="16"/>
      <c r="Q93" s="16"/>
      <c r="R93" s="16"/>
      <c r="S93" s="16"/>
      <c r="T93" s="16"/>
      <c r="U93" s="16"/>
      <c r="V93" s="16"/>
      <c r="W93" s="16"/>
      <c r="X93" s="16"/>
      <c r="Y93" s="16"/>
      <c r="Z93" s="16"/>
      <c r="AA93" s="14"/>
      <c r="AB93" s="14"/>
      <c r="AC93" s="14"/>
      <c r="AD93" s="14"/>
      <c r="AE93" s="14"/>
      <c r="AF93" s="14"/>
      <c r="AG93" s="14"/>
      <c r="AH93" s="14"/>
      <c r="AI93" s="14"/>
      <c r="AJ93" s="16"/>
      <c r="AK93" s="16"/>
      <c r="AL93" s="16"/>
      <c r="AM93" s="16"/>
      <c r="AN93" s="16"/>
      <c r="AO93" s="16"/>
      <c r="AP93" s="16"/>
      <c r="AQ93" s="16"/>
      <c r="AR93" s="16"/>
      <c r="AS93" s="16"/>
      <c r="AT93" s="16"/>
      <c r="AU93" s="16"/>
      <c r="AV93" s="16"/>
      <c r="AW93" s="16"/>
      <c r="AX93" s="16"/>
      <c r="AY93" s="16"/>
      <c r="AZ93" s="16"/>
    </row>
    <row r="94" spans="1:52" ht="14.25">
      <c r="A94" s="14"/>
      <c r="B94" s="14"/>
      <c r="C94" s="14"/>
      <c r="D94" s="14"/>
      <c r="E94" s="14"/>
      <c r="F94" s="14"/>
      <c r="G94" s="14"/>
      <c r="H94" s="14"/>
      <c r="I94" s="14"/>
      <c r="J94" s="16"/>
      <c r="K94" s="16"/>
      <c r="L94" s="16"/>
      <c r="M94" s="16"/>
      <c r="N94" s="16"/>
      <c r="O94" s="16"/>
      <c r="P94" s="16"/>
      <c r="Q94" s="16"/>
      <c r="R94" s="16"/>
      <c r="S94" s="16"/>
      <c r="T94" s="16"/>
      <c r="U94" s="16"/>
      <c r="V94" s="16"/>
      <c r="W94" s="16"/>
      <c r="X94" s="16"/>
      <c r="Y94" s="16"/>
      <c r="Z94" s="16"/>
      <c r="AA94" s="14"/>
      <c r="AB94" s="14"/>
      <c r="AC94" s="14"/>
      <c r="AD94" s="14"/>
      <c r="AE94" s="14"/>
      <c r="AF94" s="14"/>
      <c r="AG94" s="14"/>
      <c r="AH94" s="14"/>
      <c r="AI94" s="14"/>
      <c r="AJ94" s="16"/>
      <c r="AK94" s="16"/>
      <c r="AL94" s="16"/>
      <c r="AM94" s="16"/>
      <c r="AN94" s="16"/>
      <c r="AO94" s="16"/>
      <c r="AP94" s="16"/>
      <c r="AQ94" s="16"/>
      <c r="AR94" s="16"/>
      <c r="AS94" s="16"/>
      <c r="AT94" s="16"/>
      <c r="AU94" s="16"/>
      <c r="AV94" s="16"/>
      <c r="AW94" s="16"/>
      <c r="AX94" s="16"/>
      <c r="AY94" s="16"/>
      <c r="AZ94" s="16"/>
    </row>
    <row r="95" spans="1:52" ht="14.25">
      <c r="A95" s="14"/>
      <c r="B95" s="14"/>
      <c r="C95" s="14"/>
      <c r="D95" s="14"/>
      <c r="E95" s="14"/>
      <c r="F95" s="14"/>
      <c r="G95" s="14"/>
      <c r="H95" s="14"/>
      <c r="I95" s="14"/>
      <c r="J95" s="16"/>
      <c r="K95" s="16"/>
      <c r="L95" s="16"/>
      <c r="M95" s="16"/>
      <c r="N95" s="16"/>
      <c r="O95" s="16"/>
      <c r="P95" s="16"/>
      <c r="Q95" s="16"/>
      <c r="R95" s="16"/>
      <c r="S95" s="16"/>
      <c r="T95" s="16"/>
      <c r="U95" s="16"/>
      <c r="V95" s="16"/>
      <c r="W95" s="16"/>
      <c r="X95" s="16"/>
      <c r="Y95" s="16"/>
      <c r="Z95" s="16"/>
      <c r="AA95" s="14"/>
      <c r="AB95" s="14"/>
      <c r="AC95" s="14"/>
      <c r="AD95" s="14"/>
      <c r="AE95" s="14"/>
      <c r="AF95" s="14"/>
      <c r="AG95" s="14"/>
      <c r="AH95" s="14"/>
      <c r="AI95" s="14"/>
      <c r="AJ95" s="16"/>
      <c r="AK95" s="16"/>
      <c r="AL95" s="16"/>
      <c r="AM95" s="16"/>
      <c r="AN95" s="16"/>
      <c r="AO95" s="16"/>
      <c r="AP95" s="16"/>
      <c r="AQ95" s="16"/>
      <c r="AR95" s="16"/>
      <c r="AS95" s="16"/>
      <c r="AT95" s="16"/>
      <c r="AU95" s="16"/>
      <c r="AV95" s="16"/>
      <c r="AW95" s="16"/>
      <c r="AX95" s="16"/>
      <c r="AY95" s="16"/>
      <c r="AZ95" s="16"/>
    </row>
    <row r="96" spans="1:52" ht="14.25">
      <c r="A96" s="14"/>
      <c r="B96" s="14"/>
      <c r="C96" s="14"/>
      <c r="D96" s="14"/>
      <c r="E96" s="14"/>
      <c r="F96" s="14"/>
      <c r="G96" s="14"/>
      <c r="H96" s="14"/>
      <c r="I96" s="14"/>
      <c r="J96" s="16"/>
      <c r="K96" s="16"/>
      <c r="L96" s="16"/>
      <c r="M96" s="16"/>
      <c r="N96" s="16"/>
      <c r="O96" s="16"/>
      <c r="P96" s="16"/>
      <c r="Q96" s="16"/>
      <c r="R96" s="16"/>
      <c r="S96" s="16"/>
      <c r="T96" s="16"/>
      <c r="U96" s="16"/>
      <c r="V96" s="16"/>
      <c r="W96" s="16"/>
      <c r="X96" s="16"/>
      <c r="Y96" s="16"/>
      <c r="Z96" s="16"/>
      <c r="AA96" s="14"/>
      <c r="AB96" s="14"/>
      <c r="AC96" s="14"/>
      <c r="AD96" s="14"/>
      <c r="AE96" s="14"/>
      <c r="AF96" s="14"/>
      <c r="AG96" s="14"/>
      <c r="AH96" s="14"/>
      <c r="AI96" s="14"/>
      <c r="AJ96" s="16"/>
      <c r="AK96" s="16"/>
      <c r="AL96" s="16"/>
      <c r="AM96" s="16"/>
      <c r="AN96" s="16"/>
      <c r="AO96" s="16"/>
      <c r="AP96" s="16"/>
      <c r="AQ96" s="16"/>
      <c r="AR96" s="16"/>
      <c r="AS96" s="16"/>
      <c r="AT96" s="16"/>
      <c r="AU96" s="16"/>
      <c r="AV96" s="16"/>
      <c r="AW96" s="16"/>
      <c r="AX96" s="16"/>
      <c r="AY96" s="16"/>
      <c r="AZ96" s="16"/>
    </row>
    <row r="97" spans="1:52" ht="14.25">
      <c r="A97" s="14"/>
      <c r="B97" s="14"/>
      <c r="C97" s="14"/>
      <c r="D97" s="14"/>
      <c r="E97" s="14"/>
      <c r="F97" s="14"/>
      <c r="G97" s="14"/>
      <c r="H97" s="14"/>
      <c r="I97" s="14"/>
      <c r="J97" s="16"/>
      <c r="K97" s="16"/>
      <c r="L97" s="16"/>
      <c r="M97" s="16"/>
      <c r="N97" s="16"/>
      <c r="O97" s="16"/>
      <c r="P97" s="16"/>
      <c r="Q97" s="16"/>
      <c r="R97" s="16"/>
      <c r="S97" s="16"/>
      <c r="T97" s="16"/>
      <c r="U97" s="16"/>
      <c r="V97" s="16"/>
      <c r="W97" s="16"/>
      <c r="X97" s="16"/>
      <c r="Y97" s="16"/>
      <c r="Z97" s="16"/>
      <c r="AA97" s="14"/>
      <c r="AB97" s="14"/>
      <c r="AC97" s="14"/>
      <c r="AD97" s="14"/>
      <c r="AE97" s="14"/>
      <c r="AF97" s="14"/>
      <c r="AG97" s="14"/>
      <c r="AH97" s="14"/>
      <c r="AI97" s="14"/>
      <c r="AJ97" s="16"/>
      <c r="AK97" s="16"/>
      <c r="AL97" s="16"/>
      <c r="AM97" s="16"/>
      <c r="AN97" s="16"/>
      <c r="AO97" s="16"/>
      <c r="AP97" s="16"/>
      <c r="AQ97" s="16"/>
      <c r="AR97" s="16"/>
      <c r="AS97" s="16"/>
      <c r="AT97" s="16"/>
      <c r="AU97" s="16"/>
      <c r="AV97" s="16"/>
      <c r="AW97" s="16"/>
      <c r="AX97" s="16"/>
      <c r="AY97" s="16"/>
      <c r="AZ97" s="16"/>
    </row>
    <row r="98" spans="1:52" ht="14.25">
      <c r="A98" s="14"/>
      <c r="B98" s="14"/>
      <c r="C98" s="14"/>
      <c r="D98" s="14"/>
      <c r="E98" s="14"/>
      <c r="F98" s="14"/>
      <c r="G98" s="14"/>
      <c r="H98" s="14"/>
      <c r="I98" s="14"/>
      <c r="J98" s="16"/>
      <c r="K98" s="16"/>
      <c r="L98" s="16"/>
      <c r="M98" s="16"/>
      <c r="N98" s="16"/>
      <c r="O98" s="16"/>
      <c r="P98" s="16"/>
      <c r="Q98" s="16"/>
      <c r="R98" s="16"/>
      <c r="S98" s="16"/>
      <c r="T98" s="16"/>
      <c r="U98" s="16"/>
      <c r="V98" s="16"/>
      <c r="W98" s="16"/>
      <c r="X98" s="16"/>
      <c r="Y98" s="16"/>
      <c r="Z98" s="16"/>
      <c r="AA98" s="14"/>
      <c r="AB98" s="14"/>
      <c r="AC98" s="14"/>
      <c r="AD98" s="14"/>
      <c r="AE98" s="14"/>
      <c r="AF98" s="14"/>
      <c r="AG98" s="14"/>
      <c r="AH98" s="14"/>
      <c r="AI98" s="14"/>
      <c r="AJ98" s="16"/>
      <c r="AK98" s="16"/>
      <c r="AL98" s="16"/>
      <c r="AM98" s="16"/>
      <c r="AN98" s="16"/>
      <c r="AO98" s="16"/>
      <c r="AP98" s="16"/>
      <c r="AQ98" s="16"/>
      <c r="AR98" s="16"/>
      <c r="AS98" s="16"/>
      <c r="AT98" s="16"/>
      <c r="AU98" s="16"/>
      <c r="AV98" s="16"/>
      <c r="AW98" s="16"/>
      <c r="AX98" s="16"/>
      <c r="AY98" s="16"/>
      <c r="AZ98" s="16"/>
    </row>
    <row r="99" spans="1:52" ht="14.25">
      <c r="A99" s="14"/>
      <c r="B99" s="14"/>
      <c r="C99" s="14"/>
      <c r="D99" s="14"/>
      <c r="E99" s="14"/>
      <c r="F99" s="14"/>
      <c r="G99" s="14"/>
      <c r="H99" s="14"/>
      <c r="I99" s="14"/>
      <c r="J99" s="16"/>
      <c r="K99" s="16"/>
      <c r="L99" s="16"/>
      <c r="M99" s="16"/>
      <c r="N99" s="16"/>
      <c r="O99" s="16"/>
      <c r="P99" s="16"/>
      <c r="Q99" s="16"/>
      <c r="R99" s="16"/>
      <c r="S99" s="16"/>
      <c r="T99" s="16"/>
      <c r="U99" s="16"/>
      <c r="V99" s="16"/>
      <c r="W99" s="16"/>
      <c r="X99" s="16"/>
      <c r="Y99" s="16"/>
      <c r="Z99" s="16"/>
      <c r="AA99" s="14"/>
      <c r="AB99" s="14"/>
      <c r="AC99" s="14"/>
      <c r="AD99" s="14"/>
      <c r="AE99" s="14"/>
      <c r="AF99" s="14"/>
      <c r="AG99" s="14"/>
      <c r="AH99" s="14"/>
      <c r="AI99" s="14"/>
      <c r="AJ99" s="16"/>
      <c r="AK99" s="16"/>
      <c r="AL99" s="16"/>
      <c r="AM99" s="16"/>
      <c r="AN99" s="16"/>
      <c r="AO99" s="16"/>
      <c r="AP99" s="16"/>
      <c r="AQ99" s="16"/>
      <c r="AR99" s="16"/>
      <c r="AS99" s="16"/>
      <c r="AT99" s="16"/>
      <c r="AU99" s="16"/>
      <c r="AV99" s="16"/>
      <c r="AW99" s="16"/>
      <c r="AX99" s="16"/>
      <c r="AY99" s="16"/>
      <c r="AZ99" s="16"/>
    </row>
    <row r="100" spans="1:52" ht="14.25">
      <c r="A100" s="14"/>
      <c r="B100" s="14"/>
      <c r="C100" s="14"/>
      <c r="D100" s="14"/>
      <c r="E100" s="14"/>
      <c r="F100" s="14"/>
      <c r="G100" s="14"/>
      <c r="H100" s="14"/>
      <c r="I100" s="14"/>
      <c r="J100" s="16"/>
      <c r="K100" s="16"/>
      <c r="L100" s="16"/>
      <c r="M100" s="16"/>
      <c r="N100" s="16"/>
      <c r="O100" s="16"/>
      <c r="P100" s="16"/>
      <c r="Q100" s="16"/>
      <c r="R100" s="16"/>
      <c r="S100" s="16"/>
      <c r="T100" s="16"/>
      <c r="U100" s="16"/>
      <c r="V100" s="16"/>
      <c r="W100" s="16"/>
      <c r="X100" s="16"/>
      <c r="Y100" s="16"/>
      <c r="Z100" s="16"/>
      <c r="AA100" s="14"/>
      <c r="AB100" s="14"/>
      <c r="AC100" s="14"/>
      <c r="AD100" s="14"/>
      <c r="AE100" s="14"/>
      <c r="AF100" s="14"/>
      <c r="AG100" s="14"/>
      <c r="AH100" s="14"/>
      <c r="AI100" s="14"/>
      <c r="AJ100" s="16"/>
      <c r="AK100" s="16"/>
      <c r="AL100" s="16"/>
      <c r="AM100" s="16"/>
      <c r="AN100" s="16"/>
      <c r="AO100" s="16"/>
      <c r="AP100" s="16"/>
      <c r="AQ100" s="16"/>
      <c r="AR100" s="16"/>
      <c r="AS100" s="16"/>
      <c r="AT100" s="16"/>
      <c r="AU100" s="16"/>
      <c r="AV100" s="16"/>
      <c r="AW100" s="16"/>
      <c r="AX100" s="16"/>
      <c r="AY100" s="16"/>
      <c r="AZ100" s="16"/>
    </row>
    <row r="101" spans="1:52" ht="14.25">
      <c r="A101" s="14"/>
      <c r="B101" s="14"/>
      <c r="C101" s="14"/>
      <c r="D101" s="14"/>
      <c r="E101" s="14"/>
      <c r="F101" s="14"/>
      <c r="G101" s="14"/>
      <c r="H101" s="14"/>
      <c r="I101" s="14"/>
      <c r="J101" s="16"/>
      <c r="K101" s="16"/>
      <c r="L101" s="16"/>
      <c r="M101" s="16"/>
      <c r="N101" s="16"/>
      <c r="O101" s="16"/>
      <c r="P101" s="16"/>
      <c r="Q101" s="16"/>
      <c r="R101" s="16"/>
      <c r="S101" s="16"/>
      <c r="T101" s="16"/>
      <c r="U101" s="16"/>
      <c r="V101" s="16"/>
      <c r="W101" s="16"/>
      <c r="X101" s="16"/>
      <c r="Y101" s="16"/>
      <c r="Z101" s="16"/>
      <c r="AA101" s="14"/>
      <c r="AB101" s="14"/>
      <c r="AC101" s="14"/>
      <c r="AD101" s="14"/>
      <c r="AE101" s="14"/>
      <c r="AF101" s="14"/>
      <c r="AG101" s="14"/>
      <c r="AH101" s="14"/>
      <c r="AI101" s="14"/>
      <c r="AJ101" s="16"/>
      <c r="AK101" s="16"/>
      <c r="AL101" s="16"/>
      <c r="AM101" s="16"/>
      <c r="AN101" s="16"/>
      <c r="AO101" s="16"/>
      <c r="AP101" s="16"/>
      <c r="AQ101" s="16"/>
      <c r="AR101" s="16"/>
      <c r="AS101" s="16"/>
      <c r="AT101" s="16"/>
      <c r="AU101" s="16"/>
      <c r="AV101" s="16"/>
      <c r="AW101" s="16"/>
      <c r="AX101" s="16"/>
      <c r="AY101" s="16"/>
      <c r="AZ101" s="16"/>
    </row>
    <row r="102" spans="1:52" ht="14.25">
      <c r="A102" s="14"/>
      <c r="B102" s="14"/>
      <c r="C102" s="14"/>
      <c r="D102" s="14"/>
      <c r="E102" s="14"/>
      <c r="F102" s="14"/>
      <c r="G102" s="14"/>
      <c r="H102" s="14"/>
      <c r="I102" s="14"/>
      <c r="J102" s="16"/>
      <c r="K102" s="16"/>
      <c r="L102" s="16"/>
      <c r="M102" s="16"/>
      <c r="N102" s="16"/>
      <c r="O102" s="16"/>
      <c r="P102" s="16"/>
      <c r="Q102" s="16"/>
      <c r="R102" s="16"/>
      <c r="S102" s="16"/>
      <c r="T102" s="16"/>
      <c r="U102" s="16"/>
      <c r="V102" s="16"/>
      <c r="W102" s="16"/>
      <c r="X102" s="16"/>
      <c r="Y102" s="16"/>
      <c r="Z102" s="16"/>
      <c r="AA102" s="14"/>
      <c r="AB102" s="14"/>
      <c r="AC102" s="14"/>
      <c r="AD102" s="14"/>
      <c r="AE102" s="14"/>
      <c r="AF102" s="14"/>
      <c r="AG102" s="14"/>
      <c r="AH102" s="14"/>
      <c r="AI102" s="14"/>
      <c r="AJ102" s="16"/>
      <c r="AK102" s="16"/>
      <c r="AL102" s="16"/>
      <c r="AM102" s="16"/>
      <c r="AN102" s="16"/>
      <c r="AO102" s="16"/>
      <c r="AP102" s="16"/>
      <c r="AQ102" s="16"/>
      <c r="AR102" s="16"/>
      <c r="AS102" s="16"/>
      <c r="AT102" s="16"/>
      <c r="AU102" s="16"/>
      <c r="AV102" s="16"/>
      <c r="AW102" s="16"/>
      <c r="AX102" s="16"/>
      <c r="AY102" s="16"/>
      <c r="AZ102" s="16"/>
    </row>
    <row r="103" spans="1:52" ht="14.25">
      <c r="A103" s="14"/>
      <c r="B103" s="14"/>
      <c r="C103" s="14"/>
      <c r="D103" s="14"/>
      <c r="E103" s="14"/>
      <c r="F103" s="14"/>
      <c r="G103" s="14"/>
      <c r="H103" s="14"/>
      <c r="I103" s="14"/>
      <c r="J103" s="16"/>
      <c r="K103" s="16"/>
      <c r="L103" s="16"/>
      <c r="M103" s="16"/>
      <c r="N103" s="16"/>
      <c r="O103" s="16"/>
      <c r="P103" s="16"/>
      <c r="Q103" s="16"/>
      <c r="R103" s="16"/>
      <c r="S103" s="16"/>
      <c r="T103" s="16"/>
      <c r="U103" s="16"/>
      <c r="V103" s="16"/>
      <c r="W103" s="16"/>
      <c r="X103" s="16"/>
      <c r="Y103" s="16"/>
      <c r="Z103" s="16"/>
      <c r="AA103" s="14"/>
      <c r="AB103" s="14"/>
      <c r="AC103" s="14"/>
      <c r="AD103" s="14"/>
      <c r="AE103" s="14"/>
      <c r="AF103" s="14"/>
      <c r="AG103" s="14"/>
      <c r="AH103" s="14"/>
      <c r="AI103" s="14"/>
      <c r="AJ103" s="16"/>
      <c r="AK103" s="16"/>
      <c r="AL103" s="16"/>
      <c r="AM103" s="16"/>
      <c r="AN103" s="16"/>
      <c r="AO103" s="16"/>
      <c r="AP103" s="16"/>
      <c r="AQ103" s="16"/>
      <c r="AR103" s="16"/>
      <c r="AS103" s="16"/>
      <c r="AT103" s="16"/>
      <c r="AU103" s="16"/>
      <c r="AV103" s="16"/>
      <c r="AW103" s="16"/>
      <c r="AX103" s="16"/>
      <c r="AY103" s="16"/>
      <c r="AZ103" s="16"/>
    </row>
    <row r="104" spans="1:52" ht="14.25">
      <c r="A104" s="14"/>
      <c r="B104" s="14"/>
      <c r="C104" s="14"/>
      <c r="D104" s="14"/>
      <c r="E104" s="14"/>
      <c r="F104" s="14"/>
      <c r="G104" s="14"/>
      <c r="H104" s="14"/>
      <c r="I104" s="14"/>
      <c r="J104" s="16"/>
      <c r="K104" s="16"/>
      <c r="L104" s="16"/>
      <c r="M104" s="16"/>
      <c r="N104" s="16"/>
      <c r="O104" s="16"/>
      <c r="P104" s="16"/>
      <c r="Q104" s="16"/>
      <c r="R104" s="16"/>
      <c r="S104" s="16"/>
      <c r="T104" s="16"/>
      <c r="U104" s="16"/>
      <c r="V104" s="16"/>
      <c r="W104" s="16"/>
      <c r="X104" s="16"/>
      <c r="Y104" s="16"/>
      <c r="Z104" s="16"/>
      <c r="AA104" s="14"/>
      <c r="AB104" s="14"/>
      <c r="AC104" s="14"/>
      <c r="AD104" s="14"/>
      <c r="AE104" s="14"/>
      <c r="AF104" s="14"/>
      <c r="AG104" s="14"/>
      <c r="AH104" s="14"/>
      <c r="AI104" s="14"/>
      <c r="AJ104" s="16"/>
      <c r="AK104" s="16"/>
      <c r="AL104" s="16"/>
      <c r="AM104" s="16"/>
      <c r="AN104" s="16"/>
      <c r="AO104" s="16"/>
      <c r="AP104" s="16"/>
      <c r="AQ104" s="16"/>
      <c r="AR104" s="16"/>
      <c r="AS104" s="16"/>
      <c r="AT104" s="16"/>
      <c r="AU104" s="16"/>
      <c r="AV104" s="16"/>
      <c r="AW104" s="16"/>
      <c r="AX104" s="16"/>
      <c r="AY104" s="16"/>
      <c r="AZ104" s="16"/>
    </row>
    <row r="105" spans="1:52" ht="14.25">
      <c r="A105" s="14"/>
      <c r="B105" s="14"/>
      <c r="C105" s="14"/>
      <c r="D105" s="14"/>
      <c r="E105" s="14"/>
      <c r="F105" s="14"/>
      <c r="G105" s="14"/>
      <c r="H105" s="14"/>
      <c r="I105" s="14"/>
      <c r="J105" s="16"/>
      <c r="K105" s="16"/>
      <c r="L105" s="16"/>
      <c r="M105" s="16"/>
      <c r="N105" s="16"/>
      <c r="O105" s="16"/>
      <c r="P105" s="16"/>
      <c r="Q105" s="16"/>
      <c r="R105" s="16"/>
      <c r="S105" s="16"/>
      <c r="T105" s="16"/>
      <c r="U105" s="16"/>
      <c r="V105" s="16"/>
      <c r="W105" s="16"/>
      <c r="X105" s="16"/>
      <c r="Y105" s="16"/>
      <c r="Z105" s="16"/>
      <c r="AA105" s="14"/>
      <c r="AB105" s="14"/>
      <c r="AC105" s="14"/>
      <c r="AD105" s="14"/>
      <c r="AE105" s="14"/>
      <c r="AF105" s="14"/>
      <c r="AG105" s="14"/>
      <c r="AH105" s="14"/>
      <c r="AI105" s="14"/>
      <c r="AJ105" s="16"/>
      <c r="AK105" s="16"/>
      <c r="AL105" s="16"/>
      <c r="AM105" s="16"/>
      <c r="AN105" s="16"/>
      <c r="AO105" s="16"/>
      <c r="AP105" s="16"/>
      <c r="AQ105" s="16"/>
      <c r="AR105" s="16"/>
      <c r="AS105" s="16"/>
      <c r="AT105" s="16"/>
      <c r="AU105" s="16"/>
      <c r="AV105" s="16"/>
      <c r="AW105" s="16"/>
      <c r="AX105" s="16"/>
      <c r="AY105" s="16"/>
      <c r="AZ105" s="16"/>
    </row>
    <row r="106" spans="1:52" ht="14.25">
      <c r="A106" s="14"/>
      <c r="B106" s="14"/>
      <c r="C106" s="14"/>
      <c r="D106" s="14"/>
      <c r="E106" s="14"/>
      <c r="F106" s="14"/>
      <c r="G106" s="14"/>
      <c r="H106" s="14"/>
      <c r="I106" s="14"/>
      <c r="J106" s="16"/>
      <c r="K106" s="16"/>
      <c r="L106" s="16"/>
      <c r="M106" s="16"/>
      <c r="N106" s="16"/>
      <c r="O106" s="16"/>
      <c r="P106" s="16"/>
      <c r="Q106" s="16"/>
      <c r="R106" s="16"/>
      <c r="S106" s="16"/>
      <c r="T106" s="16"/>
      <c r="U106" s="16"/>
      <c r="V106" s="16"/>
      <c r="W106" s="16"/>
      <c r="X106" s="16"/>
      <c r="Y106" s="16"/>
      <c r="Z106" s="16"/>
      <c r="AA106" s="14"/>
      <c r="AB106" s="14"/>
      <c r="AC106" s="14"/>
      <c r="AD106" s="14"/>
      <c r="AE106" s="14"/>
      <c r="AF106" s="14"/>
      <c r="AG106" s="14"/>
      <c r="AH106" s="14"/>
      <c r="AI106" s="14"/>
      <c r="AJ106" s="16"/>
      <c r="AK106" s="16"/>
      <c r="AL106" s="16"/>
      <c r="AM106" s="16"/>
      <c r="AN106" s="16"/>
      <c r="AO106" s="16"/>
      <c r="AP106" s="16"/>
      <c r="AQ106" s="16"/>
      <c r="AR106" s="16"/>
      <c r="AS106" s="16"/>
      <c r="AT106" s="16"/>
      <c r="AU106" s="16"/>
      <c r="AV106" s="16"/>
      <c r="AW106" s="16"/>
      <c r="AX106" s="16"/>
      <c r="AY106" s="16"/>
      <c r="AZ106" s="16"/>
    </row>
    <row r="107" spans="1:52" ht="14.25">
      <c r="A107" s="14"/>
      <c r="B107" s="14"/>
      <c r="C107" s="14"/>
      <c r="D107" s="14"/>
      <c r="E107" s="14"/>
      <c r="F107" s="14"/>
      <c r="G107" s="14"/>
      <c r="H107" s="14"/>
      <c r="I107" s="14"/>
      <c r="J107" s="16"/>
      <c r="K107" s="16"/>
      <c r="L107" s="16"/>
      <c r="M107" s="16"/>
      <c r="N107" s="16"/>
      <c r="O107" s="16"/>
      <c r="P107" s="16"/>
      <c r="Q107" s="16"/>
      <c r="R107" s="16"/>
      <c r="S107" s="16"/>
      <c r="T107" s="16"/>
      <c r="U107" s="16"/>
      <c r="V107" s="16"/>
      <c r="W107" s="16"/>
      <c r="X107" s="16"/>
      <c r="Y107" s="16"/>
      <c r="Z107" s="16"/>
      <c r="AA107" s="14"/>
      <c r="AB107" s="14"/>
      <c r="AC107" s="14"/>
      <c r="AD107" s="14"/>
      <c r="AE107" s="14"/>
      <c r="AF107" s="14"/>
      <c r="AG107" s="14"/>
      <c r="AH107" s="14"/>
      <c r="AI107" s="14"/>
      <c r="AJ107" s="16"/>
      <c r="AK107" s="16"/>
      <c r="AL107" s="16"/>
      <c r="AM107" s="16"/>
      <c r="AN107" s="16"/>
      <c r="AO107" s="16"/>
      <c r="AP107" s="16"/>
      <c r="AQ107" s="16"/>
      <c r="AR107" s="16"/>
      <c r="AS107" s="16"/>
      <c r="AT107" s="16"/>
      <c r="AU107" s="16"/>
      <c r="AV107" s="16"/>
      <c r="AW107" s="16"/>
      <c r="AX107" s="16"/>
      <c r="AY107" s="16"/>
      <c r="AZ107" s="16"/>
    </row>
    <row r="108" spans="1:52" ht="14.25">
      <c r="A108" s="14"/>
      <c r="B108" s="14"/>
      <c r="C108" s="14"/>
      <c r="D108" s="14"/>
      <c r="E108" s="14"/>
      <c r="F108" s="14"/>
      <c r="G108" s="14"/>
      <c r="H108" s="14"/>
      <c r="I108" s="14"/>
      <c r="J108" s="16"/>
      <c r="K108" s="16"/>
      <c r="L108" s="16"/>
      <c r="M108" s="16"/>
      <c r="N108" s="16"/>
      <c r="O108" s="16"/>
      <c r="P108" s="16"/>
      <c r="Q108" s="16"/>
      <c r="R108" s="16"/>
      <c r="S108" s="16"/>
      <c r="T108" s="16"/>
      <c r="U108" s="16"/>
      <c r="V108" s="16"/>
      <c r="W108" s="16"/>
      <c r="X108" s="16"/>
      <c r="Y108" s="16"/>
      <c r="Z108" s="16"/>
      <c r="AA108" s="14"/>
      <c r="AB108" s="14"/>
      <c r="AC108" s="14"/>
      <c r="AD108" s="14"/>
      <c r="AE108" s="14"/>
      <c r="AF108" s="14"/>
      <c r="AG108" s="14"/>
      <c r="AH108" s="14"/>
      <c r="AI108" s="14"/>
      <c r="AJ108" s="16"/>
      <c r="AK108" s="16"/>
      <c r="AL108" s="16"/>
      <c r="AM108" s="16"/>
      <c r="AN108" s="16"/>
      <c r="AO108" s="16"/>
      <c r="AP108" s="16"/>
      <c r="AQ108" s="16"/>
      <c r="AR108" s="16"/>
      <c r="AS108" s="16"/>
      <c r="AT108" s="16"/>
      <c r="AU108" s="16"/>
      <c r="AV108" s="16"/>
      <c r="AW108" s="16"/>
      <c r="AX108" s="16"/>
      <c r="AY108" s="16"/>
      <c r="AZ108" s="16"/>
    </row>
    <row r="109" spans="1:52" ht="14.25">
      <c r="A109" s="14"/>
      <c r="B109" s="14"/>
      <c r="C109" s="14"/>
      <c r="D109" s="14"/>
      <c r="E109" s="14"/>
      <c r="F109" s="14"/>
      <c r="G109" s="14"/>
      <c r="H109" s="14"/>
      <c r="I109" s="14"/>
      <c r="J109" s="16"/>
      <c r="K109" s="16"/>
      <c r="L109" s="16"/>
      <c r="M109" s="16"/>
      <c r="N109" s="16"/>
      <c r="O109" s="16"/>
      <c r="P109" s="16"/>
      <c r="Q109" s="16"/>
      <c r="R109" s="16"/>
      <c r="S109" s="16"/>
      <c r="T109" s="16"/>
      <c r="U109" s="16"/>
      <c r="V109" s="16"/>
      <c r="W109" s="16"/>
      <c r="X109" s="16"/>
      <c r="Y109" s="16"/>
      <c r="Z109" s="16"/>
      <c r="AA109" s="14"/>
      <c r="AB109" s="14"/>
      <c r="AC109" s="14"/>
      <c r="AD109" s="14"/>
      <c r="AE109" s="14"/>
      <c r="AF109" s="14"/>
      <c r="AG109" s="14"/>
      <c r="AH109" s="14"/>
      <c r="AI109" s="14"/>
      <c r="AJ109" s="16"/>
      <c r="AK109" s="16"/>
      <c r="AL109" s="16"/>
      <c r="AM109" s="16"/>
      <c r="AN109" s="16"/>
      <c r="AO109" s="16"/>
      <c r="AP109" s="16"/>
      <c r="AQ109" s="16"/>
      <c r="AR109" s="16"/>
      <c r="AS109" s="16"/>
      <c r="AT109" s="16"/>
      <c r="AU109" s="16"/>
      <c r="AV109" s="16"/>
      <c r="AW109" s="16"/>
      <c r="AX109" s="16"/>
      <c r="AY109" s="16"/>
      <c r="AZ109" s="16"/>
    </row>
    <row r="110" spans="1:52" ht="14.25">
      <c r="A110" s="14"/>
      <c r="B110" s="14"/>
      <c r="C110" s="14"/>
      <c r="D110" s="14"/>
      <c r="E110" s="14"/>
      <c r="F110" s="14"/>
      <c r="G110" s="14"/>
      <c r="H110" s="14"/>
      <c r="I110" s="14"/>
      <c r="J110" s="16"/>
      <c r="K110" s="16"/>
      <c r="L110" s="16"/>
      <c r="M110" s="16"/>
      <c r="N110" s="16"/>
      <c r="O110" s="16"/>
      <c r="P110" s="16"/>
      <c r="Q110" s="16"/>
      <c r="R110" s="16"/>
      <c r="S110" s="16"/>
      <c r="T110" s="16"/>
      <c r="U110" s="16"/>
      <c r="V110" s="16"/>
      <c r="W110" s="16"/>
      <c r="X110" s="16"/>
      <c r="Y110" s="16"/>
      <c r="Z110" s="16"/>
      <c r="AA110" s="14"/>
      <c r="AB110" s="14"/>
      <c r="AC110" s="14"/>
      <c r="AD110" s="14"/>
      <c r="AE110" s="14"/>
      <c r="AF110" s="14"/>
      <c r="AG110" s="14"/>
      <c r="AH110" s="14"/>
      <c r="AI110" s="14"/>
      <c r="AJ110" s="16"/>
      <c r="AK110" s="16"/>
      <c r="AL110" s="16"/>
      <c r="AM110" s="16"/>
      <c r="AN110" s="16"/>
      <c r="AO110" s="16"/>
      <c r="AP110" s="16"/>
      <c r="AQ110" s="16"/>
      <c r="AR110" s="16"/>
      <c r="AS110" s="16"/>
      <c r="AT110" s="16"/>
      <c r="AU110" s="16"/>
      <c r="AV110" s="16"/>
      <c r="AW110" s="16"/>
      <c r="AX110" s="16"/>
      <c r="AY110" s="16"/>
      <c r="AZ110" s="16"/>
    </row>
    <row r="111" spans="1:52" ht="14.25">
      <c r="A111" s="14"/>
      <c r="B111" s="14"/>
      <c r="C111" s="14"/>
      <c r="D111" s="14"/>
      <c r="E111" s="14"/>
      <c r="F111" s="14"/>
      <c r="G111" s="14"/>
      <c r="H111" s="14"/>
      <c r="I111" s="14"/>
      <c r="J111" s="16"/>
      <c r="K111" s="16"/>
      <c r="L111" s="16"/>
      <c r="M111" s="16"/>
      <c r="N111" s="16"/>
      <c r="O111" s="16"/>
      <c r="P111" s="16"/>
      <c r="Q111" s="16"/>
      <c r="R111" s="16"/>
      <c r="S111" s="16"/>
      <c r="T111" s="16"/>
      <c r="U111" s="16"/>
      <c r="V111" s="16"/>
      <c r="W111" s="16"/>
      <c r="X111" s="16"/>
      <c r="Y111" s="16"/>
      <c r="Z111" s="16"/>
      <c r="AA111" s="14"/>
      <c r="AB111" s="14"/>
      <c r="AC111" s="14"/>
      <c r="AD111" s="14"/>
      <c r="AE111" s="14"/>
      <c r="AF111" s="14"/>
      <c r="AG111" s="14"/>
      <c r="AH111" s="14"/>
      <c r="AI111" s="14"/>
      <c r="AJ111" s="16"/>
      <c r="AK111" s="16"/>
      <c r="AL111" s="16"/>
      <c r="AM111" s="16"/>
      <c r="AN111" s="16"/>
      <c r="AO111" s="16"/>
      <c r="AP111" s="16"/>
      <c r="AQ111" s="16"/>
      <c r="AR111" s="16"/>
      <c r="AS111" s="16"/>
      <c r="AT111" s="16"/>
      <c r="AU111" s="16"/>
      <c r="AV111" s="16"/>
      <c r="AW111" s="16"/>
      <c r="AX111" s="16"/>
      <c r="AY111" s="16"/>
      <c r="AZ111" s="16"/>
    </row>
    <row r="112" spans="1:52" ht="14.25">
      <c r="A112" s="14"/>
      <c r="B112" s="14"/>
      <c r="C112" s="14"/>
      <c r="D112" s="14"/>
      <c r="E112" s="14"/>
      <c r="F112" s="14"/>
      <c r="G112" s="14"/>
      <c r="H112" s="14"/>
      <c r="I112" s="14"/>
      <c r="J112" s="16"/>
      <c r="K112" s="16"/>
      <c r="L112" s="16"/>
      <c r="M112" s="16"/>
      <c r="N112" s="16"/>
      <c r="O112" s="16"/>
      <c r="P112" s="16"/>
      <c r="Q112" s="16"/>
      <c r="R112" s="16"/>
      <c r="S112" s="16"/>
      <c r="T112" s="16"/>
      <c r="U112" s="16"/>
      <c r="V112" s="16"/>
      <c r="W112" s="16"/>
      <c r="X112" s="16"/>
      <c r="Y112" s="16"/>
      <c r="Z112" s="16"/>
      <c r="AA112" s="14"/>
      <c r="AB112" s="14"/>
      <c r="AC112" s="14"/>
      <c r="AD112" s="14"/>
      <c r="AE112" s="14"/>
      <c r="AF112" s="14"/>
      <c r="AG112" s="14"/>
      <c r="AH112" s="14"/>
      <c r="AI112" s="14"/>
      <c r="AJ112" s="16"/>
      <c r="AK112" s="16"/>
      <c r="AL112" s="16"/>
      <c r="AM112" s="16"/>
      <c r="AN112" s="16"/>
      <c r="AO112" s="16"/>
      <c r="AP112" s="16"/>
      <c r="AQ112" s="16"/>
      <c r="AR112" s="16"/>
      <c r="AS112" s="16"/>
      <c r="AT112" s="16"/>
      <c r="AU112" s="16"/>
      <c r="AV112" s="16"/>
      <c r="AW112" s="16"/>
      <c r="AX112" s="16"/>
      <c r="AY112" s="16"/>
      <c r="AZ112" s="16"/>
    </row>
    <row r="113" spans="1:52" ht="14.25">
      <c r="A113" s="14"/>
      <c r="B113" s="14"/>
      <c r="C113" s="14"/>
      <c r="D113" s="14"/>
      <c r="E113" s="14"/>
      <c r="F113" s="14"/>
      <c r="G113" s="14"/>
      <c r="H113" s="14"/>
      <c r="I113" s="14"/>
      <c r="J113" s="16"/>
      <c r="K113" s="16"/>
      <c r="L113" s="16"/>
      <c r="M113" s="16"/>
      <c r="N113" s="16"/>
      <c r="O113" s="16"/>
      <c r="P113" s="16"/>
      <c r="Q113" s="16"/>
      <c r="R113" s="16"/>
      <c r="S113" s="16"/>
      <c r="T113" s="16"/>
      <c r="U113" s="16"/>
      <c r="V113" s="16"/>
      <c r="W113" s="16"/>
      <c r="X113" s="16"/>
      <c r="Y113" s="16"/>
      <c r="Z113" s="16"/>
      <c r="AA113" s="14"/>
      <c r="AB113" s="14"/>
      <c r="AC113" s="14"/>
      <c r="AD113" s="14"/>
      <c r="AE113" s="14"/>
      <c r="AF113" s="14"/>
      <c r="AG113" s="14"/>
      <c r="AH113" s="14"/>
      <c r="AI113" s="14"/>
      <c r="AJ113" s="16"/>
      <c r="AK113" s="16"/>
      <c r="AL113" s="16"/>
      <c r="AM113" s="16"/>
      <c r="AN113" s="16"/>
      <c r="AO113" s="16"/>
      <c r="AP113" s="16"/>
      <c r="AQ113" s="16"/>
      <c r="AR113" s="16"/>
      <c r="AS113" s="16"/>
      <c r="AT113" s="16"/>
      <c r="AU113" s="16"/>
      <c r="AV113" s="16"/>
      <c r="AW113" s="16"/>
      <c r="AX113" s="16"/>
      <c r="AY113" s="16"/>
      <c r="AZ113" s="16"/>
    </row>
    <row r="114" spans="1:52" ht="14.25">
      <c r="A114" s="14"/>
      <c r="B114" s="14"/>
      <c r="C114" s="14"/>
      <c r="D114" s="14"/>
      <c r="E114" s="14"/>
      <c r="F114" s="14"/>
      <c r="G114" s="14"/>
      <c r="H114" s="14"/>
      <c r="I114" s="14"/>
      <c r="J114" s="16"/>
      <c r="K114" s="16"/>
      <c r="L114" s="16"/>
      <c r="M114" s="16"/>
      <c r="N114" s="16"/>
      <c r="O114" s="16"/>
      <c r="P114" s="16"/>
      <c r="Q114" s="16"/>
      <c r="R114" s="16"/>
      <c r="S114" s="16"/>
      <c r="T114" s="16"/>
      <c r="U114" s="16"/>
      <c r="V114" s="16"/>
      <c r="W114" s="16"/>
      <c r="X114" s="16"/>
      <c r="Y114" s="16"/>
      <c r="Z114" s="16"/>
      <c r="AA114" s="14"/>
      <c r="AB114" s="14"/>
      <c r="AC114" s="14"/>
      <c r="AD114" s="14"/>
      <c r="AE114" s="14"/>
      <c r="AF114" s="14"/>
      <c r="AG114" s="14"/>
      <c r="AH114" s="14"/>
      <c r="AI114" s="14"/>
      <c r="AJ114" s="16"/>
      <c r="AK114" s="16"/>
      <c r="AL114" s="16"/>
      <c r="AM114" s="16"/>
      <c r="AN114" s="16"/>
      <c r="AO114" s="16"/>
      <c r="AP114" s="16"/>
      <c r="AQ114" s="16"/>
      <c r="AR114" s="16"/>
      <c r="AS114" s="16"/>
      <c r="AT114" s="16"/>
      <c r="AU114" s="16"/>
      <c r="AV114" s="16"/>
      <c r="AW114" s="16"/>
      <c r="AX114" s="16"/>
      <c r="AY114" s="16"/>
      <c r="AZ114" s="16"/>
    </row>
    <row r="115" spans="1:52" ht="14.25">
      <c r="A115" s="14"/>
      <c r="B115" s="14"/>
      <c r="C115" s="14"/>
      <c r="D115" s="14"/>
      <c r="E115" s="14"/>
      <c r="F115" s="14"/>
      <c r="G115" s="14"/>
      <c r="H115" s="14"/>
      <c r="I115" s="14"/>
      <c r="J115" s="16"/>
      <c r="K115" s="16"/>
      <c r="L115" s="16"/>
      <c r="M115" s="16"/>
      <c r="N115" s="16"/>
      <c r="O115" s="16"/>
      <c r="P115" s="16"/>
      <c r="Q115" s="16"/>
      <c r="R115" s="16"/>
      <c r="S115" s="16"/>
      <c r="T115" s="16"/>
      <c r="U115" s="16"/>
      <c r="V115" s="16"/>
      <c r="W115" s="16"/>
      <c r="X115" s="16"/>
      <c r="Y115" s="16"/>
      <c r="Z115" s="16"/>
      <c r="AA115" s="14"/>
      <c r="AB115" s="14"/>
      <c r="AC115" s="14"/>
      <c r="AD115" s="14"/>
      <c r="AE115" s="14"/>
      <c r="AF115" s="14"/>
      <c r="AG115" s="14"/>
      <c r="AH115" s="14"/>
      <c r="AI115" s="14"/>
      <c r="AJ115" s="16"/>
      <c r="AK115" s="16"/>
      <c r="AL115" s="16"/>
      <c r="AM115" s="16"/>
      <c r="AN115" s="16"/>
      <c r="AO115" s="16"/>
      <c r="AP115" s="16"/>
      <c r="AQ115" s="16"/>
      <c r="AR115" s="16"/>
      <c r="AS115" s="16"/>
      <c r="AT115" s="16"/>
      <c r="AU115" s="16"/>
      <c r="AV115" s="16"/>
      <c r="AW115" s="16"/>
      <c r="AX115" s="16"/>
      <c r="AY115" s="16"/>
      <c r="AZ115" s="16"/>
    </row>
    <row r="116" spans="1:52" ht="14.25">
      <c r="A116" s="14"/>
      <c r="B116" s="14"/>
      <c r="C116" s="14"/>
      <c r="D116" s="14"/>
      <c r="E116" s="14"/>
      <c r="F116" s="14"/>
      <c r="G116" s="14"/>
      <c r="H116" s="14"/>
      <c r="I116" s="14"/>
      <c r="J116" s="16"/>
      <c r="K116" s="16"/>
      <c r="L116" s="16"/>
      <c r="M116" s="16"/>
      <c r="N116" s="16"/>
      <c r="O116" s="16"/>
      <c r="P116" s="16"/>
      <c r="Q116" s="16"/>
      <c r="R116" s="16"/>
      <c r="S116" s="16"/>
      <c r="T116" s="16"/>
      <c r="U116" s="16"/>
      <c r="V116" s="16"/>
      <c r="W116" s="16"/>
      <c r="X116" s="16"/>
      <c r="Y116" s="16"/>
      <c r="Z116" s="16"/>
      <c r="AA116" s="14"/>
      <c r="AB116" s="14"/>
      <c r="AC116" s="14"/>
      <c r="AD116" s="14"/>
      <c r="AE116" s="14"/>
      <c r="AF116" s="14"/>
      <c r="AG116" s="14"/>
      <c r="AH116" s="14"/>
      <c r="AI116" s="14"/>
      <c r="AJ116" s="16"/>
      <c r="AK116" s="16"/>
      <c r="AL116" s="16"/>
      <c r="AM116" s="16"/>
      <c r="AN116" s="16"/>
      <c r="AO116" s="16"/>
      <c r="AP116" s="16"/>
      <c r="AQ116" s="16"/>
      <c r="AR116" s="16"/>
      <c r="AS116" s="16"/>
      <c r="AT116" s="16"/>
      <c r="AU116" s="16"/>
      <c r="AV116" s="16"/>
      <c r="AW116" s="16"/>
      <c r="AX116" s="16"/>
      <c r="AY116" s="16"/>
      <c r="AZ116" s="16"/>
    </row>
    <row r="117" spans="1:52" ht="14.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row>
    <row r="118" spans="1:52" ht="14.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row>
    <row r="119" spans="1:52" ht="14.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row>
    <row r="120" spans="1:52" ht="14.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row>
    <row r="121" spans="1:52" ht="14.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row>
    <row r="122" spans="1:52" ht="14.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row>
    <row r="123" spans="1:52" ht="14.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row>
    <row r="124" spans="1:52" ht="14.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row>
    <row r="125" spans="1:52" ht="14.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row>
    <row r="126" spans="1:52" ht="14.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row>
    <row r="127" spans="1:52" ht="14.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row>
  </sheetData>
  <sheetProtection algorithmName="SHA-512" hashValue="RCx4nMqODDYpX4hFZcLTqplY7rUIuKeXfBpudLJobLOwPVjMgXowb1bqvAqA+ZuTSRsobLU4BiQ7/v/modsiiA==" saltValue="ksSPdiWaEBnIAEQYnEqFjg==" spinCount="100000" sheet="1" selectLockedCells="1"/>
  <mergeCells count="152">
    <mergeCell ref="W49:X50"/>
    <mergeCell ref="R47:T48"/>
    <mergeCell ref="R49:T50"/>
    <mergeCell ref="L51:P52"/>
    <mergeCell ref="R51:T52"/>
    <mergeCell ref="W51:X52"/>
    <mergeCell ref="B49:D52"/>
    <mergeCell ref="E49:G52"/>
    <mergeCell ref="H49:J52"/>
    <mergeCell ref="B47:D48"/>
    <mergeCell ref="E47:G48"/>
    <mergeCell ref="H47:J48"/>
    <mergeCell ref="AH49:AJ52"/>
    <mergeCell ref="AB49:AD52"/>
    <mergeCell ref="AE49:AG52"/>
    <mergeCell ref="AL47:AP48"/>
    <mergeCell ref="AR47:AT48"/>
    <mergeCell ref="AW47:AX48"/>
    <mergeCell ref="AL49:AP50"/>
    <mergeCell ref="AR49:AT50"/>
    <mergeCell ref="AW49:AX50"/>
    <mergeCell ref="AL51:AP52"/>
    <mergeCell ref="AR51:AT52"/>
    <mergeCell ref="AW51:AX52"/>
    <mergeCell ref="AB47:AD48"/>
    <mergeCell ref="AE47:AG48"/>
    <mergeCell ref="AH47:AJ48"/>
    <mergeCell ref="W43:X44"/>
    <mergeCell ref="W45:X46"/>
    <mergeCell ref="R43:T44"/>
    <mergeCell ref="R45:T46"/>
    <mergeCell ref="W47:X48"/>
    <mergeCell ref="AL43:AP44"/>
    <mergeCell ref="AR43:AT44"/>
    <mergeCell ref="AW43:AX44"/>
    <mergeCell ref="AL45:AP46"/>
    <mergeCell ref="AR45:AT46"/>
    <mergeCell ref="AW45:AX46"/>
    <mergeCell ref="W39:X40"/>
    <mergeCell ref="W41:X42"/>
    <mergeCell ref="R39:T40"/>
    <mergeCell ref="R41:T42"/>
    <mergeCell ref="AL39:AP40"/>
    <mergeCell ref="AR39:AT40"/>
    <mergeCell ref="AW39:AX40"/>
    <mergeCell ref="AL41:AP42"/>
    <mergeCell ref="AR41:AT42"/>
    <mergeCell ref="AW41:AX42"/>
    <mergeCell ref="N38:Y38"/>
    <mergeCell ref="AN38:AY38"/>
    <mergeCell ref="R36:X37"/>
    <mergeCell ref="M35:Q36"/>
    <mergeCell ref="A33:T33"/>
    <mergeCell ref="W33:Y33"/>
    <mergeCell ref="A34:R34"/>
    <mergeCell ref="AM35:AQ36"/>
    <mergeCell ref="AR36:AX37"/>
    <mergeCell ref="AA34:AN34"/>
    <mergeCell ref="AA33:AT33"/>
    <mergeCell ref="AW33:AY33"/>
    <mergeCell ref="A28:Z28"/>
    <mergeCell ref="AA28:AZ28"/>
    <mergeCell ref="I22:Y22"/>
    <mergeCell ref="I24:Y24"/>
    <mergeCell ref="AI24:AY24"/>
    <mergeCell ref="A29:Z29"/>
    <mergeCell ref="AA29:AZ29"/>
    <mergeCell ref="I26:Y26"/>
    <mergeCell ref="AI26:AY26"/>
    <mergeCell ref="I27:Y27"/>
    <mergeCell ref="AI27:AY27"/>
    <mergeCell ref="AI22:AY22"/>
    <mergeCell ref="I23:Y23"/>
    <mergeCell ref="AI23:AY23"/>
    <mergeCell ref="I25:Y25"/>
    <mergeCell ref="AI25:AY25"/>
    <mergeCell ref="AB22:AG27"/>
    <mergeCell ref="R21:Y21"/>
    <mergeCell ref="AH21:AP21"/>
    <mergeCell ref="AR21:AY21"/>
    <mergeCell ref="O21:P21"/>
    <mergeCell ref="H21:N21"/>
    <mergeCell ref="B22:G27"/>
    <mergeCell ref="H20:Y20"/>
    <mergeCell ref="AH20:AY20"/>
    <mergeCell ref="B20:G20"/>
    <mergeCell ref="B21:G21"/>
    <mergeCell ref="AB20:AG20"/>
    <mergeCell ref="AB21:AG21"/>
    <mergeCell ref="H19:J19"/>
    <mergeCell ref="Q19:R19"/>
    <mergeCell ref="W19:Y19"/>
    <mergeCell ref="AH19:AJ19"/>
    <mergeCell ref="A15:Z15"/>
    <mergeCell ref="AA15:AZ15"/>
    <mergeCell ref="K14:M14"/>
    <mergeCell ref="AA14:AL14"/>
    <mergeCell ref="AQ19:AR19"/>
    <mergeCell ref="AW19:AY19"/>
    <mergeCell ref="AM14:AO14"/>
    <mergeCell ref="A16:Z16"/>
    <mergeCell ref="AA16:AZ16"/>
    <mergeCell ref="A17:Z17"/>
    <mergeCell ref="AA17:AZ17"/>
    <mergeCell ref="B19:G19"/>
    <mergeCell ref="AB19:AG19"/>
    <mergeCell ref="AP14:AY14"/>
    <mergeCell ref="AA9:AZ9"/>
    <mergeCell ref="A10:Z10"/>
    <mergeCell ref="AA10:AZ10"/>
    <mergeCell ref="K11:M11"/>
    <mergeCell ref="AA11:AL11"/>
    <mergeCell ref="AM11:AO11"/>
    <mergeCell ref="AP11:AZ11"/>
    <mergeCell ref="N11:Z11"/>
    <mergeCell ref="A18:Z18"/>
    <mergeCell ref="AA18:AZ18"/>
    <mergeCell ref="K12:M12"/>
    <mergeCell ref="AA12:AL12"/>
    <mergeCell ref="AM12:AO12"/>
    <mergeCell ref="AP12:AZ12"/>
    <mergeCell ref="K13:M13"/>
    <mergeCell ref="AA13:AL13"/>
    <mergeCell ref="AM13:AO13"/>
    <mergeCell ref="AP13:AZ13"/>
    <mergeCell ref="N12:Z12"/>
    <mergeCell ref="N13:Z13"/>
    <mergeCell ref="N14:Z14"/>
    <mergeCell ref="BE2:BF2"/>
    <mergeCell ref="L39:P40"/>
    <mergeCell ref="L41:P42"/>
    <mergeCell ref="L43:P44"/>
    <mergeCell ref="L45:P46"/>
    <mergeCell ref="L47:P48"/>
    <mergeCell ref="L49:P50"/>
    <mergeCell ref="A1:Z1"/>
    <mergeCell ref="AA1:AZ1"/>
    <mergeCell ref="A2:Z2"/>
    <mergeCell ref="AA2:AZ2"/>
    <mergeCell ref="A3:Z3"/>
    <mergeCell ref="AA3:AZ3"/>
    <mergeCell ref="A5:Z5"/>
    <mergeCell ref="AA5:AZ5"/>
    <mergeCell ref="A6:Z6"/>
    <mergeCell ref="AA6:AZ6"/>
    <mergeCell ref="AA4:AT4"/>
    <mergeCell ref="R4:T4"/>
    <mergeCell ref="A7:Z7"/>
    <mergeCell ref="AA7:AZ7"/>
    <mergeCell ref="A8:Z8"/>
    <mergeCell ref="AA8:AZ8"/>
    <mergeCell ref="A9:Z9"/>
  </mergeCells>
  <phoneticPr fontId="28"/>
  <conditionalFormatting sqref="H20:Y20">
    <cfRule type="cellIs" dxfId="48" priority="25" stopIfTrue="1" operator="equal">
      <formula>""</formula>
    </cfRule>
  </conditionalFormatting>
  <conditionalFormatting sqref="O21">
    <cfRule type="cellIs" dxfId="47" priority="24" stopIfTrue="1" operator="equal">
      <formula>""</formula>
    </cfRule>
  </conditionalFormatting>
  <conditionalFormatting sqref="V4 X4 R4:T4">
    <cfRule type="containsBlanks" dxfId="46" priority="26">
      <formula>LEN(TRIM(R4))=0</formula>
    </cfRule>
  </conditionalFormatting>
  <conditionalFormatting sqref="V4">
    <cfRule type="cellIs" dxfId="45" priority="5" stopIfTrue="1" operator="equal">
      <formula>""</formula>
    </cfRule>
  </conditionalFormatting>
  <conditionalFormatting sqref="X4">
    <cfRule type="cellIs" dxfId="44" priority="4" stopIfTrue="1" operator="equal">
      <formula>""</formula>
    </cfRule>
  </conditionalFormatting>
  <dataValidations count="3">
    <dataValidation type="list" allowBlank="1" showInputMessage="1" showErrorMessage="1" sqref="R4:T4" xr:uid="{95C778F1-6890-4012-93AA-6424716DEAF7}">
      <formula1>$BB$2:$BB$4</formula1>
    </dataValidation>
    <dataValidation type="list" allowBlank="1" showInputMessage="1" showErrorMessage="1" sqref="V4" xr:uid="{69DF9354-4457-4601-A71F-A9234C03257E}">
      <formula1>$BC$2:$BC$13</formula1>
    </dataValidation>
    <dataValidation type="list" allowBlank="1" showInputMessage="1" showErrorMessage="1" sqref="X4" xr:uid="{8DD1D08E-13F5-4B8B-A0AC-D729BBCCD1FF}">
      <formula1>$BC$2:$BC$32</formula1>
    </dataValidation>
  </dataValidations>
  <printOptions horizontalCentered="1"/>
  <pageMargins left="0.39370078740157483" right="0.39370078740157483" top="0.39370078740157483" bottom="0.39370078740157483" header="0" footer="0"/>
  <pageSetup paperSize="9" scale="91" orientation="portrait" r:id="rId1"/>
  <headerFooter>
    <oddFooter>&amp;R&amp;D &amp;T</oddFooter>
  </headerFooter>
  <colBreaks count="1" manualBreakCount="1">
    <brk id="26" max="53" man="1"/>
  </colBreaks>
  <ignoredErrors>
    <ignoredError sqref="H2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sheetPr>
  <dimension ref="A1:BC50"/>
  <sheetViews>
    <sheetView showZeros="0" view="pageBreakPreview" zoomScale="90" zoomScaleNormal="80" zoomScaleSheetLayoutView="90" workbookViewId="0">
      <selection activeCell="C26" sqref="C26:E27"/>
    </sheetView>
  </sheetViews>
  <sheetFormatPr defaultRowHeight="13.5"/>
  <cols>
    <col min="1" max="8" width="3.625" customWidth="1"/>
    <col min="9" max="9" width="5.625" customWidth="1"/>
    <col min="10" max="11" width="3.625" customWidth="1"/>
    <col min="12" max="12" width="5.625" customWidth="1"/>
    <col min="13" max="14" width="3.625" customWidth="1"/>
    <col min="15" max="15" width="5.625" customWidth="1"/>
    <col min="16" max="17" width="3.625" customWidth="1"/>
    <col min="18" max="18" width="5.625" customWidth="1"/>
    <col min="19" max="21" width="3.625" customWidth="1"/>
    <col min="22" max="22" width="5.625" customWidth="1"/>
    <col min="23" max="23" width="3.625" customWidth="1"/>
    <col min="24" max="24" width="5.625" customWidth="1"/>
    <col min="25" max="52" width="3.625" customWidth="1"/>
  </cols>
  <sheetData>
    <row r="1" spans="1:55" ht="28.5" customHeight="1">
      <c r="A1" s="2472"/>
      <c r="B1" s="2473"/>
      <c r="C1" s="2473"/>
      <c r="D1" s="2473"/>
      <c r="E1" s="2473"/>
      <c r="F1" s="2473"/>
      <c r="G1" s="2473"/>
      <c r="H1" s="2473"/>
      <c r="I1" s="2473"/>
      <c r="J1" s="2473"/>
      <c r="K1" s="2473"/>
      <c r="L1" s="2473"/>
      <c r="M1" s="2473"/>
      <c r="N1" s="2473"/>
      <c r="O1" s="2473"/>
      <c r="P1" s="2473"/>
      <c r="Q1" s="2473"/>
      <c r="R1" s="2473"/>
      <c r="S1" s="2473"/>
      <c r="T1" s="2473"/>
      <c r="U1" s="2473"/>
      <c r="V1" s="2473"/>
      <c r="W1" s="2473"/>
      <c r="X1" s="2473"/>
      <c r="Y1" s="2473"/>
      <c r="Z1" s="2474"/>
      <c r="AA1" s="2472"/>
      <c r="AB1" s="2473"/>
      <c r="AC1" s="2473"/>
      <c r="AD1" s="2473"/>
      <c r="AE1" s="2473"/>
      <c r="AF1" s="2473"/>
      <c r="AG1" s="2473"/>
      <c r="AH1" s="2473"/>
      <c r="AI1" s="2473"/>
      <c r="AJ1" s="2473"/>
      <c r="AK1" s="2473"/>
      <c r="AL1" s="2473"/>
      <c r="AM1" s="2473"/>
      <c r="AN1" s="2473"/>
      <c r="AO1" s="2473"/>
      <c r="AP1" s="2473"/>
      <c r="AQ1" s="2473"/>
      <c r="AR1" s="2473"/>
      <c r="AS1" s="2473"/>
      <c r="AT1" s="2473"/>
      <c r="AU1" s="2473"/>
      <c r="AV1" s="2473"/>
      <c r="AW1" s="2473"/>
      <c r="AX1" s="2473"/>
      <c r="AY1" s="2473"/>
      <c r="AZ1" s="2474"/>
    </row>
    <row r="2" spans="1:55" ht="23.25">
      <c r="A2" s="2475" t="s">
        <v>196</v>
      </c>
      <c r="B2" s="2476"/>
      <c r="C2" s="2476"/>
      <c r="D2" s="2476"/>
      <c r="E2" s="2476"/>
      <c r="F2" s="2476"/>
      <c r="G2" s="2476"/>
      <c r="H2" s="2476"/>
      <c r="I2" s="2476"/>
      <c r="J2" s="2476"/>
      <c r="K2" s="2476"/>
      <c r="L2" s="2476"/>
      <c r="M2" s="2476"/>
      <c r="N2" s="2476"/>
      <c r="O2" s="2476"/>
      <c r="P2" s="2476"/>
      <c r="Q2" s="2476"/>
      <c r="R2" s="2476"/>
      <c r="S2" s="2476"/>
      <c r="T2" s="2476"/>
      <c r="U2" s="2476"/>
      <c r="V2" s="2476"/>
      <c r="W2" s="2476"/>
      <c r="X2" s="2476"/>
      <c r="Y2" s="2476"/>
      <c r="Z2" s="2477"/>
      <c r="AA2" s="2475" t="s">
        <v>196</v>
      </c>
      <c r="AB2" s="2476"/>
      <c r="AC2" s="2476"/>
      <c r="AD2" s="2476"/>
      <c r="AE2" s="2476"/>
      <c r="AF2" s="2476"/>
      <c r="AG2" s="2476"/>
      <c r="AH2" s="2476"/>
      <c r="AI2" s="2476"/>
      <c r="AJ2" s="2476"/>
      <c r="AK2" s="2476"/>
      <c r="AL2" s="2476"/>
      <c r="AM2" s="2476"/>
      <c r="AN2" s="2476"/>
      <c r="AO2" s="2476"/>
      <c r="AP2" s="2476"/>
      <c r="AQ2" s="2476"/>
      <c r="AR2" s="2476"/>
      <c r="AS2" s="2476"/>
      <c r="AT2" s="2476"/>
      <c r="AU2" s="2476"/>
      <c r="AV2" s="2476"/>
      <c r="AW2" s="2476"/>
      <c r="AX2" s="2476"/>
      <c r="AY2" s="2476"/>
      <c r="AZ2" s="2477"/>
    </row>
    <row r="3" spans="1:55" ht="28.5" customHeight="1">
      <c r="A3" s="2458"/>
      <c r="B3" s="2443"/>
      <c r="C3" s="2443"/>
      <c r="D3" s="2443"/>
      <c r="E3" s="2443"/>
      <c r="F3" s="2443"/>
      <c r="G3" s="2443"/>
      <c r="H3" s="2443"/>
      <c r="I3" s="2443"/>
      <c r="J3" s="2443"/>
      <c r="K3" s="2443"/>
      <c r="L3" s="2443"/>
      <c r="M3" s="2443"/>
      <c r="N3" s="2443"/>
      <c r="O3" s="2443"/>
      <c r="P3" s="2443"/>
      <c r="Q3" s="2443"/>
      <c r="R3" s="2443"/>
      <c r="S3" s="2443"/>
      <c r="T3" s="2443"/>
      <c r="U3" s="2443"/>
      <c r="V3" s="2443"/>
      <c r="W3" s="2443"/>
      <c r="X3" s="2443"/>
      <c r="Y3" s="2443"/>
      <c r="Z3" s="2444"/>
      <c r="AA3" s="2458"/>
      <c r="AB3" s="2443"/>
      <c r="AC3" s="2443"/>
      <c r="AD3" s="2443"/>
      <c r="AE3" s="2443"/>
      <c r="AF3" s="2443"/>
      <c r="AG3" s="2443"/>
      <c r="AH3" s="2443"/>
      <c r="AI3" s="2443"/>
      <c r="AJ3" s="2443"/>
      <c r="AK3" s="2443"/>
      <c r="AL3" s="2443"/>
      <c r="AM3" s="2443"/>
      <c r="AN3" s="2443"/>
      <c r="AO3" s="2443"/>
      <c r="AP3" s="2443"/>
      <c r="AQ3" s="2443"/>
      <c r="AR3" s="2443"/>
      <c r="AS3" s="2443"/>
      <c r="AT3" s="2443"/>
      <c r="AU3" s="2443"/>
      <c r="AV3" s="2443"/>
      <c r="AW3" s="2443"/>
      <c r="AX3" s="2443"/>
      <c r="AY3" s="2443"/>
      <c r="AZ3" s="2444"/>
    </row>
    <row r="4" spans="1:55" ht="28.5" customHeight="1">
      <c r="A4" s="378"/>
      <c r="B4" s="379"/>
      <c r="C4" s="379"/>
      <c r="D4" s="379"/>
      <c r="E4" s="379"/>
      <c r="F4" s="379"/>
      <c r="G4" s="379"/>
      <c r="H4" s="379"/>
      <c r="I4" s="379"/>
      <c r="J4" s="379"/>
      <c r="K4" s="379"/>
      <c r="L4" s="379"/>
      <c r="M4" s="379"/>
      <c r="N4" s="379"/>
      <c r="O4" s="379"/>
      <c r="P4" s="379"/>
      <c r="Q4" s="379"/>
      <c r="R4" s="2468"/>
      <c r="S4" s="2469"/>
      <c r="T4" s="2469"/>
      <c r="U4" s="380" t="s">
        <v>14</v>
      </c>
      <c r="V4" s="432"/>
      <c r="W4" s="380" t="s">
        <v>13</v>
      </c>
      <c r="X4" s="432"/>
      <c r="Y4" s="380" t="s">
        <v>104</v>
      </c>
      <c r="Z4" s="381"/>
      <c r="AA4" s="2470" t="s">
        <v>2977</v>
      </c>
      <c r="AB4" s="2471"/>
      <c r="AC4" s="2471"/>
      <c r="AD4" s="2471"/>
      <c r="AE4" s="2471"/>
      <c r="AF4" s="2471"/>
      <c r="AG4" s="2471"/>
      <c r="AH4" s="2471"/>
      <c r="AI4" s="2471"/>
      <c r="AJ4" s="2471"/>
      <c r="AK4" s="2471"/>
      <c r="AL4" s="2471"/>
      <c r="AM4" s="2471"/>
      <c r="AN4" s="2471"/>
      <c r="AO4" s="2471"/>
      <c r="AP4" s="2471"/>
      <c r="AQ4" s="2471"/>
      <c r="AR4" s="2471"/>
      <c r="AS4" s="2471"/>
      <c r="AT4" s="2471"/>
      <c r="AU4" s="380" t="s">
        <v>14</v>
      </c>
      <c r="AV4" s="396" t="s">
        <v>2684</v>
      </c>
      <c r="AW4" s="380" t="s">
        <v>13</v>
      </c>
      <c r="AX4" s="396" t="s">
        <v>2694</v>
      </c>
      <c r="AY4" s="380" t="s">
        <v>104</v>
      </c>
      <c r="AZ4" s="381"/>
      <c r="BB4" s="27"/>
      <c r="BC4" s="27">
        <v>1</v>
      </c>
    </row>
    <row r="5" spans="1:55" ht="14.25" customHeight="1">
      <c r="A5" s="2445"/>
      <c r="B5" s="2446"/>
      <c r="C5" s="2446"/>
      <c r="D5" s="2446"/>
      <c r="E5" s="2446"/>
      <c r="F5" s="2446"/>
      <c r="G5" s="2446"/>
      <c r="H5" s="2446"/>
      <c r="I5" s="2446"/>
      <c r="J5" s="2446"/>
      <c r="K5" s="2446"/>
      <c r="L5" s="2446"/>
      <c r="M5" s="2446"/>
      <c r="N5" s="2446"/>
      <c r="O5" s="2446"/>
      <c r="P5" s="2446"/>
      <c r="Q5" s="2446"/>
      <c r="R5" s="2446"/>
      <c r="S5" s="2446"/>
      <c r="T5" s="2446"/>
      <c r="U5" s="2446"/>
      <c r="V5" s="2446"/>
      <c r="W5" s="2446"/>
      <c r="X5" s="2446"/>
      <c r="Y5" s="2446"/>
      <c r="Z5" s="2447"/>
      <c r="AA5" s="2445"/>
      <c r="AB5" s="2446"/>
      <c r="AC5" s="2446"/>
      <c r="AD5" s="2446"/>
      <c r="AE5" s="2446"/>
      <c r="AF5" s="2446"/>
      <c r="AG5" s="2446"/>
      <c r="AH5" s="2446"/>
      <c r="AI5" s="2446"/>
      <c r="AJ5" s="2446"/>
      <c r="AK5" s="2446"/>
      <c r="AL5" s="2446"/>
      <c r="AM5" s="2446"/>
      <c r="AN5" s="2446"/>
      <c r="AO5" s="2446"/>
      <c r="AP5" s="2446"/>
      <c r="AQ5" s="2446"/>
      <c r="AR5" s="2446"/>
      <c r="AS5" s="2446"/>
      <c r="AT5" s="2446"/>
      <c r="AU5" s="2446"/>
      <c r="AV5" s="2446"/>
      <c r="AW5" s="2446"/>
      <c r="AX5" s="2446"/>
      <c r="AY5" s="2446"/>
      <c r="AZ5" s="2447"/>
      <c r="BB5" s="27" t="s">
        <v>2975</v>
      </c>
      <c r="BC5" s="27">
        <v>2</v>
      </c>
    </row>
    <row r="6" spans="1:55" ht="14.25" customHeight="1">
      <c r="A6" s="2458"/>
      <c r="B6" s="2443"/>
      <c r="C6" s="2443"/>
      <c r="D6" s="2443"/>
      <c r="E6" s="2443"/>
      <c r="F6" s="2443"/>
      <c r="G6" s="2443"/>
      <c r="H6" s="2443"/>
      <c r="I6" s="2443"/>
      <c r="J6" s="2443"/>
      <c r="K6" s="2443"/>
      <c r="L6" s="2443"/>
      <c r="M6" s="2443"/>
      <c r="N6" s="2443"/>
      <c r="O6" s="2443"/>
      <c r="P6" s="2443"/>
      <c r="Q6" s="2443"/>
      <c r="R6" s="2443"/>
      <c r="S6" s="2443"/>
      <c r="T6" s="2443"/>
      <c r="U6" s="2443"/>
      <c r="V6" s="2443"/>
      <c r="W6" s="2443"/>
      <c r="X6" s="2443"/>
      <c r="Y6" s="2443"/>
      <c r="Z6" s="2444"/>
      <c r="AA6" s="2458"/>
      <c r="AB6" s="2443"/>
      <c r="AC6" s="2443"/>
      <c r="AD6" s="2443"/>
      <c r="AE6" s="2443"/>
      <c r="AF6" s="2443"/>
      <c r="AG6" s="2443"/>
      <c r="AH6" s="2443"/>
      <c r="AI6" s="2443"/>
      <c r="AJ6" s="2443"/>
      <c r="AK6" s="2443"/>
      <c r="AL6" s="2443"/>
      <c r="AM6" s="2443"/>
      <c r="AN6" s="2443"/>
      <c r="AO6" s="2443"/>
      <c r="AP6" s="2443"/>
      <c r="AQ6" s="2443"/>
      <c r="AR6" s="2443"/>
      <c r="AS6" s="2443"/>
      <c r="AT6" s="2443"/>
      <c r="AU6" s="2443"/>
      <c r="AV6" s="2443"/>
      <c r="AW6" s="2443"/>
      <c r="AX6" s="2443"/>
      <c r="AY6" s="2443"/>
      <c r="AZ6" s="2444"/>
      <c r="BB6" s="27" t="s">
        <v>3017</v>
      </c>
      <c r="BC6" s="27">
        <v>3</v>
      </c>
    </row>
    <row r="7" spans="1:55" ht="14.25" customHeight="1">
      <c r="A7" s="2445" t="s">
        <v>179</v>
      </c>
      <c r="B7" s="2446"/>
      <c r="C7" s="2446"/>
      <c r="D7" s="2446"/>
      <c r="E7" s="2446"/>
      <c r="F7" s="2446"/>
      <c r="G7" s="2446"/>
      <c r="H7" s="2446"/>
      <c r="I7" s="2446"/>
      <c r="J7" s="2446"/>
      <c r="K7" s="2446"/>
      <c r="L7" s="2446"/>
      <c r="M7" s="2446"/>
      <c r="N7" s="2446"/>
      <c r="O7" s="2446"/>
      <c r="P7" s="2446"/>
      <c r="Q7" s="2446"/>
      <c r="R7" s="2446"/>
      <c r="S7" s="2446"/>
      <c r="T7" s="2446"/>
      <c r="U7" s="2446"/>
      <c r="V7" s="2446"/>
      <c r="W7" s="2446"/>
      <c r="X7" s="2446"/>
      <c r="Y7" s="2446"/>
      <c r="Z7" s="2447"/>
      <c r="AA7" s="2445" t="s">
        <v>179</v>
      </c>
      <c r="AB7" s="2446"/>
      <c r="AC7" s="2446"/>
      <c r="AD7" s="2446"/>
      <c r="AE7" s="2446"/>
      <c r="AF7" s="2446"/>
      <c r="AG7" s="2446"/>
      <c r="AH7" s="2446"/>
      <c r="AI7" s="2446"/>
      <c r="AJ7" s="2446"/>
      <c r="AK7" s="2446"/>
      <c r="AL7" s="2446"/>
      <c r="AM7" s="2446"/>
      <c r="AN7" s="2446"/>
      <c r="AO7" s="2446"/>
      <c r="AP7" s="2446"/>
      <c r="AQ7" s="2446"/>
      <c r="AR7" s="2446"/>
      <c r="AS7" s="2446"/>
      <c r="AT7" s="2446"/>
      <c r="AU7" s="2446"/>
      <c r="AV7" s="2446"/>
      <c r="AW7" s="2446"/>
      <c r="AX7" s="2446"/>
      <c r="AY7" s="2446"/>
      <c r="AZ7" s="2447"/>
      <c r="BB7" s="27"/>
      <c r="BC7" s="27">
        <v>4</v>
      </c>
    </row>
    <row r="8" spans="1:55" ht="14.25" customHeight="1">
      <c r="A8" s="2363" t="s">
        <v>180</v>
      </c>
      <c r="B8" s="2364"/>
      <c r="C8" s="2364"/>
      <c r="D8" s="2364"/>
      <c r="E8" s="2364"/>
      <c r="F8" s="2364"/>
      <c r="G8" s="2364"/>
      <c r="H8" s="2364"/>
      <c r="I8" s="2364"/>
      <c r="J8" s="2364"/>
      <c r="K8" s="2364"/>
      <c r="L8" s="2364"/>
      <c r="M8" s="2364"/>
      <c r="N8" s="2364"/>
      <c r="O8" s="2364"/>
      <c r="P8" s="2364"/>
      <c r="Q8" s="2364"/>
      <c r="R8" s="2364"/>
      <c r="S8" s="2364"/>
      <c r="T8" s="2364"/>
      <c r="U8" s="2364"/>
      <c r="V8" s="2364"/>
      <c r="W8" s="2364"/>
      <c r="X8" s="2364"/>
      <c r="Y8" s="2364"/>
      <c r="Z8" s="2365"/>
      <c r="AA8" s="2363" t="s">
        <v>180</v>
      </c>
      <c r="AB8" s="2364"/>
      <c r="AC8" s="2364"/>
      <c r="AD8" s="2364"/>
      <c r="AE8" s="2364"/>
      <c r="AF8" s="2364"/>
      <c r="AG8" s="2364"/>
      <c r="AH8" s="2364"/>
      <c r="AI8" s="2364"/>
      <c r="AJ8" s="2364"/>
      <c r="AK8" s="2364"/>
      <c r="AL8" s="2364"/>
      <c r="AM8" s="2364"/>
      <c r="AN8" s="2364"/>
      <c r="AO8" s="2364"/>
      <c r="AP8" s="2364"/>
      <c r="AQ8" s="2364"/>
      <c r="AR8" s="2364"/>
      <c r="AS8" s="2364"/>
      <c r="AT8" s="2364"/>
      <c r="AU8" s="2364"/>
      <c r="AV8" s="2364"/>
      <c r="AW8" s="2364"/>
      <c r="AX8" s="2364"/>
      <c r="AY8" s="2364"/>
      <c r="AZ8" s="2365"/>
      <c r="BB8" s="27"/>
      <c r="BC8" s="27">
        <v>5</v>
      </c>
    </row>
    <row r="9" spans="1:55" ht="14.25" customHeight="1">
      <c r="A9" s="2363" t="s">
        <v>181</v>
      </c>
      <c r="B9" s="2364"/>
      <c r="C9" s="2364"/>
      <c r="D9" s="2364"/>
      <c r="E9" s="2364"/>
      <c r="F9" s="2364"/>
      <c r="G9" s="2364"/>
      <c r="H9" s="2364"/>
      <c r="I9" s="2364"/>
      <c r="J9" s="2364"/>
      <c r="K9" s="2364"/>
      <c r="L9" s="2364"/>
      <c r="M9" s="2364"/>
      <c r="N9" s="2364"/>
      <c r="O9" s="2364"/>
      <c r="P9" s="2364"/>
      <c r="Q9" s="2364"/>
      <c r="R9" s="2364"/>
      <c r="S9" s="2364"/>
      <c r="T9" s="2364"/>
      <c r="U9" s="2364"/>
      <c r="V9" s="2364"/>
      <c r="W9" s="2364"/>
      <c r="X9" s="2364"/>
      <c r="Y9" s="2364"/>
      <c r="Z9" s="2365"/>
      <c r="AA9" s="2363" t="s">
        <v>181</v>
      </c>
      <c r="AB9" s="2364"/>
      <c r="AC9" s="2364"/>
      <c r="AD9" s="2364"/>
      <c r="AE9" s="2364"/>
      <c r="AF9" s="2364"/>
      <c r="AG9" s="2364"/>
      <c r="AH9" s="2364"/>
      <c r="AI9" s="2364"/>
      <c r="AJ9" s="2364"/>
      <c r="AK9" s="2364"/>
      <c r="AL9" s="2364"/>
      <c r="AM9" s="2364"/>
      <c r="AN9" s="2364"/>
      <c r="AO9" s="2364"/>
      <c r="AP9" s="2364"/>
      <c r="AQ9" s="2364"/>
      <c r="AR9" s="2364"/>
      <c r="AS9" s="2364"/>
      <c r="AT9" s="2364"/>
      <c r="AU9" s="2364"/>
      <c r="AV9" s="2364"/>
      <c r="AW9" s="2364"/>
      <c r="AX9" s="2364"/>
      <c r="AY9" s="2364"/>
      <c r="AZ9" s="2365"/>
      <c r="BB9" s="27"/>
      <c r="BC9" s="27">
        <v>6</v>
      </c>
    </row>
    <row r="10" spans="1:55" ht="14.25" customHeight="1">
      <c r="A10" s="2363" t="s">
        <v>182</v>
      </c>
      <c r="B10" s="2364"/>
      <c r="C10" s="2364"/>
      <c r="D10" s="2364"/>
      <c r="E10" s="2364"/>
      <c r="F10" s="2364"/>
      <c r="G10" s="2364"/>
      <c r="H10" s="2364"/>
      <c r="I10" s="2364"/>
      <c r="J10" s="2364"/>
      <c r="K10" s="2364"/>
      <c r="L10" s="2364"/>
      <c r="M10" s="2364"/>
      <c r="N10" s="2364"/>
      <c r="O10" s="2364"/>
      <c r="P10" s="2364"/>
      <c r="Q10" s="2364"/>
      <c r="R10" s="2364"/>
      <c r="S10" s="2364"/>
      <c r="T10" s="2364"/>
      <c r="U10" s="2364"/>
      <c r="V10" s="2364"/>
      <c r="W10" s="2364"/>
      <c r="X10" s="2364"/>
      <c r="Y10" s="2364"/>
      <c r="Z10" s="2365"/>
      <c r="AA10" s="2363" t="s">
        <v>182</v>
      </c>
      <c r="AB10" s="2364"/>
      <c r="AC10" s="2364"/>
      <c r="AD10" s="2364"/>
      <c r="AE10" s="2364"/>
      <c r="AF10" s="2364"/>
      <c r="AG10" s="2364"/>
      <c r="AH10" s="2364"/>
      <c r="AI10" s="2364"/>
      <c r="AJ10" s="2364"/>
      <c r="AK10" s="2364"/>
      <c r="AL10" s="2364"/>
      <c r="AM10" s="2364"/>
      <c r="AN10" s="2364"/>
      <c r="AO10" s="2364"/>
      <c r="AP10" s="2364"/>
      <c r="AQ10" s="2364"/>
      <c r="AR10" s="2364"/>
      <c r="AS10" s="2364"/>
      <c r="AT10" s="2364"/>
      <c r="AU10" s="2364"/>
      <c r="AV10" s="2364"/>
      <c r="AW10" s="2364"/>
      <c r="AX10" s="2364"/>
      <c r="AY10" s="2364"/>
      <c r="AZ10" s="2365"/>
      <c r="BB10" s="27"/>
      <c r="BC10" s="27">
        <v>7</v>
      </c>
    </row>
    <row r="11" spans="1:55" ht="14.25" customHeight="1">
      <c r="A11" s="2445"/>
      <c r="B11" s="2446"/>
      <c r="C11" s="2446"/>
      <c r="D11" s="2446"/>
      <c r="E11" s="2446"/>
      <c r="F11" s="2446"/>
      <c r="G11" s="2446"/>
      <c r="H11" s="2446"/>
      <c r="I11" s="2446"/>
      <c r="J11" s="2446"/>
      <c r="K11" s="2446"/>
      <c r="L11" s="2446"/>
      <c r="M11" s="2446"/>
      <c r="N11" s="2446"/>
      <c r="O11" s="2446"/>
      <c r="P11" s="2446"/>
      <c r="Q11" s="2446"/>
      <c r="R11" s="2446"/>
      <c r="S11" s="2446"/>
      <c r="T11" s="2446"/>
      <c r="U11" s="2446"/>
      <c r="V11" s="2446"/>
      <c r="W11" s="2446"/>
      <c r="X11" s="2446"/>
      <c r="Y11" s="2446"/>
      <c r="Z11" s="2447"/>
      <c r="AA11" s="2445"/>
      <c r="AB11" s="2446"/>
      <c r="AC11" s="2446"/>
      <c r="AD11" s="2446"/>
      <c r="AE11" s="2446"/>
      <c r="AF11" s="2446"/>
      <c r="AG11" s="2446"/>
      <c r="AH11" s="2446"/>
      <c r="AI11" s="2446"/>
      <c r="AJ11" s="2446"/>
      <c r="AK11" s="2446"/>
      <c r="AL11" s="2446"/>
      <c r="AM11" s="2446"/>
      <c r="AN11" s="2446"/>
      <c r="AO11" s="2446"/>
      <c r="AP11" s="2446"/>
      <c r="AQ11" s="2446"/>
      <c r="AR11" s="2446"/>
      <c r="AS11" s="2446"/>
      <c r="AT11" s="2446"/>
      <c r="AU11" s="2446"/>
      <c r="AV11" s="2446"/>
      <c r="AW11" s="2446"/>
      <c r="AX11" s="2446"/>
      <c r="AY11" s="2446"/>
      <c r="AZ11" s="2447"/>
      <c r="BB11" s="27"/>
      <c r="BC11" s="27">
        <v>8</v>
      </c>
    </row>
    <row r="12" spans="1:55" ht="14.25" customHeight="1">
      <c r="A12" s="2445"/>
      <c r="B12" s="2446"/>
      <c r="C12" s="2446"/>
      <c r="D12" s="2446"/>
      <c r="E12" s="2446"/>
      <c r="F12" s="2446"/>
      <c r="G12" s="2446"/>
      <c r="H12" s="2446"/>
      <c r="I12" s="2446"/>
      <c r="J12" s="2446"/>
      <c r="K12" s="2446"/>
      <c r="L12" s="2446"/>
      <c r="M12" s="2446"/>
      <c r="N12" s="2446"/>
      <c r="O12" s="2446"/>
      <c r="P12" s="2446"/>
      <c r="Q12" s="2446"/>
      <c r="R12" s="2446"/>
      <c r="S12" s="2446"/>
      <c r="T12" s="2446"/>
      <c r="U12" s="2446"/>
      <c r="V12" s="2446"/>
      <c r="W12" s="2446"/>
      <c r="X12" s="2446"/>
      <c r="Y12" s="2446"/>
      <c r="Z12" s="2447"/>
      <c r="AA12" s="2445"/>
      <c r="AB12" s="2446"/>
      <c r="AC12" s="2446"/>
      <c r="AD12" s="2446"/>
      <c r="AE12" s="2446"/>
      <c r="AF12" s="2446"/>
      <c r="AG12" s="2446"/>
      <c r="AH12" s="2446"/>
      <c r="AI12" s="2446"/>
      <c r="AJ12" s="2446"/>
      <c r="AK12" s="2446"/>
      <c r="AL12" s="2446"/>
      <c r="AM12" s="2446"/>
      <c r="AN12" s="2446"/>
      <c r="AO12" s="2446"/>
      <c r="AP12" s="2446"/>
      <c r="AQ12" s="2446"/>
      <c r="AR12" s="2446"/>
      <c r="AS12" s="2446"/>
      <c r="AT12" s="2446"/>
      <c r="AU12" s="2446"/>
      <c r="AV12" s="2446"/>
      <c r="AW12" s="2446"/>
      <c r="AX12" s="2446"/>
      <c r="AY12" s="2446"/>
      <c r="AZ12" s="2447"/>
      <c r="BB12" s="27"/>
      <c r="BC12" s="27">
        <v>9</v>
      </c>
    </row>
    <row r="13" spans="1:55" ht="28.5" customHeight="1">
      <c r="A13" s="2458"/>
      <c r="B13" s="2443"/>
      <c r="C13" s="2443"/>
      <c r="D13" s="2443"/>
      <c r="E13" s="2443"/>
      <c r="F13" s="2443"/>
      <c r="G13" s="2443"/>
      <c r="H13" s="2443"/>
      <c r="I13" s="2443"/>
      <c r="J13" s="2443"/>
      <c r="K13" s="2443"/>
      <c r="L13" s="2443"/>
      <c r="M13" s="2443" t="s">
        <v>105</v>
      </c>
      <c r="N13" s="2443"/>
      <c r="O13" s="2443"/>
      <c r="P13" s="2461" t="str">
        <f>CONCATENATE('01 使用承認申請書'!D4)</f>
        <v/>
      </c>
      <c r="Q13" s="2462"/>
      <c r="R13" s="2462"/>
      <c r="S13" s="2462"/>
      <c r="T13" s="2462"/>
      <c r="U13" s="2462"/>
      <c r="V13" s="2462"/>
      <c r="W13" s="2462"/>
      <c r="X13" s="2462"/>
      <c r="Y13" s="2462"/>
      <c r="Z13" s="2463"/>
      <c r="AA13" s="2458"/>
      <c r="AB13" s="2443"/>
      <c r="AC13" s="2443"/>
      <c r="AD13" s="2443"/>
      <c r="AE13" s="2443"/>
      <c r="AF13" s="2443"/>
      <c r="AG13" s="2443"/>
      <c r="AH13" s="2443"/>
      <c r="AI13" s="2443"/>
      <c r="AJ13" s="2443"/>
      <c r="AK13" s="2443"/>
      <c r="AL13" s="2443"/>
      <c r="AM13" s="2443" t="s">
        <v>105</v>
      </c>
      <c r="AN13" s="2443"/>
      <c r="AO13" s="2443"/>
      <c r="AP13" s="2464" t="s">
        <v>183</v>
      </c>
      <c r="AQ13" s="2465"/>
      <c r="AR13" s="2465"/>
      <c r="AS13" s="2465"/>
      <c r="AT13" s="2465"/>
      <c r="AU13" s="2465"/>
      <c r="AV13" s="2465"/>
      <c r="AW13" s="2465"/>
      <c r="AX13" s="2465"/>
      <c r="AY13" s="2465"/>
      <c r="AZ13" s="2466"/>
      <c r="BB13" s="27"/>
      <c r="BC13" s="27">
        <v>10</v>
      </c>
    </row>
    <row r="14" spans="1:55" ht="28.5" customHeight="1">
      <c r="A14" s="2458"/>
      <c r="B14" s="2443"/>
      <c r="C14" s="2443"/>
      <c r="D14" s="2443"/>
      <c r="E14" s="2443"/>
      <c r="F14" s="2443"/>
      <c r="G14" s="2443"/>
      <c r="H14" s="2443"/>
      <c r="I14" s="2443"/>
      <c r="J14" s="2443"/>
      <c r="K14" s="2443"/>
      <c r="L14" s="2443"/>
      <c r="M14" s="2443" t="s">
        <v>2726</v>
      </c>
      <c r="N14" s="2443"/>
      <c r="O14" s="2443"/>
      <c r="P14" s="2464" t="str">
        <f>CONCATENATE('01 使用承認申請書'!S6)</f>
        <v/>
      </c>
      <c r="Q14" s="2464"/>
      <c r="R14" s="2464"/>
      <c r="S14" s="2464"/>
      <c r="T14" s="2464"/>
      <c r="U14" s="2464"/>
      <c r="V14" s="2464"/>
      <c r="W14" s="2464"/>
      <c r="X14" s="2464"/>
      <c r="Y14" s="2464"/>
      <c r="Z14" s="2467"/>
      <c r="AA14" s="2458"/>
      <c r="AB14" s="2443"/>
      <c r="AC14" s="2443"/>
      <c r="AD14" s="2443"/>
      <c r="AE14" s="2443"/>
      <c r="AF14" s="2443"/>
      <c r="AG14" s="2443"/>
      <c r="AH14" s="2443"/>
      <c r="AI14" s="2443"/>
      <c r="AJ14" s="2443"/>
      <c r="AK14" s="2443"/>
      <c r="AL14" s="2443"/>
      <c r="AM14" s="2443" t="s">
        <v>184</v>
      </c>
      <c r="AN14" s="2443"/>
      <c r="AO14" s="2443"/>
      <c r="AP14" s="2464" t="s">
        <v>197</v>
      </c>
      <c r="AQ14" s="2464"/>
      <c r="AR14" s="2464"/>
      <c r="AS14" s="2464"/>
      <c r="AT14" s="2464"/>
      <c r="AU14" s="2464"/>
      <c r="AV14" s="2464"/>
      <c r="AW14" s="2464"/>
      <c r="AX14" s="2464"/>
      <c r="AY14" s="2464"/>
      <c r="AZ14" s="2467"/>
      <c r="BB14" s="27"/>
      <c r="BC14" s="27">
        <v>11</v>
      </c>
    </row>
    <row r="15" spans="1:55" ht="28.5" customHeight="1">
      <c r="A15" s="2458"/>
      <c r="B15" s="2443"/>
      <c r="C15" s="2443"/>
      <c r="D15" s="2443"/>
      <c r="E15" s="2443"/>
      <c r="F15" s="2443"/>
      <c r="G15" s="2443"/>
      <c r="H15" s="2443"/>
      <c r="I15" s="2443"/>
      <c r="J15" s="2443"/>
      <c r="K15" s="2443"/>
      <c r="L15" s="2443"/>
      <c r="M15" s="1142" t="s">
        <v>2727</v>
      </c>
      <c r="N15" s="1142"/>
      <c r="O15" s="1142"/>
      <c r="P15" s="2369" t="str">
        <f>'01 使用承認申請書'!$E$8&amp;'01 使用承認申請書'!$R$8</f>
        <v/>
      </c>
      <c r="Q15" s="2369"/>
      <c r="R15" s="2369"/>
      <c r="S15" s="2369"/>
      <c r="T15" s="2369"/>
      <c r="U15" s="2369"/>
      <c r="V15" s="2369"/>
      <c r="W15" s="2369"/>
      <c r="X15" s="2369"/>
      <c r="Y15" s="2369"/>
      <c r="Z15" s="2374"/>
      <c r="AA15" s="2458"/>
      <c r="AB15" s="2443"/>
      <c r="AC15" s="2443"/>
      <c r="AD15" s="2443"/>
      <c r="AE15" s="2443"/>
      <c r="AF15" s="2443"/>
      <c r="AG15" s="2443"/>
      <c r="AH15" s="2443"/>
      <c r="AI15" s="2443"/>
      <c r="AJ15" s="2443"/>
      <c r="AK15" s="2443"/>
      <c r="AL15" s="2443"/>
      <c r="AM15" s="2443" t="s">
        <v>2729</v>
      </c>
      <c r="AN15" s="2443"/>
      <c r="AO15" s="2443"/>
      <c r="AP15" s="2459" t="s">
        <v>2731</v>
      </c>
      <c r="AQ15" s="2459"/>
      <c r="AR15" s="2459"/>
      <c r="AS15" s="2459"/>
      <c r="AT15" s="2459"/>
      <c r="AU15" s="2459"/>
      <c r="AV15" s="2459"/>
      <c r="AW15" s="2459"/>
      <c r="AX15" s="2459"/>
      <c r="AY15" s="2459"/>
      <c r="AZ15" s="2460"/>
      <c r="BB15" s="27"/>
      <c r="BC15" s="27">
        <v>12</v>
      </c>
    </row>
    <row r="16" spans="1:55" ht="28.5" customHeight="1">
      <c r="A16" s="2458"/>
      <c r="B16" s="2443"/>
      <c r="C16" s="2443"/>
      <c r="D16" s="2443"/>
      <c r="E16" s="2443"/>
      <c r="F16" s="2443"/>
      <c r="G16" s="2443"/>
      <c r="H16" s="2443"/>
      <c r="I16" s="2443"/>
      <c r="J16" s="2443"/>
      <c r="K16" s="2443"/>
      <c r="L16" s="2443"/>
      <c r="M16" s="2443" t="s">
        <v>2728</v>
      </c>
      <c r="N16" s="2443"/>
      <c r="O16" s="2443"/>
      <c r="P16" s="2459" t="str">
        <f>CONCATENATE('01 使用承認申請書'!$D$9)</f>
        <v/>
      </c>
      <c r="Q16" s="2459"/>
      <c r="R16" s="2459"/>
      <c r="S16" s="2459"/>
      <c r="T16" s="2459"/>
      <c r="U16" s="2459"/>
      <c r="V16" s="2459"/>
      <c r="W16" s="2459"/>
      <c r="X16" s="2459"/>
      <c r="Y16" s="2459"/>
      <c r="Z16" s="2460"/>
      <c r="AA16" s="2458"/>
      <c r="AB16" s="2443"/>
      <c r="AC16" s="2443"/>
      <c r="AD16" s="2443"/>
      <c r="AE16" s="2443"/>
      <c r="AF16" s="2443"/>
      <c r="AG16" s="2443"/>
      <c r="AH16" s="2443"/>
      <c r="AI16" s="2443"/>
      <c r="AJ16" s="2443"/>
      <c r="AK16" s="2443"/>
      <c r="AL16" s="2443"/>
      <c r="AM16" s="2443" t="s">
        <v>2730</v>
      </c>
      <c r="AN16" s="2443"/>
      <c r="AO16" s="2443"/>
      <c r="AP16" s="2459" t="str">
        <f>CONCATENATE('01 使用承認申請書'!AD10)</f>
        <v>011-591-0394</v>
      </c>
      <c r="AQ16" s="2459"/>
      <c r="AR16" s="2459"/>
      <c r="AS16" s="2459"/>
      <c r="AT16" s="2459"/>
      <c r="AU16" s="2459"/>
      <c r="AV16" s="2459"/>
      <c r="AW16" s="2459"/>
      <c r="AX16" s="2459"/>
      <c r="AY16" s="2459"/>
      <c r="AZ16" s="2460"/>
      <c r="BB16" s="27"/>
      <c r="BC16" s="27">
        <v>13</v>
      </c>
    </row>
    <row r="17" spans="1:55" ht="60" customHeight="1">
      <c r="A17" s="2442" t="s">
        <v>1731</v>
      </c>
      <c r="B17" s="2456"/>
      <c r="C17" s="2456"/>
      <c r="D17" s="2456"/>
      <c r="E17" s="2456"/>
      <c r="F17" s="2456"/>
      <c r="G17" s="2456"/>
      <c r="H17" s="2456"/>
      <c r="I17" s="2456"/>
      <c r="J17" s="2456"/>
      <c r="K17" s="2456"/>
      <c r="L17" s="2456"/>
      <c r="M17" s="2456"/>
      <c r="N17" s="2456"/>
      <c r="O17" s="2456"/>
      <c r="P17" s="2456"/>
      <c r="Q17" s="2456"/>
      <c r="R17" s="2456"/>
      <c r="S17" s="2456"/>
      <c r="T17" s="2456"/>
      <c r="U17" s="2456"/>
      <c r="V17" s="2456"/>
      <c r="W17" s="2456"/>
      <c r="X17" s="2456"/>
      <c r="Y17" s="2456"/>
      <c r="Z17" s="2457"/>
      <c r="AA17" s="2442" t="s">
        <v>1731</v>
      </c>
      <c r="AB17" s="2456"/>
      <c r="AC17" s="2456"/>
      <c r="AD17" s="2456"/>
      <c r="AE17" s="2456"/>
      <c r="AF17" s="2456"/>
      <c r="AG17" s="2456"/>
      <c r="AH17" s="2456"/>
      <c r="AI17" s="2456"/>
      <c r="AJ17" s="2456"/>
      <c r="AK17" s="2456"/>
      <c r="AL17" s="2456"/>
      <c r="AM17" s="2456"/>
      <c r="AN17" s="2456"/>
      <c r="AO17" s="2456"/>
      <c r="AP17" s="2456"/>
      <c r="AQ17" s="2456"/>
      <c r="AR17" s="2456"/>
      <c r="AS17" s="2456"/>
      <c r="AT17" s="2456"/>
      <c r="AU17" s="2456"/>
      <c r="AV17" s="2456"/>
      <c r="AW17" s="2456"/>
      <c r="AX17" s="2456"/>
      <c r="AY17" s="2456"/>
      <c r="AZ17" s="2457"/>
      <c r="BB17" s="27"/>
      <c r="BC17" s="27">
        <v>14</v>
      </c>
    </row>
    <row r="18" spans="1:55" ht="14.25" customHeight="1">
      <c r="A18" s="2439"/>
      <c r="B18" s="2440"/>
      <c r="C18" s="2440"/>
      <c r="D18" s="2440"/>
      <c r="E18" s="2440"/>
      <c r="F18" s="2440"/>
      <c r="G18" s="2440"/>
      <c r="H18" s="2440"/>
      <c r="I18" s="2440"/>
      <c r="J18" s="2440"/>
      <c r="K18" s="2440"/>
      <c r="L18" s="2440"/>
      <c r="M18" s="2440"/>
      <c r="N18" s="2440"/>
      <c r="O18" s="2440"/>
      <c r="P18" s="2440"/>
      <c r="Q18" s="2440"/>
      <c r="R18" s="2440"/>
      <c r="S18" s="2440"/>
      <c r="T18" s="2440"/>
      <c r="U18" s="2440"/>
      <c r="V18" s="2440"/>
      <c r="W18" s="2440"/>
      <c r="X18" s="2440"/>
      <c r="Y18" s="2440"/>
      <c r="Z18" s="2441"/>
      <c r="AA18" s="2439"/>
      <c r="AB18" s="2440"/>
      <c r="AC18" s="2440"/>
      <c r="AD18" s="2440"/>
      <c r="AE18" s="2440"/>
      <c r="AF18" s="2440"/>
      <c r="AG18" s="2440"/>
      <c r="AH18" s="2440"/>
      <c r="AI18" s="2440"/>
      <c r="AJ18" s="2440"/>
      <c r="AK18" s="2440"/>
      <c r="AL18" s="2440"/>
      <c r="AM18" s="2440"/>
      <c r="AN18" s="2440"/>
      <c r="AO18" s="2440"/>
      <c r="AP18" s="2440"/>
      <c r="AQ18" s="2440"/>
      <c r="AR18" s="2440"/>
      <c r="AS18" s="2440"/>
      <c r="AT18" s="2440"/>
      <c r="AU18" s="2440"/>
      <c r="AV18" s="2440"/>
      <c r="AW18" s="2440"/>
      <c r="AX18" s="2440"/>
      <c r="AY18" s="2440"/>
      <c r="AZ18" s="2441"/>
      <c r="BB18" s="27"/>
      <c r="BC18" s="27">
        <v>15</v>
      </c>
    </row>
    <row r="19" spans="1:55" ht="14.25" customHeight="1">
      <c r="A19" s="2439"/>
      <c r="B19" s="2440"/>
      <c r="C19" s="2440"/>
      <c r="D19" s="2440"/>
      <c r="E19" s="2440"/>
      <c r="F19" s="2440"/>
      <c r="G19" s="2440"/>
      <c r="H19" s="2440"/>
      <c r="I19" s="2440"/>
      <c r="J19" s="2440"/>
      <c r="K19" s="2440"/>
      <c r="L19" s="2440"/>
      <c r="M19" s="2440"/>
      <c r="N19" s="2440"/>
      <c r="O19" s="2440"/>
      <c r="P19" s="2440"/>
      <c r="Q19" s="2440"/>
      <c r="R19" s="2440"/>
      <c r="S19" s="2440"/>
      <c r="T19" s="2440"/>
      <c r="U19" s="2440"/>
      <c r="V19" s="2440"/>
      <c r="W19" s="2440"/>
      <c r="X19" s="2440"/>
      <c r="Y19" s="2440"/>
      <c r="Z19" s="2441"/>
      <c r="AA19" s="2439"/>
      <c r="AB19" s="2440"/>
      <c r="AC19" s="2440"/>
      <c r="AD19" s="2440"/>
      <c r="AE19" s="2440"/>
      <c r="AF19" s="2440"/>
      <c r="AG19" s="2440"/>
      <c r="AH19" s="2440"/>
      <c r="AI19" s="2440"/>
      <c r="AJ19" s="2440"/>
      <c r="AK19" s="2440"/>
      <c r="AL19" s="2440"/>
      <c r="AM19" s="2440"/>
      <c r="AN19" s="2440"/>
      <c r="AO19" s="2440"/>
      <c r="AP19" s="2440"/>
      <c r="AQ19" s="2440"/>
      <c r="AR19" s="2440"/>
      <c r="AS19" s="2440"/>
      <c r="AT19" s="2440"/>
      <c r="AU19" s="2440"/>
      <c r="AV19" s="2440"/>
      <c r="AW19" s="2440"/>
      <c r="AX19" s="2440"/>
      <c r="AY19" s="2440"/>
      <c r="AZ19" s="2441"/>
      <c r="BB19" s="27"/>
      <c r="BC19" s="27">
        <v>16</v>
      </c>
    </row>
    <row r="20" spans="1:55" ht="14.25" customHeight="1">
      <c r="A20" s="2445"/>
      <c r="B20" s="2446"/>
      <c r="C20" s="2446"/>
      <c r="D20" s="2446"/>
      <c r="E20" s="2446"/>
      <c r="F20" s="2446"/>
      <c r="G20" s="2446"/>
      <c r="H20" s="2446"/>
      <c r="I20" s="2446"/>
      <c r="J20" s="2446"/>
      <c r="K20" s="2446"/>
      <c r="L20" s="2446"/>
      <c r="M20" s="2446"/>
      <c r="N20" s="2446"/>
      <c r="O20" s="2446"/>
      <c r="P20" s="2446"/>
      <c r="Q20" s="2446"/>
      <c r="R20" s="2446"/>
      <c r="S20" s="2446"/>
      <c r="T20" s="2446"/>
      <c r="U20" s="2446"/>
      <c r="V20" s="2446"/>
      <c r="W20" s="2446"/>
      <c r="X20" s="2446"/>
      <c r="Y20" s="2446"/>
      <c r="Z20" s="2447"/>
      <c r="AA20" s="2445"/>
      <c r="AB20" s="2446"/>
      <c r="AC20" s="2446"/>
      <c r="AD20" s="2446"/>
      <c r="AE20" s="2446"/>
      <c r="AF20" s="2446"/>
      <c r="AG20" s="2446"/>
      <c r="AH20" s="2446"/>
      <c r="AI20" s="2446"/>
      <c r="AJ20" s="2446"/>
      <c r="AK20" s="2446"/>
      <c r="AL20" s="2446"/>
      <c r="AM20" s="2446"/>
      <c r="AN20" s="2446"/>
      <c r="AO20" s="2446"/>
      <c r="AP20" s="2446"/>
      <c r="AQ20" s="2446"/>
      <c r="AR20" s="2446"/>
      <c r="AS20" s="2446"/>
      <c r="AT20" s="2446"/>
      <c r="AU20" s="2446"/>
      <c r="AV20" s="2446"/>
      <c r="AW20" s="2446"/>
      <c r="AX20" s="2446"/>
      <c r="AY20" s="2446"/>
      <c r="AZ20" s="2447"/>
      <c r="BB20" s="27"/>
      <c r="BC20" s="27">
        <v>17</v>
      </c>
    </row>
    <row r="21" spans="1:55" ht="14.25" customHeight="1">
      <c r="A21" s="2445"/>
      <c r="B21" s="2446"/>
      <c r="C21" s="2446"/>
      <c r="D21" s="2446"/>
      <c r="E21" s="2446"/>
      <c r="F21" s="2446"/>
      <c r="G21" s="2446"/>
      <c r="H21" s="2446"/>
      <c r="I21" s="2446"/>
      <c r="J21" s="2446"/>
      <c r="K21" s="2446"/>
      <c r="L21" s="2446"/>
      <c r="M21" s="2446"/>
      <c r="N21" s="2446"/>
      <c r="O21" s="2446"/>
      <c r="P21" s="2446"/>
      <c r="Q21" s="2446"/>
      <c r="R21" s="2446"/>
      <c r="S21" s="2446"/>
      <c r="T21" s="2446"/>
      <c r="U21" s="2446"/>
      <c r="V21" s="2446"/>
      <c r="W21" s="2446"/>
      <c r="X21" s="2446"/>
      <c r="Y21" s="2446"/>
      <c r="Z21" s="2447"/>
      <c r="AA21" s="2445"/>
      <c r="AB21" s="2446"/>
      <c r="AC21" s="2446"/>
      <c r="AD21" s="2446"/>
      <c r="AE21" s="2446"/>
      <c r="AF21" s="2446"/>
      <c r="AG21" s="2446"/>
      <c r="AH21" s="2446"/>
      <c r="AI21" s="2446"/>
      <c r="AJ21" s="2446"/>
      <c r="AK21" s="2446"/>
      <c r="AL21" s="2446"/>
      <c r="AM21" s="2446"/>
      <c r="AN21" s="2446"/>
      <c r="AO21" s="2446"/>
      <c r="AP21" s="2446"/>
      <c r="AQ21" s="2446"/>
      <c r="AR21" s="2446"/>
      <c r="AS21" s="2446"/>
      <c r="AT21" s="2446"/>
      <c r="AU21" s="2446"/>
      <c r="AV21" s="2446"/>
      <c r="AW21" s="2446"/>
      <c r="AX21" s="2446"/>
      <c r="AY21" s="2446"/>
      <c r="AZ21" s="2447"/>
      <c r="BB21" s="27"/>
      <c r="BC21" s="27">
        <v>18</v>
      </c>
    </row>
    <row r="22" spans="1:55" ht="20.100000000000001" customHeight="1">
      <c r="A22" s="378"/>
      <c r="B22" s="2451" t="s">
        <v>1734</v>
      </c>
      <c r="C22" s="2452"/>
      <c r="D22" s="2452"/>
      <c r="E22" s="2452"/>
      <c r="F22" s="2452"/>
      <c r="G22" s="2453"/>
      <c r="H22" s="2454" t="s">
        <v>1733</v>
      </c>
      <c r="I22" s="2449"/>
      <c r="J22" s="2449"/>
      <c r="K22" s="2449"/>
      <c r="L22" s="2455" t="str">
        <f>'01 使用承認申請書'!B12</f>
        <v>令和</v>
      </c>
      <c r="M22" s="2455"/>
      <c r="N22" s="1021"/>
      <c r="O22" s="382" t="s">
        <v>14</v>
      </c>
      <c r="P22" s="2448" t="str">
        <f>CONCATENATE('01 使用承認申請書'!C14)</f>
        <v/>
      </c>
      <c r="Q22" s="2448"/>
      <c r="R22" s="382" t="s">
        <v>13</v>
      </c>
      <c r="S22" s="2448" t="str">
        <f>CONCATENATE('01 使用承認申請書'!F14)</f>
        <v/>
      </c>
      <c r="T22" s="2448"/>
      <c r="U22" s="382" t="s">
        <v>104</v>
      </c>
      <c r="V22" s="2449"/>
      <c r="W22" s="2449"/>
      <c r="X22" s="2449"/>
      <c r="Y22" s="2450"/>
      <c r="Z22" s="383"/>
      <c r="AA22" s="378"/>
      <c r="AB22" s="2451" t="s">
        <v>1734</v>
      </c>
      <c r="AC22" s="2452"/>
      <c r="AD22" s="2452"/>
      <c r="AE22" s="2452"/>
      <c r="AF22" s="2452"/>
      <c r="AG22" s="2453"/>
      <c r="AH22" s="2449" t="s">
        <v>1733</v>
      </c>
      <c r="AI22" s="2449"/>
      <c r="AJ22" s="2449"/>
      <c r="AK22" s="2449"/>
      <c r="AL22" s="2449"/>
      <c r="AM22" s="2448" t="str">
        <f>'01 使用承認申請書'!AB12</f>
        <v>令和８</v>
      </c>
      <c r="AN22" s="2448"/>
      <c r="AO22" s="382" t="s">
        <v>14</v>
      </c>
      <c r="AP22" s="2448" t="str">
        <f>CONCATENATE('01 使用承認申請書'!AC14)</f>
        <v>10</v>
      </c>
      <c r="AQ22" s="2448"/>
      <c r="AR22" s="382" t="s">
        <v>13</v>
      </c>
      <c r="AS22" s="2448" t="str">
        <f>CONCATENATE('01 使用承認申請書'!AF14)</f>
        <v>10</v>
      </c>
      <c r="AT22" s="2448"/>
      <c r="AU22" s="382" t="s">
        <v>104</v>
      </c>
      <c r="AV22" s="2449"/>
      <c r="AW22" s="2449"/>
      <c r="AX22" s="2449"/>
      <c r="AY22" s="2450"/>
      <c r="AZ22" s="383"/>
      <c r="BB22" s="27"/>
      <c r="BC22" s="27">
        <v>19</v>
      </c>
    </row>
    <row r="23" spans="1:55" ht="34.5" customHeight="1">
      <c r="A23" s="378"/>
      <c r="B23" s="369"/>
      <c r="C23" s="2418">
        <f>COUNTA(H24:Y29)</f>
        <v>0</v>
      </c>
      <c r="D23" s="2418"/>
      <c r="E23" s="2418"/>
      <c r="F23" s="153"/>
      <c r="G23" s="742">
        <f>C23</f>
        <v>0</v>
      </c>
      <c r="H23" s="2420" t="s">
        <v>2775</v>
      </c>
      <c r="I23" s="2421"/>
      <c r="J23" s="2421"/>
      <c r="K23" s="2421"/>
      <c r="L23" s="2421"/>
      <c r="M23" s="2421"/>
      <c r="N23" s="2421"/>
      <c r="O23" s="2421"/>
      <c r="P23" s="2421"/>
      <c r="Q23" s="2421"/>
      <c r="R23" s="2421"/>
      <c r="S23" s="2421"/>
      <c r="T23" s="2421"/>
      <c r="U23" s="2421"/>
      <c r="V23" s="2421"/>
      <c r="W23" s="2421"/>
      <c r="X23" s="2421"/>
      <c r="Y23" s="2422"/>
      <c r="Z23" s="383"/>
      <c r="AA23" s="378"/>
      <c r="AB23" s="369"/>
      <c r="AC23" s="2418">
        <f>COUNTA(AH24:AY29)</f>
        <v>6</v>
      </c>
      <c r="AD23" s="2418"/>
      <c r="AE23" s="2418"/>
      <c r="AF23" s="153"/>
      <c r="AG23" s="384"/>
      <c r="AH23" s="2420" t="s">
        <v>1732</v>
      </c>
      <c r="AI23" s="2421"/>
      <c r="AJ23" s="2421"/>
      <c r="AK23" s="2421"/>
      <c r="AL23" s="2421"/>
      <c r="AM23" s="2421"/>
      <c r="AN23" s="2421"/>
      <c r="AO23" s="2421"/>
      <c r="AP23" s="2421"/>
      <c r="AQ23" s="2421"/>
      <c r="AR23" s="2421"/>
      <c r="AS23" s="2421"/>
      <c r="AT23" s="2421"/>
      <c r="AU23" s="2421"/>
      <c r="AV23" s="2421"/>
      <c r="AW23" s="2421"/>
      <c r="AX23" s="2421"/>
      <c r="AY23" s="2422"/>
      <c r="AZ23" s="383"/>
      <c r="BB23" s="27"/>
      <c r="BC23" s="27">
        <v>20</v>
      </c>
    </row>
    <row r="24" spans="1:55" ht="28.5" customHeight="1" thickBot="1">
      <c r="A24" s="378"/>
      <c r="B24" s="369"/>
      <c r="C24" s="2419"/>
      <c r="D24" s="2419"/>
      <c r="E24" s="2419"/>
      <c r="F24" s="385" t="s">
        <v>246</v>
      </c>
      <c r="G24" s="386"/>
      <c r="H24" s="2415"/>
      <c r="I24" s="2416"/>
      <c r="J24" s="2416"/>
      <c r="K24" s="2416"/>
      <c r="L24" s="2416"/>
      <c r="M24" s="2417"/>
      <c r="N24" s="2415"/>
      <c r="O24" s="2416"/>
      <c r="P24" s="2416"/>
      <c r="Q24" s="2416"/>
      <c r="R24" s="2416"/>
      <c r="S24" s="2417"/>
      <c r="T24" s="2415"/>
      <c r="U24" s="2416"/>
      <c r="V24" s="2416"/>
      <c r="W24" s="2416"/>
      <c r="X24" s="2416"/>
      <c r="Y24" s="2417"/>
      <c r="Z24" s="383"/>
      <c r="AA24" s="378"/>
      <c r="AB24" s="369"/>
      <c r="AC24" s="2419"/>
      <c r="AD24" s="2419"/>
      <c r="AE24" s="2419"/>
      <c r="AF24" s="385" t="s">
        <v>246</v>
      </c>
      <c r="AG24" s="386"/>
      <c r="AH24" s="1824" t="s">
        <v>197</v>
      </c>
      <c r="AI24" s="1806"/>
      <c r="AJ24" s="1806"/>
      <c r="AK24" s="1806"/>
      <c r="AL24" s="1806"/>
      <c r="AM24" s="1807"/>
      <c r="AN24" s="1824" t="s">
        <v>197</v>
      </c>
      <c r="AO24" s="1806"/>
      <c r="AP24" s="1806"/>
      <c r="AQ24" s="1806"/>
      <c r="AR24" s="1806"/>
      <c r="AS24" s="1807"/>
      <c r="AT24" s="1824" t="s">
        <v>197</v>
      </c>
      <c r="AU24" s="1806"/>
      <c r="AV24" s="1806"/>
      <c r="AW24" s="1806"/>
      <c r="AX24" s="1806"/>
      <c r="AY24" s="1807"/>
      <c r="AZ24" s="383"/>
      <c r="BB24" s="27"/>
      <c r="BC24" s="27">
        <v>21</v>
      </c>
    </row>
    <row r="25" spans="1:55" ht="28.5" customHeight="1">
      <c r="A25" s="378"/>
      <c r="B25" s="2423" t="s">
        <v>1735</v>
      </c>
      <c r="C25" s="2424"/>
      <c r="D25" s="2424"/>
      <c r="E25" s="2424"/>
      <c r="F25" s="2424"/>
      <c r="G25" s="2424"/>
      <c r="H25" s="2415"/>
      <c r="I25" s="2416"/>
      <c r="J25" s="2416"/>
      <c r="K25" s="2416"/>
      <c r="L25" s="2416"/>
      <c r="M25" s="2417"/>
      <c r="N25" s="2415"/>
      <c r="O25" s="2416"/>
      <c r="P25" s="2416"/>
      <c r="Q25" s="2416"/>
      <c r="R25" s="2416"/>
      <c r="S25" s="2417"/>
      <c r="T25" s="2415"/>
      <c r="U25" s="2416"/>
      <c r="V25" s="2416"/>
      <c r="W25" s="2416"/>
      <c r="X25" s="2416"/>
      <c r="Y25" s="2417"/>
      <c r="Z25" s="383"/>
      <c r="AA25" s="378"/>
      <c r="AB25" s="2423" t="s">
        <v>1735</v>
      </c>
      <c r="AC25" s="2424"/>
      <c r="AD25" s="2424"/>
      <c r="AE25" s="2424"/>
      <c r="AF25" s="2424"/>
      <c r="AG25" s="2424"/>
      <c r="AH25" s="1824" t="s">
        <v>2670</v>
      </c>
      <c r="AI25" s="1806"/>
      <c r="AJ25" s="1806"/>
      <c r="AK25" s="1806"/>
      <c r="AL25" s="1806"/>
      <c r="AM25" s="1807"/>
      <c r="AN25" s="1824" t="s">
        <v>2670</v>
      </c>
      <c r="AO25" s="1806"/>
      <c r="AP25" s="1806"/>
      <c r="AQ25" s="1806"/>
      <c r="AR25" s="1806"/>
      <c r="AS25" s="1807"/>
      <c r="AT25" s="1824" t="s">
        <v>2670</v>
      </c>
      <c r="AU25" s="1806"/>
      <c r="AV25" s="1806"/>
      <c r="AW25" s="1806"/>
      <c r="AX25" s="1806"/>
      <c r="AY25" s="1807"/>
      <c r="AZ25" s="383"/>
      <c r="BB25" s="27"/>
      <c r="BC25" s="27">
        <v>22</v>
      </c>
    </row>
    <row r="26" spans="1:55" ht="28.5" customHeight="1">
      <c r="A26" s="378"/>
      <c r="B26" s="369"/>
      <c r="C26" s="2430"/>
      <c r="D26" s="2430"/>
      <c r="E26" s="2430"/>
      <c r="F26" s="153"/>
      <c r="G26" s="153"/>
      <c r="H26" s="2415"/>
      <c r="I26" s="2416"/>
      <c r="J26" s="2416"/>
      <c r="K26" s="2416"/>
      <c r="L26" s="2416"/>
      <c r="M26" s="2417"/>
      <c r="N26" s="2415"/>
      <c r="O26" s="2416"/>
      <c r="P26" s="2416"/>
      <c r="Q26" s="2416"/>
      <c r="R26" s="2416"/>
      <c r="S26" s="2417"/>
      <c r="T26" s="2415"/>
      <c r="U26" s="2416"/>
      <c r="V26" s="2416"/>
      <c r="W26" s="2416"/>
      <c r="X26" s="2416"/>
      <c r="Y26" s="2417"/>
      <c r="Z26" s="383"/>
      <c r="AA26" s="378"/>
      <c r="AB26" s="369"/>
      <c r="AC26" s="2413">
        <v>5</v>
      </c>
      <c r="AD26" s="2413"/>
      <c r="AE26" s="2413"/>
      <c r="AF26" s="153"/>
      <c r="AG26" s="153"/>
      <c r="AH26" s="2412"/>
      <c r="AI26" s="2412"/>
      <c r="AJ26" s="2412"/>
      <c r="AK26" s="2412"/>
      <c r="AL26" s="2412"/>
      <c r="AM26" s="2412"/>
      <c r="AN26" s="2412"/>
      <c r="AO26" s="2412"/>
      <c r="AP26" s="2412"/>
      <c r="AQ26" s="2412"/>
      <c r="AR26" s="2412"/>
      <c r="AS26" s="2412"/>
      <c r="AT26" s="2415"/>
      <c r="AU26" s="2416"/>
      <c r="AV26" s="2416"/>
      <c r="AW26" s="2416"/>
      <c r="AX26" s="2416"/>
      <c r="AY26" s="2417"/>
      <c r="AZ26" s="383"/>
      <c r="BB26" s="27"/>
      <c r="BC26" s="27">
        <v>23</v>
      </c>
    </row>
    <row r="27" spans="1:55" ht="28.5" customHeight="1" thickBot="1">
      <c r="A27" s="378"/>
      <c r="B27" s="387"/>
      <c r="C27" s="2431"/>
      <c r="D27" s="2431"/>
      <c r="E27" s="2431"/>
      <c r="F27" s="385" t="s">
        <v>1736</v>
      </c>
      <c r="G27" s="153"/>
      <c r="H27" s="2415"/>
      <c r="I27" s="2416"/>
      <c r="J27" s="2416"/>
      <c r="K27" s="2416"/>
      <c r="L27" s="2416"/>
      <c r="M27" s="2417"/>
      <c r="N27" s="2415"/>
      <c r="O27" s="2416"/>
      <c r="P27" s="2416"/>
      <c r="Q27" s="2416"/>
      <c r="R27" s="2416"/>
      <c r="S27" s="2417"/>
      <c r="T27" s="2415"/>
      <c r="U27" s="2416"/>
      <c r="V27" s="2416"/>
      <c r="W27" s="2416"/>
      <c r="X27" s="2416"/>
      <c r="Y27" s="2417"/>
      <c r="Z27" s="383"/>
      <c r="AA27" s="378"/>
      <c r="AB27" s="387"/>
      <c r="AC27" s="2414"/>
      <c r="AD27" s="2414"/>
      <c r="AE27" s="2414"/>
      <c r="AF27" s="385" t="s">
        <v>1736</v>
      </c>
      <c r="AG27" s="153"/>
      <c r="AH27" s="2412"/>
      <c r="AI27" s="2412"/>
      <c r="AJ27" s="2412"/>
      <c r="AK27" s="2412"/>
      <c r="AL27" s="2412"/>
      <c r="AM27" s="2412"/>
      <c r="AN27" s="2412"/>
      <c r="AO27" s="2412"/>
      <c r="AP27" s="2412"/>
      <c r="AQ27" s="2412"/>
      <c r="AR27" s="2412"/>
      <c r="AS27" s="2412"/>
      <c r="AT27" s="2415"/>
      <c r="AU27" s="2416"/>
      <c r="AV27" s="2416"/>
      <c r="AW27" s="2416"/>
      <c r="AX27" s="2416"/>
      <c r="AY27" s="2417"/>
      <c r="AZ27" s="383"/>
      <c r="BB27" s="27"/>
      <c r="BC27" s="27">
        <v>24</v>
      </c>
    </row>
    <row r="28" spans="1:55" ht="28.5" customHeight="1">
      <c r="A28" s="378"/>
      <c r="B28" s="2423" t="s">
        <v>1739</v>
      </c>
      <c r="C28" s="2424"/>
      <c r="D28" s="2424"/>
      <c r="E28" s="2424"/>
      <c r="F28" s="2424"/>
      <c r="G28" s="2424"/>
      <c r="H28" s="2415"/>
      <c r="I28" s="2416"/>
      <c r="J28" s="2416"/>
      <c r="K28" s="2416"/>
      <c r="L28" s="2416"/>
      <c r="M28" s="2417"/>
      <c r="N28" s="2415"/>
      <c r="O28" s="2416"/>
      <c r="P28" s="2416"/>
      <c r="Q28" s="2416"/>
      <c r="R28" s="2416"/>
      <c r="S28" s="2417"/>
      <c r="T28" s="2415"/>
      <c r="U28" s="2416"/>
      <c r="V28" s="2416"/>
      <c r="W28" s="2416"/>
      <c r="X28" s="2416"/>
      <c r="Y28" s="2417"/>
      <c r="Z28" s="383"/>
      <c r="AA28" s="378"/>
      <c r="AB28" s="2423" t="s">
        <v>1739</v>
      </c>
      <c r="AC28" s="2424"/>
      <c r="AD28" s="2424"/>
      <c r="AE28" s="2424"/>
      <c r="AF28" s="2424"/>
      <c r="AG28" s="2424"/>
      <c r="AH28" s="2412"/>
      <c r="AI28" s="2412"/>
      <c r="AJ28" s="2412"/>
      <c r="AK28" s="2412"/>
      <c r="AL28" s="2412"/>
      <c r="AM28" s="2412"/>
      <c r="AN28" s="2412"/>
      <c r="AO28" s="2412"/>
      <c r="AP28" s="2412"/>
      <c r="AQ28" s="2412"/>
      <c r="AR28" s="2412"/>
      <c r="AS28" s="2412"/>
      <c r="AT28" s="2412"/>
      <c r="AU28" s="2412"/>
      <c r="AV28" s="2412"/>
      <c r="AW28" s="2412"/>
      <c r="AX28" s="2412"/>
      <c r="AY28" s="2412"/>
      <c r="AZ28" s="383"/>
      <c r="BB28" s="27"/>
      <c r="BC28" s="27">
        <v>25</v>
      </c>
    </row>
    <row r="29" spans="1:55" ht="28.5" customHeight="1">
      <c r="A29" s="378"/>
      <c r="B29" s="2433" t="str">
        <f>IF((C26-4)&lt;=0,"無料",(C26-4)*500)</f>
        <v>無料</v>
      </c>
      <c r="C29" s="2434"/>
      <c r="D29" s="2434"/>
      <c r="E29" s="2434"/>
      <c r="F29" s="388" t="s">
        <v>1740</v>
      </c>
      <c r="G29" s="389"/>
      <c r="H29" s="2415"/>
      <c r="I29" s="2416"/>
      <c r="J29" s="2416"/>
      <c r="K29" s="2416"/>
      <c r="L29" s="2416"/>
      <c r="M29" s="2417"/>
      <c r="N29" s="2415"/>
      <c r="O29" s="2416"/>
      <c r="P29" s="2416"/>
      <c r="Q29" s="2416"/>
      <c r="R29" s="2416"/>
      <c r="S29" s="2417"/>
      <c r="T29" s="2415"/>
      <c r="U29" s="2416"/>
      <c r="V29" s="2416"/>
      <c r="W29" s="2416"/>
      <c r="X29" s="2416"/>
      <c r="Y29" s="2417"/>
      <c r="Z29" s="383"/>
      <c r="AA29" s="378"/>
      <c r="AB29" s="2425">
        <v>500</v>
      </c>
      <c r="AC29" s="2426"/>
      <c r="AD29" s="2426"/>
      <c r="AE29" s="2426"/>
      <c r="AF29" s="388" t="s">
        <v>1740</v>
      </c>
      <c r="AG29" s="389"/>
      <c r="AH29" s="2412"/>
      <c r="AI29" s="2412"/>
      <c r="AJ29" s="2412"/>
      <c r="AK29" s="2412"/>
      <c r="AL29" s="2412"/>
      <c r="AM29" s="2412"/>
      <c r="AN29" s="2412"/>
      <c r="AO29" s="2412"/>
      <c r="AP29" s="2412"/>
      <c r="AQ29" s="2412"/>
      <c r="AR29" s="2412"/>
      <c r="AS29" s="2412"/>
      <c r="AT29" s="2412"/>
      <c r="AU29" s="2412"/>
      <c r="AV29" s="2412"/>
      <c r="AW29" s="2412"/>
      <c r="AX29" s="2412"/>
      <c r="AY29" s="2412"/>
      <c r="AZ29" s="383"/>
      <c r="BB29" s="27"/>
      <c r="BC29" s="27">
        <v>26</v>
      </c>
    </row>
    <row r="30" spans="1:55" ht="28.5" customHeight="1">
      <c r="A30" s="390" t="s">
        <v>1737</v>
      </c>
      <c r="B30" s="391"/>
      <c r="C30" s="392"/>
      <c r="D30" s="392"/>
      <c r="E30" s="392"/>
      <c r="F30" s="392"/>
      <c r="G30" s="392"/>
      <c r="H30" s="2432"/>
      <c r="I30" s="2432"/>
      <c r="J30" s="2432"/>
      <c r="K30" s="2432"/>
      <c r="L30" s="2432"/>
      <c r="M30" s="2432"/>
      <c r="N30" s="2432"/>
      <c r="O30" s="2432"/>
      <c r="P30" s="2432"/>
      <c r="Q30" s="2432"/>
      <c r="R30" s="2432"/>
      <c r="S30" s="2432"/>
      <c r="T30" s="2432"/>
      <c r="U30" s="2432"/>
      <c r="V30" s="2432"/>
      <c r="W30" s="2432"/>
      <c r="X30" s="2432"/>
      <c r="Y30" s="2432"/>
      <c r="Z30" s="393"/>
      <c r="AA30" s="2439"/>
      <c r="AB30" s="2440"/>
      <c r="AC30" s="2440"/>
      <c r="AD30" s="2440"/>
      <c r="AE30" s="2440"/>
      <c r="AF30" s="2440"/>
      <c r="AG30" s="2440"/>
      <c r="AH30" s="2440"/>
      <c r="AI30" s="2440"/>
      <c r="AJ30" s="2440"/>
      <c r="AK30" s="2440"/>
      <c r="AL30" s="2440"/>
      <c r="AM30" s="2440"/>
      <c r="AN30" s="2440"/>
      <c r="AO30" s="2440"/>
      <c r="AP30" s="2440"/>
      <c r="AQ30" s="2440"/>
      <c r="AR30" s="2440"/>
      <c r="AS30" s="2440"/>
      <c r="AT30" s="2440"/>
      <c r="AU30" s="2440"/>
      <c r="AV30" s="2440"/>
      <c r="AW30" s="2440"/>
      <c r="AX30" s="2440"/>
      <c r="AY30" s="2440"/>
      <c r="AZ30" s="2441"/>
      <c r="BB30" s="27"/>
      <c r="BC30" s="27">
        <v>27</v>
      </c>
    </row>
    <row r="31" spans="1:55" ht="47.25" customHeight="1">
      <c r="A31" s="2442" t="s">
        <v>1738</v>
      </c>
      <c r="B31" s="2443"/>
      <c r="C31" s="2443"/>
      <c r="D31" s="2443"/>
      <c r="E31" s="2443"/>
      <c r="F31" s="2443"/>
      <c r="G31" s="2443"/>
      <c r="H31" s="2443"/>
      <c r="I31" s="2443"/>
      <c r="J31" s="2443"/>
      <c r="K31" s="2443"/>
      <c r="L31" s="2443"/>
      <c r="M31" s="2443"/>
      <c r="N31" s="2443"/>
      <c r="O31" s="2443"/>
      <c r="P31" s="2443"/>
      <c r="Q31" s="2443"/>
      <c r="R31" s="2443"/>
      <c r="S31" s="2443"/>
      <c r="T31" s="2443"/>
      <c r="U31" s="2443"/>
      <c r="V31" s="2443"/>
      <c r="W31" s="2443"/>
      <c r="X31" s="2443"/>
      <c r="Y31" s="2443"/>
      <c r="Z31" s="2444"/>
      <c r="AA31" s="2442" t="s">
        <v>2695</v>
      </c>
      <c r="AB31" s="2443"/>
      <c r="AC31" s="2443"/>
      <c r="AD31" s="2443"/>
      <c r="AE31" s="2443"/>
      <c r="AF31" s="2443"/>
      <c r="AG31" s="2443"/>
      <c r="AH31" s="2443"/>
      <c r="AI31" s="2443"/>
      <c r="AJ31" s="2443"/>
      <c r="AK31" s="2443"/>
      <c r="AL31" s="2443"/>
      <c r="AM31" s="2443"/>
      <c r="AN31" s="2443"/>
      <c r="AO31" s="2443"/>
      <c r="AP31" s="2443"/>
      <c r="AQ31" s="2443"/>
      <c r="AR31" s="2443"/>
      <c r="AS31" s="2443"/>
      <c r="AT31" s="2443"/>
      <c r="AU31" s="2443"/>
      <c r="AV31" s="2443"/>
      <c r="AW31" s="2443"/>
      <c r="AX31" s="2443"/>
      <c r="AY31" s="2443"/>
      <c r="AZ31" s="2444"/>
      <c r="BB31" s="27"/>
      <c r="BC31" s="27">
        <v>28</v>
      </c>
    </row>
    <row r="32" spans="1:55" ht="16.5" customHeight="1">
      <c r="A32" s="394"/>
      <c r="B32" s="394"/>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B32" s="27"/>
      <c r="BC32" s="27">
        <v>29</v>
      </c>
    </row>
    <row r="33" spans="1:55" ht="33.75" customHeight="1">
      <c r="A33" s="2436" t="s">
        <v>198</v>
      </c>
      <c r="B33" s="2437"/>
      <c r="C33" s="2437"/>
      <c r="D33" s="2437"/>
      <c r="E33" s="2437"/>
      <c r="F33" s="2437"/>
      <c r="G33" s="2437"/>
      <c r="H33" s="2437"/>
      <c r="I33" s="2437"/>
      <c r="J33" s="2437"/>
      <c r="K33" s="2437"/>
      <c r="L33" s="2437"/>
      <c r="M33" s="2437"/>
      <c r="N33" s="2437"/>
      <c r="O33" s="2437"/>
      <c r="P33" s="2437"/>
      <c r="Q33" s="2437"/>
      <c r="R33" s="2437"/>
      <c r="S33" s="2437"/>
      <c r="T33" s="2437"/>
      <c r="U33" s="2437"/>
      <c r="V33" s="2437"/>
      <c r="W33" s="2437"/>
      <c r="X33" s="2437"/>
      <c r="Y33" s="2437"/>
      <c r="Z33" s="2438"/>
      <c r="AA33" s="2436" t="s">
        <v>198</v>
      </c>
      <c r="AB33" s="2437"/>
      <c r="AC33" s="2437"/>
      <c r="AD33" s="2437"/>
      <c r="AE33" s="2437"/>
      <c r="AF33" s="2437"/>
      <c r="AG33" s="2437"/>
      <c r="AH33" s="2437"/>
      <c r="AI33" s="2437"/>
      <c r="AJ33" s="2437"/>
      <c r="AK33" s="2437"/>
      <c r="AL33" s="2437"/>
      <c r="AM33" s="2437"/>
      <c r="AN33" s="2437"/>
      <c r="AO33" s="2437"/>
      <c r="AP33" s="2437"/>
      <c r="AQ33" s="2437"/>
      <c r="AR33" s="2437"/>
      <c r="AS33" s="2437"/>
      <c r="AT33" s="2437"/>
      <c r="AU33" s="2437"/>
      <c r="AV33" s="2437"/>
      <c r="AW33" s="2437"/>
      <c r="AX33" s="2437"/>
      <c r="AY33" s="2437"/>
      <c r="AZ33" s="2438"/>
      <c r="BB33" s="27"/>
      <c r="BC33" s="27">
        <v>30</v>
      </c>
    </row>
    <row r="34" spans="1:55" ht="14.25" customHeight="1">
      <c r="A34" s="395"/>
      <c r="B34" s="380"/>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1"/>
      <c r="AA34" s="395"/>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1"/>
      <c r="BB34" s="27"/>
      <c r="BC34" s="27">
        <v>31</v>
      </c>
    </row>
    <row r="35" spans="1:55" ht="14.25" customHeight="1">
      <c r="A35" s="395"/>
      <c r="B35" s="380"/>
      <c r="C35" s="153"/>
      <c r="D35" s="153"/>
      <c r="E35" s="153"/>
      <c r="F35" s="380"/>
      <c r="G35" s="380"/>
      <c r="H35" s="380"/>
      <c r="I35" s="2435" t="s">
        <v>334</v>
      </c>
      <c r="J35" s="2435"/>
      <c r="K35" s="2435"/>
      <c r="L35" s="2435" t="s">
        <v>195</v>
      </c>
      <c r="M35" s="2435"/>
      <c r="N35" s="2435"/>
      <c r="O35" s="2435" t="s">
        <v>7</v>
      </c>
      <c r="P35" s="2435"/>
      <c r="Q35" s="2435"/>
      <c r="R35" s="380"/>
      <c r="S35" s="380"/>
      <c r="T35" s="380"/>
      <c r="U35" s="380"/>
      <c r="V35" s="380"/>
      <c r="W35" s="380"/>
      <c r="X35" s="380"/>
      <c r="Y35" s="380"/>
      <c r="Z35" s="381"/>
      <c r="AA35" s="395"/>
      <c r="AB35" s="380"/>
      <c r="AC35" s="380"/>
      <c r="AD35" s="380"/>
      <c r="AE35" s="380"/>
      <c r="AF35" s="380"/>
      <c r="AG35" s="380"/>
      <c r="AH35" s="380"/>
      <c r="AI35" s="2435" t="s">
        <v>334</v>
      </c>
      <c r="AJ35" s="2435"/>
      <c r="AK35" s="2435"/>
      <c r="AL35" s="2435" t="s">
        <v>195</v>
      </c>
      <c r="AM35" s="2435"/>
      <c r="AN35" s="2435"/>
      <c r="AO35" s="2435" t="s">
        <v>7</v>
      </c>
      <c r="AP35" s="2435"/>
      <c r="AQ35" s="2435"/>
      <c r="AR35" s="380"/>
      <c r="AS35" s="380"/>
      <c r="AT35" s="380"/>
      <c r="AU35" s="380"/>
      <c r="AV35" s="380"/>
      <c r="AW35" s="380"/>
      <c r="AX35" s="380"/>
      <c r="AY35" s="380"/>
      <c r="AZ35" s="381"/>
    </row>
    <row r="36" spans="1:55" ht="14.25" customHeight="1">
      <c r="A36" s="395"/>
      <c r="B36" s="380"/>
      <c r="C36" s="153"/>
      <c r="D36" s="153"/>
      <c r="E36" s="153"/>
      <c r="F36" s="380"/>
      <c r="G36" s="380"/>
      <c r="H36" s="380"/>
      <c r="I36" s="2435"/>
      <c r="J36" s="2435"/>
      <c r="K36" s="2435"/>
      <c r="L36" s="2435"/>
      <c r="M36" s="2435"/>
      <c r="N36" s="2435"/>
      <c r="O36" s="2435"/>
      <c r="P36" s="2435"/>
      <c r="Q36" s="2435"/>
      <c r="R36" s="380"/>
      <c r="S36" s="380"/>
      <c r="T36" s="380"/>
      <c r="U36" s="380"/>
      <c r="V36" s="380"/>
      <c r="W36" s="380"/>
      <c r="X36" s="380"/>
      <c r="Y36" s="380"/>
      <c r="Z36" s="381"/>
      <c r="AA36" s="395"/>
      <c r="AB36" s="380"/>
      <c r="AC36" s="380"/>
      <c r="AD36" s="380"/>
      <c r="AE36" s="380"/>
      <c r="AF36" s="380"/>
      <c r="AG36" s="380"/>
      <c r="AH36" s="380"/>
      <c r="AI36" s="2435"/>
      <c r="AJ36" s="2435"/>
      <c r="AK36" s="2435"/>
      <c r="AL36" s="2435"/>
      <c r="AM36" s="2435"/>
      <c r="AN36" s="2435"/>
      <c r="AO36" s="2435"/>
      <c r="AP36" s="2435"/>
      <c r="AQ36" s="2435"/>
      <c r="AR36" s="380"/>
      <c r="AS36" s="380"/>
      <c r="AT36" s="380"/>
      <c r="AU36" s="380"/>
      <c r="AV36" s="380"/>
      <c r="AW36" s="380"/>
      <c r="AX36" s="380"/>
      <c r="AY36" s="380"/>
      <c r="AZ36" s="381"/>
    </row>
    <row r="37" spans="1:55" ht="14.25" customHeight="1">
      <c r="A37" s="395"/>
      <c r="B37" s="380"/>
      <c r="C37" s="380"/>
      <c r="D37" s="380"/>
      <c r="E37" s="380"/>
      <c r="F37" s="380"/>
      <c r="G37" s="380"/>
      <c r="H37" s="380"/>
      <c r="I37" s="2435"/>
      <c r="J37" s="2435"/>
      <c r="K37" s="2435"/>
      <c r="L37" s="2435"/>
      <c r="M37" s="2435"/>
      <c r="N37" s="2435"/>
      <c r="O37" s="2435"/>
      <c r="P37" s="2435"/>
      <c r="Q37" s="2435"/>
      <c r="R37" s="380"/>
      <c r="S37" s="380"/>
      <c r="T37" s="380"/>
      <c r="U37" s="380"/>
      <c r="V37" s="380"/>
      <c r="W37" s="380"/>
      <c r="X37" s="380"/>
      <c r="Y37" s="380"/>
      <c r="Z37" s="381"/>
      <c r="AA37" s="395"/>
      <c r="AB37" s="380"/>
      <c r="AC37" s="380"/>
      <c r="AD37" s="380"/>
      <c r="AE37" s="380"/>
      <c r="AF37" s="380"/>
      <c r="AG37" s="380"/>
      <c r="AH37" s="380"/>
      <c r="AI37" s="2435"/>
      <c r="AJ37" s="2435"/>
      <c r="AK37" s="2435"/>
      <c r="AL37" s="2435"/>
      <c r="AM37" s="2435"/>
      <c r="AN37" s="2435"/>
      <c r="AO37" s="2435"/>
      <c r="AP37" s="2435"/>
      <c r="AQ37" s="2435"/>
      <c r="AR37" s="380"/>
      <c r="AS37" s="380"/>
      <c r="AT37" s="380"/>
      <c r="AU37" s="380"/>
      <c r="AV37" s="380"/>
      <c r="AW37" s="380"/>
      <c r="AX37" s="380"/>
      <c r="AY37" s="380"/>
      <c r="AZ37" s="381"/>
    </row>
    <row r="38" spans="1:55" ht="14.25" customHeight="1">
      <c r="A38" s="395"/>
      <c r="B38" s="380"/>
      <c r="C38" s="380"/>
      <c r="D38" s="380"/>
      <c r="E38" s="380"/>
      <c r="F38" s="380"/>
      <c r="G38" s="380"/>
      <c r="H38" s="380"/>
      <c r="I38" s="2435"/>
      <c r="J38" s="2435"/>
      <c r="K38" s="2435"/>
      <c r="L38" s="2435"/>
      <c r="M38" s="2435"/>
      <c r="N38" s="2435"/>
      <c r="O38" s="2435"/>
      <c r="P38" s="2435"/>
      <c r="Q38" s="2435"/>
      <c r="R38" s="380"/>
      <c r="S38" s="380"/>
      <c r="T38" s="380"/>
      <c r="U38" s="380"/>
      <c r="V38" s="380"/>
      <c r="W38" s="380"/>
      <c r="X38" s="380"/>
      <c r="Y38" s="380"/>
      <c r="Z38" s="381"/>
      <c r="AA38" s="395"/>
      <c r="AB38" s="380"/>
      <c r="AC38" s="380"/>
      <c r="AD38" s="380"/>
      <c r="AE38" s="380"/>
      <c r="AF38" s="380"/>
      <c r="AG38" s="380"/>
      <c r="AH38" s="380"/>
      <c r="AI38" s="2435"/>
      <c r="AJ38" s="2435"/>
      <c r="AK38" s="2435"/>
      <c r="AL38" s="2435"/>
      <c r="AM38" s="2435"/>
      <c r="AN38" s="2435"/>
      <c r="AO38" s="2435"/>
      <c r="AP38" s="2435"/>
      <c r="AQ38" s="2435"/>
      <c r="AR38" s="380"/>
      <c r="AS38" s="380"/>
      <c r="AT38" s="380"/>
      <c r="AU38" s="380"/>
      <c r="AV38" s="380"/>
      <c r="AW38" s="380"/>
      <c r="AX38" s="380"/>
      <c r="AY38" s="380"/>
      <c r="AZ38" s="381"/>
    </row>
    <row r="39" spans="1:55" ht="14.25" customHeight="1">
      <c r="A39" s="395"/>
      <c r="B39" s="380"/>
      <c r="C39" s="380"/>
      <c r="D39" s="380"/>
      <c r="E39" s="380"/>
      <c r="F39" s="380"/>
      <c r="G39" s="380"/>
      <c r="H39" s="380"/>
      <c r="I39" s="2435"/>
      <c r="J39" s="2435"/>
      <c r="K39" s="2435"/>
      <c r="L39" s="2435"/>
      <c r="M39" s="2435"/>
      <c r="N39" s="2435"/>
      <c r="O39" s="2435"/>
      <c r="P39" s="2435"/>
      <c r="Q39" s="2435"/>
      <c r="R39" s="380"/>
      <c r="S39" s="380"/>
      <c r="T39" s="380"/>
      <c r="U39" s="380"/>
      <c r="V39" s="380"/>
      <c r="W39" s="380"/>
      <c r="X39" s="380"/>
      <c r="Y39" s="380"/>
      <c r="Z39" s="381"/>
      <c r="AA39" s="395"/>
      <c r="AB39" s="380"/>
      <c r="AC39" s="380"/>
      <c r="AD39" s="380"/>
      <c r="AE39" s="380"/>
      <c r="AF39" s="380"/>
      <c r="AG39" s="380"/>
      <c r="AH39" s="380"/>
      <c r="AI39" s="2435"/>
      <c r="AJ39" s="2435"/>
      <c r="AK39" s="2435"/>
      <c r="AL39" s="2435"/>
      <c r="AM39" s="2435"/>
      <c r="AN39" s="2435"/>
      <c r="AO39" s="2435"/>
      <c r="AP39" s="2435"/>
      <c r="AQ39" s="2435"/>
      <c r="AR39" s="380"/>
      <c r="AS39" s="380"/>
      <c r="AT39" s="380"/>
      <c r="AU39" s="380"/>
      <c r="AV39" s="380"/>
      <c r="AW39" s="380"/>
      <c r="AX39" s="380"/>
      <c r="AY39" s="380"/>
      <c r="AZ39" s="381"/>
    </row>
    <row r="40" spans="1:55" ht="14.25" customHeight="1">
      <c r="A40" s="395"/>
      <c r="B40" s="380"/>
      <c r="C40" s="380"/>
      <c r="D40" s="380"/>
      <c r="E40" s="380"/>
      <c r="F40" s="380"/>
      <c r="G40" s="380"/>
      <c r="H40" s="380"/>
      <c r="I40" s="2435"/>
      <c r="J40" s="2435"/>
      <c r="K40" s="2435"/>
      <c r="L40" s="2435"/>
      <c r="M40" s="2435"/>
      <c r="N40" s="2435"/>
      <c r="O40" s="2435"/>
      <c r="P40" s="2435"/>
      <c r="Q40" s="2435"/>
      <c r="R40" s="380"/>
      <c r="S40" s="380"/>
      <c r="T40" s="380"/>
      <c r="U40" s="380"/>
      <c r="V40" s="380"/>
      <c r="W40" s="380"/>
      <c r="X40" s="380"/>
      <c r="Y40" s="380"/>
      <c r="Z40" s="381"/>
      <c r="AA40" s="395"/>
      <c r="AB40" s="380"/>
      <c r="AC40" s="380"/>
      <c r="AD40" s="380"/>
      <c r="AE40" s="380"/>
      <c r="AF40" s="380"/>
      <c r="AG40" s="380"/>
      <c r="AH40" s="380"/>
      <c r="AI40" s="2435"/>
      <c r="AJ40" s="2435"/>
      <c r="AK40" s="2435"/>
      <c r="AL40" s="2435"/>
      <c r="AM40" s="2435"/>
      <c r="AN40" s="2435"/>
      <c r="AO40" s="2435"/>
      <c r="AP40" s="2435"/>
      <c r="AQ40" s="2435"/>
      <c r="AR40" s="380"/>
      <c r="AS40" s="380"/>
      <c r="AT40" s="380"/>
      <c r="AU40" s="380"/>
      <c r="AV40" s="380"/>
      <c r="AW40" s="380"/>
      <c r="AX40" s="380"/>
      <c r="AY40" s="380"/>
      <c r="AZ40" s="381"/>
    </row>
    <row r="41" spans="1:55" ht="12" customHeight="1">
      <c r="A41" s="2427"/>
      <c r="B41" s="2428"/>
      <c r="C41" s="2428"/>
      <c r="D41" s="2428"/>
      <c r="E41" s="2428"/>
      <c r="F41" s="2428"/>
      <c r="G41" s="2428"/>
      <c r="H41" s="2428"/>
      <c r="I41" s="2428"/>
      <c r="J41" s="2428"/>
      <c r="K41" s="2428"/>
      <c r="L41" s="2428"/>
      <c r="M41" s="2428"/>
      <c r="N41" s="2428"/>
      <c r="O41" s="2428"/>
      <c r="P41" s="2428"/>
      <c r="Q41" s="2428"/>
      <c r="R41" s="2428"/>
      <c r="S41" s="2428"/>
      <c r="T41" s="2428"/>
      <c r="U41" s="2428"/>
      <c r="V41" s="2428"/>
      <c r="W41" s="2428"/>
      <c r="X41" s="2428"/>
      <c r="Y41" s="2428"/>
      <c r="Z41" s="2429"/>
      <c r="AA41" s="2427"/>
      <c r="AB41" s="2428"/>
      <c r="AC41" s="2428"/>
      <c r="AD41" s="2428"/>
      <c r="AE41" s="2428"/>
      <c r="AF41" s="2428"/>
      <c r="AG41" s="2428"/>
      <c r="AH41" s="2428"/>
      <c r="AI41" s="2428"/>
      <c r="AJ41" s="2428"/>
      <c r="AK41" s="2428"/>
      <c r="AL41" s="2428"/>
      <c r="AM41" s="2428"/>
      <c r="AN41" s="2428"/>
      <c r="AO41" s="2428"/>
      <c r="AP41" s="2428"/>
      <c r="AQ41" s="2428"/>
      <c r="AR41" s="2428"/>
      <c r="AS41" s="2428"/>
      <c r="AT41" s="2428"/>
      <c r="AU41" s="2428"/>
      <c r="AV41" s="2428"/>
      <c r="AW41" s="2428"/>
      <c r="AX41" s="2428"/>
      <c r="AY41" s="2428"/>
      <c r="AZ41" s="2429"/>
    </row>
    <row r="42" spans="1:55" ht="14.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5" ht="14.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5" ht="14.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5" ht="14.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5" ht="14.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5" ht="14.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5" ht="14.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ht="14.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ht="14.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sheetData>
  <sheetProtection formatColumns="0" selectLockedCells="1"/>
  <mergeCells count="134">
    <mergeCell ref="A14:L14"/>
    <mergeCell ref="M14:O14"/>
    <mergeCell ref="P14:Z14"/>
    <mergeCell ref="AA14:AL14"/>
    <mergeCell ref="AM14:AO14"/>
    <mergeCell ref="AP14:AZ14"/>
    <mergeCell ref="R4:T4"/>
    <mergeCell ref="AA4:AT4"/>
    <mergeCell ref="A1:Z1"/>
    <mergeCell ref="AA1:AZ1"/>
    <mergeCell ref="A2:Z2"/>
    <mergeCell ref="AA2:AZ2"/>
    <mergeCell ref="A3:Z3"/>
    <mergeCell ref="AA3:AZ3"/>
    <mergeCell ref="A7:Z7"/>
    <mergeCell ref="AA7:AZ7"/>
    <mergeCell ref="A8:Z8"/>
    <mergeCell ref="AA8:AZ8"/>
    <mergeCell ref="A5:Z5"/>
    <mergeCell ref="AA5:AZ5"/>
    <mergeCell ref="A6:Z6"/>
    <mergeCell ref="AA6:AZ6"/>
    <mergeCell ref="A9:Z9"/>
    <mergeCell ref="AA9:AZ9"/>
    <mergeCell ref="A13:L13"/>
    <mergeCell ref="M13:O13"/>
    <mergeCell ref="P13:Z13"/>
    <mergeCell ref="AA13:AL13"/>
    <mergeCell ref="AM13:AO13"/>
    <mergeCell ref="AP13:AZ13"/>
    <mergeCell ref="A10:Z10"/>
    <mergeCell ref="AA10:AZ10"/>
    <mergeCell ref="A11:Z11"/>
    <mergeCell ref="AA11:AZ11"/>
    <mergeCell ref="A12:Z12"/>
    <mergeCell ref="AA12:AZ12"/>
    <mergeCell ref="A17:Z17"/>
    <mergeCell ref="AA17:AZ17"/>
    <mergeCell ref="A18:Z19"/>
    <mergeCell ref="AA18:AZ19"/>
    <mergeCell ref="A16:L16"/>
    <mergeCell ref="M16:O16"/>
    <mergeCell ref="AA16:AL16"/>
    <mergeCell ref="A15:L15"/>
    <mergeCell ref="AA15:AL15"/>
    <mergeCell ref="AM15:AO15"/>
    <mergeCell ref="AP15:AZ15"/>
    <mergeCell ref="P16:Z16"/>
    <mergeCell ref="M15:O15"/>
    <mergeCell ref="P15:Z15"/>
    <mergeCell ref="AM16:AO16"/>
    <mergeCell ref="AP16:AZ16"/>
    <mergeCell ref="A20:Z21"/>
    <mergeCell ref="AA20:AZ21"/>
    <mergeCell ref="P22:Q22"/>
    <mergeCell ref="S22:T22"/>
    <mergeCell ref="V22:Y22"/>
    <mergeCell ref="B22:G22"/>
    <mergeCell ref="AB22:AG22"/>
    <mergeCell ref="AH22:AL22"/>
    <mergeCell ref="AM22:AN22"/>
    <mergeCell ref="AP22:AQ22"/>
    <mergeCell ref="AS22:AT22"/>
    <mergeCell ref="AV22:AY22"/>
    <mergeCell ref="H22:K22"/>
    <mergeCell ref="L22:M22"/>
    <mergeCell ref="AA41:AZ41"/>
    <mergeCell ref="I37:K40"/>
    <mergeCell ref="L37:N40"/>
    <mergeCell ref="O37:Q40"/>
    <mergeCell ref="AI37:AK40"/>
    <mergeCell ref="AL37:AN40"/>
    <mergeCell ref="AH28:AM28"/>
    <mergeCell ref="A33:Z33"/>
    <mergeCell ref="AO37:AQ40"/>
    <mergeCell ref="H29:M29"/>
    <mergeCell ref="N29:S29"/>
    <mergeCell ref="AA33:AZ33"/>
    <mergeCell ref="I35:K36"/>
    <mergeCell ref="L35:N36"/>
    <mergeCell ref="O35:Q36"/>
    <mergeCell ref="AI35:AK36"/>
    <mergeCell ref="AL35:AN36"/>
    <mergeCell ref="AO35:AQ36"/>
    <mergeCell ref="AA30:AZ30"/>
    <mergeCell ref="A31:Z31"/>
    <mergeCell ref="AA31:AZ31"/>
    <mergeCell ref="AN28:AS28"/>
    <mergeCell ref="AN29:AS29"/>
    <mergeCell ref="AT29:AY29"/>
    <mergeCell ref="H27:M27"/>
    <mergeCell ref="N27:S27"/>
    <mergeCell ref="T27:Y27"/>
    <mergeCell ref="H28:M28"/>
    <mergeCell ref="N28:S28"/>
    <mergeCell ref="T28:Y28"/>
    <mergeCell ref="A41:Z41"/>
    <mergeCell ref="H24:M24"/>
    <mergeCell ref="N24:S24"/>
    <mergeCell ref="H26:M26"/>
    <mergeCell ref="H25:M25"/>
    <mergeCell ref="N25:S25"/>
    <mergeCell ref="T25:Y25"/>
    <mergeCell ref="T29:Y29"/>
    <mergeCell ref="T26:Y26"/>
    <mergeCell ref="T24:Y24"/>
    <mergeCell ref="C23:E24"/>
    <mergeCell ref="C26:E27"/>
    <mergeCell ref="B25:G25"/>
    <mergeCell ref="H30:Y30"/>
    <mergeCell ref="N26:S26"/>
    <mergeCell ref="H23:Y23"/>
    <mergeCell ref="B28:G28"/>
    <mergeCell ref="B29:E29"/>
    <mergeCell ref="AH29:AM29"/>
    <mergeCell ref="AT28:AY28"/>
    <mergeCell ref="AT24:AY24"/>
    <mergeCell ref="AH24:AM24"/>
    <mergeCell ref="AH26:AM26"/>
    <mergeCell ref="AC26:AE27"/>
    <mergeCell ref="AH27:AM27"/>
    <mergeCell ref="AN27:AS27"/>
    <mergeCell ref="AT27:AY27"/>
    <mergeCell ref="AN26:AS26"/>
    <mergeCell ref="AT26:AY26"/>
    <mergeCell ref="AH25:AM25"/>
    <mergeCell ref="AN25:AS25"/>
    <mergeCell ref="AN24:AS24"/>
    <mergeCell ref="AT25:AY25"/>
    <mergeCell ref="AC23:AE24"/>
    <mergeCell ref="AH23:AY23"/>
    <mergeCell ref="AB25:AG25"/>
    <mergeCell ref="AB28:AG28"/>
    <mergeCell ref="AB29:AE29"/>
  </mergeCells>
  <phoneticPr fontId="7"/>
  <conditionalFormatting sqref="C26:E27">
    <cfRule type="containsBlanks" dxfId="43" priority="8">
      <formula>LEN(TRIM(C26))=0</formula>
    </cfRule>
  </conditionalFormatting>
  <conditionalFormatting sqref="H24:Y29 AH26:AY26 AH27:AH29 AN27:AN29">
    <cfRule type="cellIs" dxfId="42" priority="7" stopIfTrue="1" operator="equal">
      <formula>""</formula>
    </cfRule>
  </conditionalFormatting>
  <conditionalFormatting sqref="R4:T4 V4 X4">
    <cfRule type="cellIs" dxfId="41" priority="5" stopIfTrue="1" operator="equal">
      <formula>""</formula>
    </cfRule>
  </conditionalFormatting>
  <conditionalFormatting sqref="AC26:AE27">
    <cfRule type="containsBlanks" dxfId="40" priority="2">
      <formula>LEN(TRIM(AC26))=0</formula>
    </cfRule>
  </conditionalFormatting>
  <conditionalFormatting sqref="AT27:AT29">
    <cfRule type="cellIs" dxfId="39" priority="1" stopIfTrue="1" operator="equal">
      <formula>""</formula>
    </cfRule>
  </conditionalFormatting>
  <dataValidations count="5">
    <dataValidation type="list" allowBlank="1" showInputMessage="1" sqref="R4:T4" xr:uid="{00000000-0002-0000-0900-000000000000}">
      <formula1>$BB$5:$BB$6</formula1>
    </dataValidation>
    <dataValidation type="whole" errorStyle="warning" operator="lessThanOrEqual" allowBlank="1" showInputMessage="1" showErrorMessage="1" errorTitle="５台目以降の駐車料金が有料になります！" error="補助的指導者が乗り入れる車両につきましては、４台目までは無料となっておりますが、５台目以降、【１台につき４２０円】かかります。入館後、速やかに事務室までお支払いください。" sqref="AC26:AE27" xr:uid="{00000000-0002-0000-0900-000001000000}">
      <formula1>4</formula1>
    </dataValidation>
    <dataValidation type="whole" errorStyle="warning" operator="lessThanOrEqual" allowBlank="1" showInputMessage="1" showErrorMessage="1" errorTitle="５台目以降の駐車料金が有料になります！" error="補助的指導者が乗り入れる車両につきましては、４台目までは無料となっておりますが、５台目以降、【１台につき500円】かかります。入館後、速やかに事務室までおこしください。" sqref="C26:E27" xr:uid="{00000000-0002-0000-0900-000002000000}">
      <formula1>4</formula1>
    </dataValidation>
    <dataValidation type="list" allowBlank="1" showInputMessage="1" showErrorMessage="1" sqref="V4" xr:uid="{93F38C10-4D16-4747-8D23-D76C47BB4052}">
      <formula1>$BC$4:$BC$15</formula1>
    </dataValidation>
    <dataValidation type="list" allowBlank="1" showInputMessage="1" showErrorMessage="1" sqref="X4" xr:uid="{B01DE664-74BB-436A-94E1-4E030D7A33B0}">
      <formula1>$BC$4:$BC$34</formula1>
    </dataValidation>
  </dataValidations>
  <printOptions horizontalCentered="1" verticalCentered="1"/>
  <pageMargins left="0.39370078740157483" right="0.39370078740157483" top="0.39370078740157483" bottom="0.39370078740157483" header="0" footer="0"/>
  <pageSetup paperSize="9" scale="90" orientation="portrait" r:id="rId1"/>
  <headerFooter>
    <oddFooter>&amp;R&amp;D &amp;T</oddFooter>
  </headerFooter>
  <colBreaks count="1" manualBreakCount="1">
    <brk id="26" max="41"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267B1-A2EB-4B57-9458-DCAA619AFA53}">
  <sheetPr>
    <tabColor rgb="FF92D050"/>
  </sheetPr>
  <dimension ref="A1:CP86"/>
  <sheetViews>
    <sheetView showZeros="0" view="pageBreakPreview" topLeftCell="A34" zoomScale="40" zoomScaleNormal="115" zoomScaleSheetLayoutView="40" workbookViewId="0">
      <selection activeCell="H25" sqref="H25:J26"/>
    </sheetView>
  </sheetViews>
  <sheetFormatPr defaultColWidth="9" defaultRowHeight="21"/>
  <cols>
    <col min="1" max="1" width="5.25" style="571" customWidth="1"/>
    <col min="2" max="7" width="4" style="571" customWidth="1"/>
    <col min="8" max="8" width="4" style="572" customWidth="1"/>
    <col min="9" max="21" width="4" style="571" customWidth="1"/>
    <col min="22" max="24" width="5" style="571" customWidth="1"/>
    <col min="25" max="32" width="4" style="571" customWidth="1"/>
    <col min="33" max="38" width="3.75" style="571" customWidth="1"/>
    <col min="39" max="39" width="8.25" style="571" hidden="1" customWidth="1"/>
    <col min="40" max="44" width="9" style="571" hidden="1" customWidth="1"/>
    <col min="45" max="45" width="3" style="571" hidden="1" customWidth="1"/>
    <col min="46" max="48" width="4" style="571" customWidth="1"/>
    <col min="49" max="49" width="4.625" style="571" customWidth="1"/>
    <col min="50" max="50" width="4" style="571" customWidth="1"/>
    <col min="51" max="51" width="5.75" style="571" customWidth="1"/>
    <col min="52" max="52" width="4" style="572" customWidth="1"/>
    <col min="53" max="65" width="4" style="571" customWidth="1"/>
    <col min="66" max="68" width="4.375" style="571" customWidth="1"/>
    <col min="69" max="76" width="4" style="571" customWidth="1"/>
    <col min="77" max="82" width="3.875" style="571" customWidth="1"/>
    <col min="83" max="83" width="9" style="571" customWidth="1"/>
    <col min="84" max="16384" width="9" style="571"/>
  </cols>
  <sheetData>
    <row r="1" spans="1:82" ht="21" customHeight="1" thickBot="1">
      <c r="B1" s="2478" t="s">
        <v>2864</v>
      </c>
      <c r="C1" s="2478"/>
      <c r="D1" s="2478"/>
      <c r="E1" s="2478"/>
      <c r="F1" s="2478"/>
      <c r="G1" s="2478"/>
      <c r="H1" s="2478"/>
      <c r="I1" s="2478"/>
      <c r="J1" s="2478"/>
      <c r="K1" s="2478"/>
      <c r="L1" s="2478"/>
      <c r="M1" s="2478"/>
      <c r="AT1" s="2478" t="s">
        <v>2864</v>
      </c>
      <c r="AU1" s="2478"/>
      <c r="AV1" s="2478"/>
      <c r="AW1" s="2478"/>
      <c r="AX1" s="2478"/>
      <c r="AY1" s="2478"/>
      <c r="AZ1" s="2478"/>
      <c r="BA1" s="2478"/>
      <c r="BB1" s="2478"/>
      <c r="BC1" s="2478"/>
      <c r="BD1" s="2478"/>
      <c r="BE1" s="2478"/>
    </row>
    <row r="2" spans="1:82" ht="24.75" customHeight="1" thickTop="1">
      <c r="A2" s="2479" t="s">
        <v>3134</v>
      </c>
      <c r="B2" s="2482" t="s">
        <v>2751</v>
      </c>
      <c r="C2" s="2483"/>
      <c r="D2" s="2486">
        <f>'01 使用承認申請書'!D4</f>
        <v>0</v>
      </c>
      <c r="E2" s="2483"/>
      <c r="F2" s="2483"/>
      <c r="G2" s="2483"/>
      <c r="H2" s="2483"/>
      <c r="I2" s="2483"/>
      <c r="J2" s="2483"/>
      <c r="K2" s="2483"/>
      <c r="L2" s="2487"/>
      <c r="M2" s="2489" t="s">
        <v>2870</v>
      </c>
      <c r="N2" s="2490"/>
      <c r="O2" s="2490"/>
      <c r="P2" s="2490"/>
      <c r="Q2" s="2490"/>
      <c r="R2" s="2490"/>
      <c r="S2" s="2490"/>
      <c r="T2" s="2490"/>
      <c r="U2" s="2490"/>
      <c r="V2" s="2490"/>
      <c r="W2" s="2490"/>
      <c r="X2" s="2490"/>
      <c r="Y2" s="2490"/>
      <c r="Z2" s="2490"/>
      <c r="AA2" s="2490"/>
      <c r="AB2" s="2490"/>
      <c r="AC2" s="2490"/>
      <c r="AD2" s="2490"/>
      <c r="AE2" s="2490"/>
      <c r="AF2" s="2490"/>
      <c r="AG2" s="2490"/>
      <c r="AH2" s="2490"/>
      <c r="AI2" s="2490"/>
      <c r="AJ2" s="2490"/>
      <c r="AK2" s="2490"/>
      <c r="AL2" s="2491"/>
      <c r="AT2" s="578"/>
      <c r="AU2" s="2482" t="s">
        <v>2751</v>
      </c>
      <c r="AV2" s="2483"/>
      <c r="AW2" s="2483" t="s">
        <v>3083</v>
      </c>
      <c r="AX2" s="2483"/>
      <c r="AY2" s="2483"/>
      <c r="AZ2" s="2483"/>
      <c r="BA2" s="2483"/>
      <c r="BB2" s="2483"/>
      <c r="BC2" s="2483"/>
      <c r="BD2" s="2487"/>
      <c r="BE2" s="2489" t="s">
        <v>2870</v>
      </c>
      <c r="BF2" s="2490"/>
      <c r="BG2" s="2490"/>
      <c r="BH2" s="2490"/>
      <c r="BI2" s="2490"/>
      <c r="BJ2" s="2490"/>
      <c r="BK2" s="2490"/>
      <c r="BL2" s="2490"/>
      <c r="BM2" s="2490"/>
      <c r="BN2" s="2490"/>
      <c r="BO2" s="2490"/>
      <c r="BP2" s="2490"/>
      <c r="BQ2" s="2490"/>
      <c r="BR2" s="2490"/>
      <c r="BS2" s="2490"/>
      <c r="BT2" s="2490"/>
      <c r="BU2" s="2490"/>
      <c r="BV2" s="2490"/>
      <c r="BW2" s="2490"/>
      <c r="BX2" s="2490"/>
      <c r="BY2" s="2490"/>
      <c r="BZ2" s="2490"/>
      <c r="CA2" s="2490"/>
      <c r="CB2" s="2490"/>
      <c r="CC2" s="2490"/>
      <c r="CD2" s="2491"/>
    </row>
    <row r="3" spans="1:82" ht="31.15" customHeight="1">
      <c r="A3" s="2480"/>
      <c r="B3" s="2484"/>
      <c r="C3" s="2485"/>
      <c r="D3" s="2485"/>
      <c r="E3" s="2485"/>
      <c r="F3" s="2485"/>
      <c r="G3" s="2485"/>
      <c r="H3" s="2485"/>
      <c r="I3" s="2485"/>
      <c r="J3" s="2485"/>
      <c r="K3" s="2485"/>
      <c r="L3" s="2488"/>
      <c r="M3" s="2492" t="s">
        <v>3084</v>
      </c>
      <c r="N3" s="2493"/>
      <c r="O3" s="2493"/>
      <c r="P3" s="2493"/>
      <c r="Q3" s="2493"/>
      <c r="R3" s="2493"/>
      <c r="S3" s="2493"/>
      <c r="T3" s="2493"/>
      <c r="U3" s="2493"/>
      <c r="V3" s="2493"/>
      <c r="W3" s="2493"/>
      <c r="X3" s="2493"/>
      <c r="Y3" s="2493"/>
      <c r="Z3" s="2493"/>
      <c r="AA3" s="2493"/>
      <c r="AB3" s="2493"/>
      <c r="AC3" s="2493"/>
      <c r="AD3" s="2493"/>
      <c r="AE3" s="2493"/>
      <c r="AF3" s="2493"/>
      <c r="AG3" s="2493"/>
      <c r="AH3" s="2493"/>
      <c r="AI3" s="2493"/>
      <c r="AJ3" s="2493"/>
      <c r="AK3" s="2493"/>
      <c r="AL3" s="2494"/>
      <c r="AM3" s="575" t="s">
        <v>2755</v>
      </c>
      <c r="AN3" s="575" t="s">
        <v>2755</v>
      </c>
      <c r="AO3" s="575" t="s">
        <v>2755</v>
      </c>
      <c r="AP3" s="575" t="s">
        <v>2755</v>
      </c>
      <c r="AQ3" s="575" t="s">
        <v>2755</v>
      </c>
      <c r="AR3" s="575" t="s">
        <v>2755</v>
      </c>
      <c r="AS3" s="571" t="s">
        <v>2872</v>
      </c>
      <c r="AT3" s="577"/>
      <c r="AU3" s="2484"/>
      <c r="AV3" s="2485"/>
      <c r="AW3" s="2485"/>
      <c r="AX3" s="2485"/>
      <c r="AY3" s="2485"/>
      <c r="AZ3" s="2485"/>
      <c r="BA3" s="2485"/>
      <c r="BB3" s="2485"/>
      <c r="BC3" s="2485"/>
      <c r="BD3" s="2488"/>
      <c r="BE3" s="2492" t="s">
        <v>3085</v>
      </c>
      <c r="BF3" s="2493"/>
      <c r="BG3" s="2493"/>
      <c r="BH3" s="2493"/>
      <c r="BI3" s="2493"/>
      <c r="BJ3" s="2493"/>
      <c r="BK3" s="2493"/>
      <c r="BL3" s="2493"/>
      <c r="BM3" s="2493"/>
      <c r="BN3" s="2493"/>
      <c r="BO3" s="2493"/>
      <c r="BP3" s="2493"/>
      <c r="BQ3" s="2493"/>
      <c r="BR3" s="2493"/>
      <c r="BS3" s="2493"/>
      <c r="BT3" s="2493"/>
      <c r="BU3" s="2493"/>
      <c r="BV3" s="2493"/>
      <c r="BW3" s="2493"/>
      <c r="BX3" s="2493"/>
      <c r="BY3" s="2493"/>
      <c r="BZ3" s="2493"/>
      <c r="CA3" s="2493"/>
      <c r="CB3" s="2493"/>
      <c r="CC3" s="2493"/>
      <c r="CD3" s="2494"/>
    </row>
    <row r="4" spans="1:82" ht="24.75" customHeight="1">
      <c r="A4" s="2480"/>
      <c r="B4" s="2484" t="s">
        <v>2898</v>
      </c>
      <c r="C4" s="2485"/>
      <c r="D4" s="2514">
        <f>'01 使用承認申請書'!O38</f>
        <v>43069</v>
      </c>
      <c r="E4" s="2514"/>
      <c r="F4" s="2514"/>
      <c r="G4" s="2514"/>
      <c r="H4" s="2514"/>
      <c r="I4" s="2514"/>
      <c r="J4" s="2514"/>
      <c r="K4" s="2514"/>
      <c r="L4" s="2516"/>
      <c r="M4" s="2492"/>
      <c r="N4" s="2493"/>
      <c r="O4" s="2493"/>
      <c r="P4" s="2493"/>
      <c r="Q4" s="2493"/>
      <c r="R4" s="2493"/>
      <c r="S4" s="2493"/>
      <c r="T4" s="2493"/>
      <c r="U4" s="2493"/>
      <c r="V4" s="2493"/>
      <c r="W4" s="2493"/>
      <c r="X4" s="2493"/>
      <c r="Y4" s="2493"/>
      <c r="Z4" s="2493"/>
      <c r="AA4" s="2493"/>
      <c r="AB4" s="2493"/>
      <c r="AC4" s="2493"/>
      <c r="AD4" s="2493"/>
      <c r="AE4" s="2493"/>
      <c r="AF4" s="2493"/>
      <c r="AG4" s="2493"/>
      <c r="AH4" s="2493"/>
      <c r="AI4" s="2493"/>
      <c r="AJ4" s="2493"/>
      <c r="AK4" s="2493"/>
      <c r="AL4" s="2494"/>
      <c r="AM4" s="573">
        <v>1</v>
      </c>
      <c r="AN4" s="576" t="s">
        <v>2880</v>
      </c>
      <c r="AO4" s="674" t="s">
        <v>2757</v>
      </c>
      <c r="AP4" s="571" t="s">
        <v>2756</v>
      </c>
      <c r="AQ4" s="681">
        <v>0.29166666666666669</v>
      </c>
      <c r="AR4" s="579" t="s">
        <v>2762</v>
      </c>
      <c r="AS4" s="571" t="s">
        <v>2876</v>
      </c>
      <c r="AT4" s="577"/>
      <c r="AU4" s="2484" t="s">
        <v>2898</v>
      </c>
      <c r="AV4" s="2485"/>
      <c r="AW4" s="2485">
        <v>10</v>
      </c>
      <c r="AX4" s="2485" t="s">
        <v>2759</v>
      </c>
      <c r="AY4" s="2485">
        <v>13</v>
      </c>
      <c r="AZ4" s="2485" t="s">
        <v>2758</v>
      </c>
      <c r="BA4" s="2485" t="s">
        <v>2741</v>
      </c>
      <c r="BB4" s="2498" t="s">
        <v>2932</v>
      </c>
      <c r="BC4" s="2485" t="s">
        <v>2740</v>
      </c>
      <c r="BD4" s="2488"/>
      <c r="BE4" s="2492"/>
      <c r="BF4" s="2493"/>
      <c r="BG4" s="2493"/>
      <c r="BH4" s="2493"/>
      <c r="BI4" s="2493"/>
      <c r="BJ4" s="2493"/>
      <c r="BK4" s="2493"/>
      <c r="BL4" s="2493"/>
      <c r="BM4" s="2493"/>
      <c r="BN4" s="2493"/>
      <c r="BO4" s="2493"/>
      <c r="BP4" s="2493"/>
      <c r="BQ4" s="2493"/>
      <c r="BR4" s="2493"/>
      <c r="BS4" s="2493"/>
      <c r="BT4" s="2493"/>
      <c r="BU4" s="2493"/>
      <c r="BV4" s="2493"/>
      <c r="BW4" s="2493"/>
      <c r="BX4" s="2493"/>
      <c r="BY4" s="2493"/>
      <c r="BZ4" s="2493"/>
      <c r="CA4" s="2493"/>
      <c r="CB4" s="2493"/>
      <c r="CC4" s="2493"/>
      <c r="CD4" s="2494"/>
    </row>
    <row r="5" spans="1:82" ht="24.75" customHeight="1" thickBot="1">
      <c r="A5" s="2481"/>
      <c r="B5" s="2513"/>
      <c r="C5" s="2499"/>
      <c r="D5" s="2515"/>
      <c r="E5" s="2515"/>
      <c r="F5" s="2515"/>
      <c r="G5" s="2515"/>
      <c r="H5" s="2515"/>
      <c r="I5" s="2515"/>
      <c r="J5" s="2515"/>
      <c r="K5" s="2515"/>
      <c r="L5" s="2517"/>
      <c r="M5" s="2495"/>
      <c r="N5" s="2496"/>
      <c r="O5" s="2496"/>
      <c r="P5" s="2496"/>
      <c r="Q5" s="2496"/>
      <c r="R5" s="2496"/>
      <c r="S5" s="2496"/>
      <c r="T5" s="2496"/>
      <c r="U5" s="2496"/>
      <c r="V5" s="2496"/>
      <c r="W5" s="2496"/>
      <c r="X5" s="2496"/>
      <c r="Y5" s="2496"/>
      <c r="Z5" s="2496"/>
      <c r="AA5" s="2496"/>
      <c r="AB5" s="2496"/>
      <c r="AC5" s="2496"/>
      <c r="AD5" s="2496"/>
      <c r="AE5" s="2496"/>
      <c r="AF5" s="2496"/>
      <c r="AG5" s="2496"/>
      <c r="AH5" s="2496"/>
      <c r="AI5" s="2496"/>
      <c r="AJ5" s="2496"/>
      <c r="AK5" s="2496"/>
      <c r="AL5" s="2497"/>
      <c r="AM5" s="576">
        <v>2</v>
      </c>
      <c r="AN5" s="576" t="s">
        <v>2881</v>
      </c>
      <c r="AO5" s="674" t="s">
        <v>2754</v>
      </c>
      <c r="AP5" s="571" t="s">
        <v>2753</v>
      </c>
      <c r="AQ5" s="681">
        <v>0.3125</v>
      </c>
      <c r="AR5" s="571">
        <v>15</v>
      </c>
      <c r="AS5" s="571" t="s">
        <v>2874</v>
      </c>
      <c r="AT5" s="683"/>
      <c r="AU5" s="2513"/>
      <c r="AV5" s="2499"/>
      <c r="AW5" s="2499"/>
      <c r="AX5" s="2499"/>
      <c r="AY5" s="2499"/>
      <c r="AZ5" s="2499"/>
      <c r="BA5" s="2499"/>
      <c r="BB5" s="2499"/>
      <c r="BC5" s="2499"/>
      <c r="BD5" s="2500"/>
      <c r="BE5" s="2495"/>
      <c r="BF5" s="2496"/>
      <c r="BG5" s="2496"/>
      <c r="BH5" s="2496"/>
      <c r="BI5" s="2496"/>
      <c r="BJ5" s="2496"/>
      <c r="BK5" s="2496"/>
      <c r="BL5" s="2496"/>
      <c r="BM5" s="2496"/>
      <c r="BN5" s="2496"/>
      <c r="BO5" s="2496"/>
      <c r="BP5" s="2496"/>
      <c r="BQ5" s="2496"/>
      <c r="BR5" s="2496"/>
      <c r="BS5" s="2496"/>
      <c r="BT5" s="2496"/>
      <c r="BU5" s="2496"/>
      <c r="BV5" s="2496"/>
      <c r="BW5" s="2496"/>
      <c r="BX5" s="2496"/>
      <c r="BY5" s="2496"/>
      <c r="BZ5" s="2496"/>
      <c r="CA5" s="2496"/>
      <c r="CB5" s="2496"/>
      <c r="CC5" s="2496"/>
      <c r="CD5" s="2497"/>
    </row>
    <row r="6" spans="1:82" ht="15" customHeight="1" thickTop="1" thickBot="1">
      <c r="B6" s="677"/>
      <c r="C6" s="674"/>
      <c r="D6" s="674"/>
      <c r="E6" s="674"/>
      <c r="F6" s="674"/>
      <c r="G6" s="674"/>
      <c r="H6" s="674"/>
      <c r="I6" s="674"/>
      <c r="J6" s="674"/>
      <c r="K6" s="674"/>
      <c r="L6" s="674"/>
      <c r="M6" s="675"/>
      <c r="N6" s="675"/>
      <c r="O6" s="675"/>
      <c r="P6" s="675"/>
      <c r="Q6" s="675"/>
      <c r="R6" s="675"/>
      <c r="S6" s="675"/>
      <c r="T6" s="675"/>
      <c r="U6" s="675"/>
      <c r="V6" s="675"/>
      <c r="W6" s="675"/>
      <c r="X6" s="675"/>
      <c r="Y6" s="675"/>
      <c r="Z6" s="675"/>
      <c r="AA6" s="675"/>
      <c r="AB6" s="675"/>
      <c r="AC6" s="675"/>
      <c r="AD6" s="675"/>
      <c r="AE6" s="675"/>
      <c r="AF6" s="675"/>
      <c r="AG6" s="675"/>
      <c r="AH6" s="675"/>
      <c r="AI6" s="675"/>
      <c r="AJ6" s="976"/>
      <c r="AK6" s="679"/>
      <c r="AL6" s="680"/>
      <c r="AM6" s="576">
        <v>3</v>
      </c>
      <c r="AN6" s="576" t="s">
        <v>2882</v>
      </c>
      <c r="AO6" s="674" t="s">
        <v>2761</v>
      </c>
      <c r="AP6" s="682"/>
      <c r="AQ6" s="681">
        <v>0.33333333333333331</v>
      </c>
      <c r="AS6" s="571" t="s">
        <v>2875</v>
      </c>
      <c r="AT6" s="677"/>
      <c r="AU6" s="674"/>
      <c r="AV6" s="674"/>
      <c r="AW6" s="674"/>
      <c r="AX6" s="674"/>
      <c r="AY6" s="674"/>
      <c r="AZ6" s="674"/>
      <c r="BA6" s="674"/>
      <c r="BB6" s="674"/>
      <c r="BC6" s="674"/>
      <c r="BD6" s="674"/>
      <c r="BE6" s="675"/>
      <c r="BF6" s="675"/>
      <c r="BG6" s="675"/>
      <c r="BH6" s="675"/>
      <c r="BI6" s="675"/>
      <c r="BJ6" s="675"/>
      <c r="BK6" s="675"/>
      <c r="BL6" s="675"/>
      <c r="BM6" s="675"/>
      <c r="BN6" s="675"/>
      <c r="BO6" s="675"/>
      <c r="BP6" s="675"/>
      <c r="BQ6" s="675"/>
      <c r="BR6" s="675"/>
      <c r="BS6" s="675"/>
      <c r="BT6" s="675"/>
      <c r="BU6" s="675"/>
      <c r="BV6" s="675"/>
      <c r="BW6" s="675"/>
      <c r="BX6" s="675"/>
      <c r="BY6" s="675"/>
      <c r="BZ6" s="675"/>
      <c r="CA6" s="676"/>
      <c r="CB6" s="678"/>
      <c r="CC6" s="679"/>
      <c r="CD6" s="680"/>
    </row>
    <row r="7" spans="1:82" ht="18.75" customHeight="1">
      <c r="A7" s="2501" t="s">
        <v>3086</v>
      </c>
      <c r="B7" s="2503" t="s">
        <v>2883</v>
      </c>
      <c r="C7" s="2504"/>
      <c r="D7" s="2504"/>
      <c r="E7" s="2504"/>
      <c r="F7" s="2504"/>
      <c r="G7" s="2504"/>
      <c r="H7" s="2504"/>
      <c r="I7" s="2504"/>
      <c r="J7" s="2504"/>
      <c r="K7" s="2504"/>
      <c r="L7" s="2504"/>
      <c r="M7" s="2504"/>
      <c r="N7" s="2504"/>
      <c r="O7" s="2504"/>
      <c r="P7" s="2504"/>
      <c r="Q7" s="2504"/>
      <c r="R7" s="2504"/>
      <c r="S7" s="2504"/>
      <c r="T7" s="2504"/>
      <c r="U7" s="2505"/>
      <c r="V7" s="2506" t="s">
        <v>2885</v>
      </c>
      <c r="W7" s="2490"/>
      <c r="X7" s="2491"/>
      <c r="Y7" s="2489" t="s">
        <v>2869</v>
      </c>
      <c r="Z7" s="2490"/>
      <c r="AA7" s="2490"/>
      <c r="AB7" s="2490"/>
      <c r="AC7" s="2490"/>
      <c r="AD7" s="2490"/>
      <c r="AE7" s="2490"/>
      <c r="AF7" s="2491"/>
      <c r="AG7" s="2489" t="s">
        <v>2742</v>
      </c>
      <c r="AH7" s="2490"/>
      <c r="AI7" s="2490"/>
      <c r="AJ7" s="2490"/>
      <c r="AK7" s="2490"/>
      <c r="AL7" s="2491"/>
      <c r="AM7" s="576">
        <v>4</v>
      </c>
      <c r="AN7" s="576"/>
      <c r="AO7" s="674"/>
      <c r="AQ7" s="681">
        <v>0.35416666666666702</v>
      </c>
      <c r="AS7" s="571" t="s">
        <v>2877</v>
      </c>
      <c r="AT7" s="2511" t="s">
        <v>2883</v>
      </c>
      <c r="AU7" s="2504"/>
      <c r="AV7" s="2504"/>
      <c r="AW7" s="2504"/>
      <c r="AX7" s="2504"/>
      <c r="AY7" s="2504"/>
      <c r="AZ7" s="2504"/>
      <c r="BA7" s="2504"/>
      <c r="BB7" s="2504"/>
      <c r="BC7" s="2504"/>
      <c r="BD7" s="2504"/>
      <c r="BE7" s="2504"/>
      <c r="BF7" s="2504"/>
      <c r="BG7" s="2504"/>
      <c r="BH7" s="2504"/>
      <c r="BI7" s="2504"/>
      <c r="BJ7" s="2504"/>
      <c r="BK7" s="2504"/>
      <c r="BL7" s="2504"/>
      <c r="BM7" s="2505"/>
      <c r="BN7" s="2506" t="s">
        <v>2885</v>
      </c>
      <c r="BO7" s="2490"/>
      <c r="BP7" s="2491"/>
      <c r="BQ7" s="2489" t="s">
        <v>2869</v>
      </c>
      <c r="BR7" s="2490"/>
      <c r="BS7" s="2490"/>
      <c r="BT7" s="2490"/>
      <c r="BU7" s="2490"/>
      <c r="BV7" s="2490"/>
      <c r="BW7" s="2490"/>
      <c r="BX7" s="2491"/>
      <c r="BY7" s="2489" t="s">
        <v>2742</v>
      </c>
      <c r="BZ7" s="2490"/>
      <c r="CA7" s="2490"/>
      <c r="CB7" s="2490"/>
      <c r="CC7" s="2490"/>
      <c r="CD7" s="2491"/>
    </row>
    <row r="8" spans="1:82" ht="18.75" customHeight="1">
      <c r="A8" s="2502"/>
      <c r="B8" s="2518" t="s">
        <v>2752</v>
      </c>
      <c r="C8" s="2512"/>
      <c r="D8" s="2512"/>
      <c r="E8" s="2512" t="s">
        <v>2867</v>
      </c>
      <c r="F8" s="2512"/>
      <c r="G8" s="2512"/>
      <c r="H8" s="2512" t="s">
        <v>2868</v>
      </c>
      <c r="I8" s="2512"/>
      <c r="J8" s="2512"/>
      <c r="K8" s="2512" t="s">
        <v>2871</v>
      </c>
      <c r="L8" s="2512"/>
      <c r="M8" s="2512"/>
      <c r="N8" s="2512"/>
      <c r="O8" s="2512"/>
      <c r="P8" s="2512"/>
      <c r="Q8" s="2512" t="s">
        <v>2865</v>
      </c>
      <c r="R8" s="2512"/>
      <c r="S8" s="2512"/>
      <c r="T8" s="2512" t="s">
        <v>2866</v>
      </c>
      <c r="U8" s="2519"/>
      <c r="V8" s="2507"/>
      <c r="W8" s="2508"/>
      <c r="X8" s="2509"/>
      <c r="Y8" s="2510"/>
      <c r="Z8" s="2508"/>
      <c r="AA8" s="2508"/>
      <c r="AB8" s="2508"/>
      <c r="AC8" s="2508"/>
      <c r="AD8" s="2508"/>
      <c r="AE8" s="2508"/>
      <c r="AF8" s="2509"/>
      <c r="AG8" s="2510"/>
      <c r="AH8" s="2508"/>
      <c r="AI8" s="2508"/>
      <c r="AJ8" s="2508"/>
      <c r="AK8" s="2508"/>
      <c r="AL8" s="2509"/>
      <c r="AM8" s="575"/>
      <c r="AN8" s="575"/>
      <c r="AO8" s="674"/>
      <c r="AQ8" s="681">
        <v>0.375</v>
      </c>
      <c r="AR8" s="571">
        <v>30</v>
      </c>
      <c r="AS8" s="571" t="s">
        <v>2878</v>
      </c>
      <c r="AT8" s="2520" t="s">
        <v>2752</v>
      </c>
      <c r="AU8" s="2512"/>
      <c r="AV8" s="2512"/>
      <c r="AW8" s="2512" t="s">
        <v>2867</v>
      </c>
      <c r="AX8" s="2512"/>
      <c r="AY8" s="2512"/>
      <c r="AZ8" s="2512" t="s">
        <v>2868</v>
      </c>
      <c r="BA8" s="2512"/>
      <c r="BB8" s="2512"/>
      <c r="BC8" s="2512" t="s">
        <v>2871</v>
      </c>
      <c r="BD8" s="2512"/>
      <c r="BE8" s="2512"/>
      <c r="BF8" s="2512"/>
      <c r="BG8" s="2512"/>
      <c r="BH8" s="2512"/>
      <c r="BI8" s="2512" t="s">
        <v>2865</v>
      </c>
      <c r="BJ8" s="2512"/>
      <c r="BK8" s="2512"/>
      <c r="BL8" s="2512" t="s">
        <v>2866</v>
      </c>
      <c r="BM8" s="2519"/>
      <c r="BN8" s="2507"/>
      <c r="BO8" s="2508"/>
      <c r="BP8" s="2509"/>
      <c r="BQ8" s="2510"/>
      <c r="BR8" s="2508"/>
      <c r="BS8" s="2508"/>
      <c r="BT8" s="2508"/>
      <c r="BU8" s="2508"/>
      <c r="BV8" s="2508"/>
      <c r="BW8" s="2508"/>
      <c r="BX8" s="2509"/>
      <c r="BY8" s="2510"/>
      <c r="BZ8" s="2508"/>
      <c r="CA8" s="2508"/>
      <c r="CB8" s="2508"/>
      <c r="CC8" s="2508"/>
      <c r="CD8" s="2509"/>
    </row>
    <row r="9" spans="1:82" ht="18" customHeight="1">
      <c r="A9" s="2521" t="s">
        <v>3182</v>
      </c>
      <c r="B9" s="2523" t="s">
        <v>2756</v>
      </c>
      <c r="C9" s="2524"/>
      <c r="D9" s="2524"/>
      <c r="E9" s="2527"/>
      <c r="F9" s="2527"/>
      <c r="G9" s="2527"/>
      <c r="H9" s="2527"/>
      <c r="I9" s="2527"/>
      <c r="J9" s="2527"/>
      <c r="K9" s="2524"/>
      <c r="L9" s="2524"/>
      <c r="M9" s="2524"/>
      <c r="N9" s="2524"/>
      <c r="O9" s="2524"/>
      <c r="P9" s="2524"/>
      <c r="Q9" s="2524"/>
      <c r="R9" s="2524"/>
      <c r="S9" s="2524"/>
      <c r="T9" s="2535">
        <v>1</v>
      </c>
      <c r="U9" s="2536"/>
      <c r="V9" s="2544" t="str">
        <f>_xlfn.IFS(Q9=$AO$4,$AN$4,Q9=$AO$5,$AN$5,Q9=$AO$6,$AN$5,,,Q9="","")</f>
        <v/>
      </c>
      <c r="W9" s="2545"/>
      <c r="X9" s="2546"/>
      <c r="Y9" s="2539"/>
      <c r="Z9" s="2540"/>
      <c r="AA9" s="2540"/>
      <c r="AB9" s="2540"/>
      <c r="AC9" s="2540"/>
      <c r="AD9" s="2540"/>
      <c r="AE9" s="2540"/>
      <c r="AF9" s="2541"/>
      <c r="AG9" s="2551"/>
      <c r="AH9" s="2552"/>
      <c r="AI9" s="2552"/>
      <c r="AJ9" s="2552"/>
      <c r="AK9" s="2552"/>
      <c r="AL9" s="2553"/>
      <c r="AM9" s="575"/>
      <c r="AN9" s="575"/>
      <c r="AO9" s="575"/>
      <c r="AP9" s="575" t="s">
        <v>2755</v>
      </c>
      <c r="AQ9" s="681">
        <v>0.39583333333333398</v>
      </c>
      <c r="AR9" s="571">
        <v>45</v>
      </c>
      <c r="AS9" s="571" t="s">
        <v>2879</v>
      </c>
      <c r="AT9" s="2557" t="s">
        <v>2756</v>
      </c>
      <c r="AU9" s="2549"/>
      <c r="AV9" s="2549"/>
      <c r="AW9" s="2547">
        <v>0.41666666666666702</v>
      </c>
      <c r="AX9" s="2547"/>
      <c r="AY9" s="2547"/>
      <c r="AZ9" s="2547">
        <v>0.39583333333333398</v>
      </c>
      <c r="BA9" s="2547"/>
      <c r="BB9" s="2547"/>
      <c r="BC9" s="2549" t="s">
        <v>3087</v>
      </c>
      <c r="BD9" s="2549"/>
      <c r="BE9" s="2549"/>
      <c r="BF9" s="2549"/>
      <c r="BG9" s="2549"/>
      <c r="BH9" s="2549"/>
      <c r="BI9" s="2549" t="s">
        <v>3088</v>
      </c>
      <c r="BJ9" s="2549"/>
      <c r="BK9" s="2549"/>
      <c r="BL9" s="2535">
        <v>1</v>
      </c>
      <c r="BM9" s="2536"/>
      <c r="BN9" s="2544" t="str">
        <f>_xlfn.IFS(BI9=$AO$4,$AN$4,BI9=$AO$5,$AN$5,BI9=$AO$6,$AN$5,,,BI9="","")</f>
        <v>山の家駐車場</v>
      </c>
      <c r="BO9" s="2545"/>
      <c r="BP9" s="2546"/>
      <c r="BQ9" s="2539"/>
      <c r="BR9" s="2540"/>
      <c r="BS9" s="2540"/>
      <c r="BT9" s="2540"/>
      <c r="BU9" s="2540"/>
      <c r="BV9" s="2540"/>
      <c r="BW9" s="2540"/>
      <c r="BX9" s="2541"/>
      <c r="BY9" s="2539"/>
      <c r="BZ9" s="2540"/>
      <c r="CA9" s="2540"/>
      <c r="CB9" s="2540"/>
      <c r="CC9" s="2540"/>
      <c r="CD9" s="2541"/>
    </row>
    <row r="10" spans="1:82" ht="18" customHeight="1">
      <c r="A10" s="2522"/>
      <c r="B10" s="2525"/>
      <c r="C10" s="2526"/>
      <c r="D10" s="2526"/>
      <c r="E10" s="2528"/>
      <c r="F10" s="2528"/>
      <c r="G10" s="2528"/>
      <c r="H10" s="2528"/>
      <c r="I10" s="2528"/>
      <c r="J10" s="2528"/>
      <c r="K10" s="2526"/>
      <c r="L10" s="2526"/>
      <c r="M10" s="2526"/>
      <c r="N10" s="2526"/>
      <c r="O10" s="2526"/>
      <c r="P10" s="2526"/>
      <c r="Q10" s="2526"/>
      <c r="R10" s="2526"/>
      <c r="S10" s="2526"/>
      <c r="T10" s="2542"/>
      <c r="U10" s="2543"/>
      <c r="V10" s="2529" t="str">
        <f>_xlfn.IFS(AND(B9=$AP$4,Q9=$AO$4),$AS$6,AND(B9=$AP$5,Q9=$AO$4),$AS$6,AND(B9=$AP$6,Q9=$AO$4),$AS$9,AND(B9=$AP$4,Q9=$AO$5),$AS$3,AND(B9=$AP$5,Q9=$AO$5),$AS$3,AND(B9=$AP$6,Q9=$AO$5),$AS$9,AND(B9=$AP$7,Q9=$AO$5),$AS$7,AND(B9=$AP$4,Q9=$AO$6),$AS$3,AND(B9=$AP$5,Q9=$AO$6),$AS$3,AND(B9=$AP$6,Q9=$AO$6),$AS$9,Q9="","")</f>
        <v/>
      </c>
      <c r="W10" s="2530"/>
      <c r="X10" s="2531"/>
      <c r="Y10" s="2510"/>
      <c r="Z10" s="2508"/>
      <c r="AA10" s="2508"/>
      <c r="AB10" s="2508"/>
      <c r="AC10" s="2508"/>
      <c r="AD10" s="2508"/>
      <c r="AE10" s="2508"/>
      <c r="AF10" s="2509"/>
      <c r="AG10" s="2554"/>
      <c r="AH10" s="2555"/>
      <c r="AI10" s="2555"/>
      <c r="AJ10" s="2555"/>
      <c r="AK10" s="2555"/>
      <c r="AL10" s="2556"/>
      <c r="AM10" s="575"/>
      <c r="AN10" s="575"/>
      <c r="AO10" s="575"/>
      <c r="AP10" s="575" t="s">
        <v>3181</v>
      </c>
      <c r="AQ10" s="681">
        <v>0.41666666666666702</v>
      </c>
      <c r="AT10" s="2558"/>
      <c r="AU10" s="2550"/>
      <c r="AV10" s="2550"/>
      <c r="AW10" s="2548"/>
      <c r="AX10" s="2548"/>
      <c r="AY10" s="2548"/>
      <c r="AZ10" s="2548"/>
      <c r="BA10" s="2548"/>
      <c r="BB10" s="2548"/>
      <c r="BC10" s="2550"/>
      <c r="BD10" s="2550"/>
      <c r="BE10" s="2550"/>
      <c r="BF10" s="2550"/>
      <c r="BG10" s="2550"/>
      <c r="BH10" s="2550"/>
      <c r="BI10" s="2550"/>
      <c r="BJ10" s="2550"/>
      <c r="BK10" s="2550"/>
      <c r="BL10" s="2542"/>
      <c r="BM10" s="2543"/>
      <c r="BN10" s="2529" t="str">
        <f>_xlfn.IFS(AND(AT9=$AP$4,BI9=$AO$4),$AS$6,AND(AT9=$AP$5,BI9=$AO$4),$AS$6,AND(AT9=$AP$6,BI9=$AO$4),$AS$9,AND(AT9=$AP$4,BI9=$AO$5),$AS$3,AND(AT9=$AP$5,BI9=$AO$5),$AS$3,AND(AT9=$AP$6,BI9=$AO$5),$AS$9,AND(AT9=$AP$7,BI9=$AO$5),$AS$7,AND(AT9=$AP$4,BI9=$AO$6),$AS$3,AND(AT9=$AP$5,BI9=$AO$6),$AS$3,AND(AT9=$AP$6,BI9=$AO$6),$AS$9,BI9="","")</f>
        <v>（ブルー）</v>
      </c>
      <c r="BO10" s="2530"/>
      <c r="BP10" s="2531"/>
      <c r="BQ10" s="2510"/>
      <c r="BR10" s="2508"/>
      <c r="BS10" s="2508"/>
      <c r="BT10" s="2508"/>
      <c r="BU10" s="2508"/>
      <c r="BV10" s="2508"/>
      <c r="BW10" s="2508"/>
      <c r="BX10" s="2509"/>
      <c r="BY10" s="2510"/>
      <c r="BZ10" s="2508"/>
      <c r="CA10" s="2508"/>
      <c r="CB10" s="2508"/>
      <c r="CC10" s="2508"/>
      <c r="CD10" s="2509"/>
    </row>
    <row r="11" spans="1:82" ht="18" customHeight="1">
      <c r="A11" s="2522"/>
      <c r="B11" s="2523"/>
      <c r="C11" s="2524"/>
      <c r="D11" s="2524"/>
      <c r="E11" s="2527"/>
      <c r="F11" s="2527"/>
      <c r="G11" s="2527"/>
      <c r="H11" s="2527"/>
      <c r="I11" s="2527"/>
      <c r="J11" s="2527"/>
      <c r="K11" s="2524"/>
      <c r="L11" s="2524"/>
      <c r="M11" s="2524"/>
      <c r="N11" s="2524"/>
      <c r="O11" s="2524"/>
      <c r="P11" s="2524"/>
      <c r="Q11" s="2524"/>
      <c r="R11" s="2524"/>
      <c r="S11" s="2524"/>
      <c r="T11" s="2535">
        <v>1</v>
      </c>
      <c r="U11" s="2536"/>
      <c r="V11" s="2544" t="str">
        <f>_xlfn.IFS(Q11=$AO$4,$AN$4,Q11=$AO$5,$AN$5,Q11=$AO$6,$AN$5,,,Q11="","")</f>
        <v/>
      </c>
      <c r="W11" s="2545"/>
      <c r="X11" s="2546"/>
      <c r="Y11" s="2559"/>
      <c r="Z11" s="2560"/>
      <c r="AA11" s="2560"/>
      <c r="AB11" s="2560"/>
      <c r="AC11" s="2560"/>
      <c r="AD11" s="2560"/>
      <c r="AE11" s="2560"/>
      <c r="AF11" s="2561"/>
      <c r="AG11" s="2562"/>
      <c r="AH11" s="2563"/>
      <c r="AI11" s="2563"/>
      <c r="AJ11" s="2563"/>
      <c r="AK11" s="2563"/>
      <c r="AL11" s="2564"/>
      <c r="AP11" s="573" t="s">
        <v>2756</v>
      </c>
      <c r="AQ11" s="681">
        <v>0.4375</v>
      </c>
      <c r="AT11" s="2557" t="s">
        <v>2756</v>
      </c>
      <c r="AU11" s="2549"/>
      <c r="AV11" s="2549"/>
      <c r="AW11" s="2547">
        <v>0.41666666666666702</v>
      </c>
      <c r="AX11" s="2547"/>
      <c r="AY11" s="2547"/>
      <c r="AZ11" s="2547">
        <v>0.39583333333333398</v>
      </c>
      <c r="BA11" s="2547"/>
      <c r="BB11" s="2547"/>
      <c r="BC11" s="2549" t="s">
        <v>3089</v>
      </c>
      <c r="BD11" s="2549"/>
      <c r="BE11" s="2549"/>
      <c r="BF11" s="2549"/>
      <c r="BG11" s="2549"/>
      <c r="BH11" s="2549"/>
      <c r="BI11" s="2549" t="s">
        <v>2754</v>
      </c>
      <c r="BJ11" s="2549"/>
      <c r="BK11" s="2549"/>
      <c r="BL11" s="2535">
        <v>1</v>
      </c>
      <c r="BM11" s="2536"/>
      <c r="BN11" s="2544" t="str">
        <f>_xlfn.IFS(BI11=$AO$4,$AN$4,BI11=$AO$5,$AN$5,BI11=$AO$6,$AN$5,,,BI11="","")</f>
        <v>山の家駐車場</v>
      </c>
      <c r="BO11" s="2545"/>
      <c r="BP11" s="2546"/>
      <c r="BQ11" s="2559"/>
      <c r="BR11" s="2560"/>
      <c r="BS11" s="2560"/>
      <c r="BT11" s="2560"/>
      <c r="BU11" s="2560"/>
      <c r="BV11" s="2560"/>
      <c r="BW11" s="2560"/>
      <c r="BX11" s="2561"/>
      <c r="BY11" s="2559"/>
      <c r="BZ11" s="2560"/>
      <c r="CA11" s="2560"/>
      <c r="CB11" s="2560"/>
      <c r="CC11" s="2560"/>
      <c r="CD11" s="2561"/>
    </row>
    <row r="12" spans="1:82" ht="18" customHeight="1">
      <c r="A12" s="2522"/>
      <c r="B12" s="2525"/>
      <c r="C12" s="2526"/>
      <c r="D12" s="2526"/>
      <c r="E12" s="2528"/>
      <c r="F12" s="2528"/>
      <c r="G12" s="2528"/>
      <c r="H12" s="2528"/>
      <c r="I12" s="2528"/>
      <c r="J12" s="2528"/>
      <c r="K12" s="2526"/>
      <c r="L12" s="2526"/>
      <c r="M12" s="2526"/>
      <c r="N12" s="2526"/>
      <c r="O12" s="2526"/>
      <c r="P12" s="2526"/>
      <c r="Q12" s="2526"/>
      <c r="R12" s="2526"/>
      <c r="S12" s="2526"/>
      <c r="T12" s="2542"/>
      <c r="U12" s="2543"/>
      <c r="V12" s="2529" t="str">
        <f>_xlfn.IFS(AND(B11=$AP$4,Q11=$AO$4),$AS$6,AND(B11=$AP$5,Q11=$AO$4),$AS$6,AND(B11=$AP$6,Q11=$AO$4),$AS$9,AND(B11=$AP$4,Q11=$AO$5),$AS$3,AND(B11=$AP$5,Q11=$AO$5),$AS$3,AND(B11=$AP$6,Q11=$AO$5),$AS$9,AND(B11=$AP$7,Q11=$AO$5),$AS$7,AND(B11=$AP$4,Q11=$AO$6),$AS$3,AND(B11=$AP$5,Q11=$AO$6),$AS$3,AND(B11=$AP$6,Q11=$AO$6),$AS$9,Q11="","")</f>
        <v/>
      </c>
      <c r="W12" s="2530"/>
      <c r="X12" s="2531"/>
      <c r="Y12" s="2559"/>
      <c r="Z12" s="2560"/>
      <c r="AA12" s="2560"/>
      <c r="AB12" s="2560"/>
      <c r="AC12" s="2560"/>
      <c r="AD12" s="2560"/>
      <c r="AE12" s="2560"/>
      <c r="AF12" s="2561"/>
      <c r="AG12" s="2562"/>
      <c r="AH12" s="2563"/>
      <c r="AI12" s="2563"/>
      <c r="AJ12" s="2563"/>
      <c r="AK12" s="2563"/>
      <c r="AL12" s="2564"/>
      <c r="AP12" s="977" t="s">
        <v>2753</v>
      </c>
      <c r="AQ12" s="681">
        <v>0.45833333333333398</v>
      </c>
      <c r="AT12" s="2558"/>
      <c r="AU12" s="2550"/>
      <c r="AV12" s="2550"/>
      <c r="AW12" s="2548"/>
      <c r="AX12" s="2548"/>
      <c r="AY12" s="2548"/>
      <c r="AZ12" s="2548"/>
      <c r="BA12" s="2548"/>
      <c r="BB12" s="2548"/>
      <c r="BC12" s="2550"/>
      <c r="BD12" s="2550"/>
      <c r="BE12" s="2550"/>
      <c r="BF12" s="2550"/>
      <c r="BG12" s="2550"/>
      <c r="BH12" s="2550"/>
      <c r="BI12" s="2550"/>
      <c r="BJ12" s="2550"/>
      <c r="BK12" s="2550"/>
      <c r="BL12" s="2542"/>
      <c r="BM12" s="2543"/>
      <c r="BN12" s="2529" t="str">
        <f>_xlfn.IFS(AND(AT11=$AP$4,BI11=$AO$4),$AS$6,AND(AT11=$AP$5,BI11=$AO$4),$AS$6,AND(AT11=$AP$6,BI11=$AO$4),$AS$9,AND(AT11=$AP$4,BI11=$AO$5),$AS$3,AND(AT11=$AP$5,BI11=$AO$5),$AS$3,AND(AT11=$AP$6,BI11=$AO$5),$AS$9,AND(AT11=$AP$7,BI11=$AO$5),$AS$7,AND(AT11=$AP$4,BI11=$AO$6),$AS$3,AND(AT11=$AP$5,BI11=$AO$6),$AS$3,AND(AT11=$AP$6,BI11=$AO$6),$AS$9,BI11="","")</f>
        <v>（ブルー）</v>
      </c>
      <c r="BO12" s="2530"/>
      <c r="BP12" s="2531"/>
      <c r="BQ12" s="2559"/>
      <c r="BR12" s="2560"/>
      <c r="BS12" s="2560"/>
      <c r="BT12" s="2560"/>
      <c r="BU12" s="2560"/>
      <c r="BV12" s="2560"/>
      <c r="BW12" s="2560"/>
      <c r="BX12" s="2561"/>
      <c r="BY12" s="2559"/>
      <c r="BZ12" s="2560"/>
      <c r="CA12" s="2560"/>
      <c r="CB12" s="2560"/>
      <c r="CC12" s="2560"/>
      <c r="CD12" s="2561"/>
    </row>
    <row r="13" spans="1:82" ht="18" customHeight="1">
      <c r="A13" s="2522"/>
      <c r="B13" s="2523"/>
      <c r="C13" s="2524"/>
      <c r="D13" s="2524"/>
      <c r="E13" s="2527"/>
      <c r="F13" s="2527"/>
      <c r="G13" s="2527"/>
      <c r="H13" s="2527"/>
      <c r="I13" s="2527"/>
      <c r="J13" s="2527"/>
      <c r="K13" s="2524"/>
      <c r="L13" s="2524"/>
      <c r="M13" s="2524"/>
      <c r="N13" s="2524"/>
      <c r="O13" s="2524"/>
      <c r="P13" s="2524"/>
      <c r="Q13" s="2524"/>
      <c r="R13" s="2524"/>
      <c r="S13" s="2524"/>
      <c r="T13" s="2535">
        <v>1</v>
      </c>
      <c r="U13" s="2536"/>
      <c r="V13" s="2544" t="str">
        <f>_xlfn.IFS(Q13=$AO$4,$AN$4,Q13=$AO$5,$AN$5,Q13=$AO$6,$AN$5,,,Q13="","")</f>
        <v/>
      </c>
      <c r="W13" s="2545"/>
      <c r="X13" s="2546"/>
      <c r="Y13" s="2559"/>
      <c r="Z13" s="2560"/>
      <c r="AA13" s="2560"/>
      <c r="AB13" s="2560"/>
      <c r="AC13" s="2560"/>
      <c r="AD13" s="2560"/>
      <c r="AE13" s="2560"/>
      <c r="AF13" s="2561"/>
      <c r="AG13" s="2562"/>
      <c r="AH13" s="2563"/>
      <c r="AI13" s="2563"/>
      <c r="AJ13" s="2563"/>
      <c r="AK13" s="2563"/>
      <c r="AL13" s="2564"/>
      <c r="AQ13" s="681">
        <v>0.47916666666666702</v>
      </c>
      <c r="AT13" s="2557" t="s">
        <v>2756</v>
      </c>
      <c r="AU13" s="2549"/>
      <c r="AV13" s="2549"/>
      <c r="AW13" s="2547">
        <v>0.41666666666666702</v>
      </c>
      <c r="AX13" s="2547"/>
      <c r="AY13" s="2547"/>
      <c r="AZ13" s="2547">
        <v>0.39583333333333398</v>
      </c>
      <c r="BA13" s="2547"/>
      <c r="BB13" s="2547"/>
      <c r="BC13" s="2549" t="s">
        <v>3090</v>
      </c>
      <c r="BD13" s="2549"/>
      <c r="BE13" s="2549"/>
      <c r="BF13" s="2549"/>
      <c r="BG13" s="2549"/>
      <c r="BH13" s="2549"/>
      <c r="BI13" s="2549" t="s">
        <v>2754</v>
      </c>
      <c r="BJ13" s="2549"/>
      <c r="BK13" s="2549"/>
      <c r="BL13" s="2535">
        <v>1</v>
      </c>
      <c r="BM13" s="2536"/>
      <c r="BN13" s="2544" t="str">
        <f>_xlfn.IFS(BI13=$AO$4,$AN$4,BI13=$AO$5,$AN$5,BI13=$AO$6,$AN$5,,,BI13="","")</f>
        <v>山の家駐車場</v>
      </c>
      <c r="BO13" s="2545"/>
      <c r="BP13" s="2546"/>
      <c r="BQ13" s="2559"/>
      <c r="BR13" s="2560"/>
      <c r="BS13" s="2560"/>
      <c r="BT13" s="2560"/>
      <c r="BU13" s="2560"/>
      <c r="BV13" s="2560"/>
      <c r="BW13" s="2560"/>
      <c r="BX13" s="2561"/>
      <c r="BY13" s="2559"/>
      <c r="BZ13" s="2560"/>
      <c r="CA13" s="2560"/>
      <c r="CB13" s="2560"/>
      <c r="CC13" s="2560"/>
      <c r="CD13" s="2561"/>
    </row>
    <row r="14" spans="1:82" ht="18" customHeight="1">
      <c r="A14" s="2522"/>
      <c r="B14" s="2525"/>
      <c r="C14" s="2526"/>
      <c r="D14" s="2526"/>
      <c r="E14" s="2528"/>
      <c r="F14" s="2528"/>
      <c r="G14" s="2528"/>
      <c r="H14" s="2528"/>
      <c r="I14" s="2528"/>
      <c r="J14" s="2528"/>
      <c r="K14" s="2526"/>
      <c r="L14" s="2526"/>
      <c r="M14" s="2526"/>
      <c r="N14" s="2526"/>
      <c r="O14" s="2526"/>
      <c r="P14" s="2526"/>
      <c r="Q14" s="2526"/>
      <c r="R14" s="2526"/>
      <c r="S14" s="2526"/>
      <c r="T14" s="2542"/>
      <c r="U14" s="2543"/>
      <c r="V14" s="2529" t="str">
        <f>_xlfn.IFS(AND(B13=$AP$4,Q13=$AO$4),$AS$6,AND(B13=$AP$5,Q13=$AO$4),$AS$6,AND(B13=$AP$6,Q13=$AO$4),$AS$9,AND(B13=$AP$4,Q13=$AO$5),$AS$3,AND(B13=$AP$5,Q13=$AO$5),$AS$3,AND(B13=$AP$6,Q13=$AO$5),$AS$9,AND(B13=$AP$7,Q13=$AO$5),$AS$7,AND(B13=$AP$4,Q13=$AO$6),$AS$3,AND(B13=$AP$5,Q13=$AO$6),$AS$3,AND(B13=$AP$6,Q13=$AO$6),$AS$9,Q13="","")</f>
        <v/>
      </c>
      <c r="W14" s="2530"/>
      <c r="X14" s="2531"/>
      <c r="Y14" s="2559"/>
      <c r="Z14" s="2560"/>
      <c r="AA14" s="2560"/>
      <c r="AB14" s="2560"/>
      <c r="AC14" s="2560"/>
      <c r="AD14" s="2560"/>
      <c r="AE14" s="2560"/>
      <c r="AF14" s="2561"/>
      <c r="AG14" s="2562"/>
      <c r="AH14" s="2563"/>
      <c r="AI14" s="2563"/>
      <c r="AJ14" s="2563"/>
      <c r="AK14" s="2563"/>
      <c r="AL14" s="2564"/>
      <c r="AQ14" s="681">
        <v>0.5</v>
      </c>
      <c r="AT14" s="2558"/>
      <c r="AU14" s="2550"/>
      <c r="AV14" s="2550"/>
      <c r="AW14" s="2548"/>
      <c r="AX14" s="2548"/>
      <c r="AY14" s="2548"/>
      <c r="AZ14" s="2548"/>
      <c r="BA14" s="2548"/>
      <c r="BB14" s="2548"/>
      <c r="BC14" s="2550"/>
      <c r="BD14" s="2550"/>
      <c r="BE14" s="2550"/>
      <c r="BF14" s="2550"/>
      <c r="BG14" s="2550"/>
      <c r="BH14" s="2550"/>
      <c r="BI14" s="2550"/>
      <c r="BJ14" s="2550"/>
      <c r="BK14" s="2550"/>
      <c r="BL14" s="2542"/>
      <c r="BM14" s="2543"/>
      <c r="BN14" s="2529" t="str">
        <f>_xlfn.IFS(AND(AT13=$AP$4,BI13=$AO$4),$AS$6,AND(AT13=$AP$5,BI13=$AO$4),$AS$6,AND(AT13=$AP$6,BI13=$AO$4),$AS$9,AND(AT13=$AP$4,BI13=$AO$5),$AS$3,AND(AT13=$AP$5,BI13=$AO$5),$AS$3,AND(AT13=$AP$6,BI13=$AO$5),$AS$9,AND(AT13=$AP$7,BI13=$AO$5),$AS$7,AND(AT13=$AP$4,BI13=$AO$6),$AS$3,AND(AT13=$AP$5,BI13=$AO$6),$AS$3,AND(AT13=$AP$6,BI13=$AO$6),$AS$9,BI13="","")</f>
        <v>（ブルー）</v>
      </c>
      <c r="BO14" s="2530"/>
      <c r="BP14" s="2531"/>
      <c r="BQ14" s="2559"/>
      <c r="BR14" s="2560"/>
      <c r="BS14" s="2560"/>
      <c r="BT14" s="2560"/>
      <c r="BU14" s="2560"/>
      <c r="BV14" s="2560"/>
      <c r="BW14" s="2560"/>
      <c r="BX14" s="2561"/>
      <c r="BY14" s="2559"/>
      <c r="BZ14" s="2560"/>
      <c r="CA14" s="2560"/>
      <c r="CB14" s="2560"/>
      <c r="CC14" s="2560"/>
      <c r="CD14" s="2561"/>
    </row>
    <row r="15" spans="1:82" ht="18" customHeight="1">
      <c r="A15" s="2522"/>
      <c r="B15" s="2523"/>
      <c r="C15" s="2524"/>
      <c r="D15" s="2524"/>
      <c r="E15" s="2527"/>
      <c r="F15" s="2527"/>
      <c r="G15" s="2527"/>
      <c r="H15" s="2527"/>
      <c r="I15" s="2527"/>
      <c r="J15" s="2527"/>
      <c r="K15" s="2524"/>
      <c r="L15" s="2524"/>
      <c r="M15" s="2524"/>
      <c r="N15" s="2524"/>
      <c r="O15" s="2524"/>
      <c r="P15" s="2524"/>
      <c r="Q15" s="2524"/>
      <c r="R15" s="2524"/>
      <c r="S15" s="2524"/>
      <c r="T15" s="2535">
        <v>1</v>
      </c>
      <c r="U15" s="2536"/>
      <c r="V15" s="2544" t="str">
        <f>_xlfn.IFS(Q15=$AO$4,$AN$4,Q15=$AO$5,$AN$5,Q15=$AO$6,$AN$5,,,Q15="","")</f>
        <v/>
      </c>
      <c r="W15" s="2545"/>
      <c r="X15" s="2546"/>
      <c r="Y15" s="2559"/>
      <c r="Z15" s="2560"/>
      <c r="AA15" s="2560"/>
      <c r="AB15" s="2560"/>
      <c r="AC15" s="2560"/>
      <c r="AD15" s="2560"/>
      <c r="AE15" s="2560"/>
      <c r="AF15" s="2561"/>
      <c r="AG15" s="2562"/>
      <c r="AH15" s="2563"/>
      <c r="AI15" s="2563"/>
      <c r="AJ15" s="2563"/>
      <c r="AK15" s="2563"/>
      <c r="AL15" s="2564"/>
      <c r="AP15" s="575"/>
      <c r="AQ15" s="681">
        <v>0.52083333333333304</v>
      </c>
      <c r="AT15" s="2557" t="s">
        <v>2756</v>
      </c>
      <c r="AU15" s="2549"/>
      <c r="AV15" s="2549"/>
      <c r="AW15" s="2547">
        <v>0.41666666666666702</v>
      </c>
      <c r="AX15" s="2547"/>
      <c r="AY15" s="2547"/>
      <c r="AZ15" s="2547">
        <v>0.39583333333333398</v>
      </c>
      <c r="BA15" s="2547"/>
      <c r="BB15" s="2547"/>
      <c r="BC15" s="2549" t="s">
        <v>3091</v>
      </c>
      <c r="BD15" s="2549"/>
      <c r="BE15" s="2549"/>
      <c r="BF15" s="2549"/>
      <c r="BG15" s="2549"/>
      <c r="BH15" s="2549"/>
      <c r="BI15" s="2549" t="s">
        <v>2754</v>
      </c>
      <c r="BJ15" s="2549"/>
      <c r="BK15" s="2549"/>
      <c r="BL15" s="2535">
        <v>1</v>
      </c>
      <c r="BM15" s="2536"/>
      <c r="BN15" s="2544" t="str">
        <f>_xlfn.IFS(BI15=$AO$4,$AN$4,BI15=$AO$5,$AN$5,BI15=$AO$6,$AN$5,,,BI15="","")</f>
        <v>山の家駐車場</v>
      </c>
      <c r="BO15" s="2545"/>
      <c r="BP15" s="2546"/>
      <c r="BQ15" s="2559"/>
      <c r="BR15" s="2560"/>
      <c r="BS15" s="2560"/>
      <c r="BT15" s="2560"/>
      <c r="BU15" s="2560"/>
      <c r="BV15" s="2560"/>
      <c r="BW15" s="2560"/>
      <c r="BX15" s="2561"/>
      <c r="BY15" s="2559"/>
      <c r="BZ15" s="2560"/>
      <c r="CA15" s="2560"/>
      <c r="CB15" s="2560"/>
      <c r="CC15" s="2560"/>
      <c r="CD15" s="2561"/>
    </row>
    <row r="16" spans="1:82" ht="18" customHeight="1">
      <c r="A16" s="2522"/>
      <c r="B16" s="2525"/>
      <c r="C16" s="2526"/>
      <c r="D16" s="2526"/>
      <c r="E16" s="2528"/>
      <c r="F16" s="2528"/>
      <c r="G16" s="2528"/>
      <c r="H16" s="2528"/>
      <c r="I16" s="2528"/>
      <c r="J16" s="2528"/>
      <c r="K16" s="2526"/>
      <c r="L16" s="2526"/>
      <c r="M16" s="2526"/>
      <c r="N16" s="2526"/>
      <c r="O16" s="2526"/>
      <c r="P16" s="2526"/>
      <c r="Q16" s="2526"/>
      <c r="R16" s="2526"/>
      <c r="S16" s="2526"/>
      <c r="T16" s="2542"/>
      <c r="U16" s="2543"/>
      <c r="V16" s="2529" t="str">
        <f>_xlfn.IFS(AND(B15=$AP$4,Q15=$AO$4),$AS$6,AND(B15=$AP$5,Q15=$AO$4),$AS$6,AND(B15=$AP$6,Q15=$AO$4),$AS$9,AND(B15=$AP$4,Q15=$AO$5),$AS$3,AND(B15=$AP$5,Q15=$AO$5),$AS$3,AND(B15=$AP$6,Q15=$AO$5),$AS$9,AND(B15=$AP$7,Q15=$AO$5),$AS$7,AND(B15=$AP$4,Q15=$AO$6),$AS$3,AND(B15=$AP$5,Q15=$AO$6),$AS$3,AND(B15=$AP$6,Q15=$AO$6),$AS$9,Q15="","")</f>
        <v/>
      </c>
      <c r="W16" s="2530"/>
      <c r="X16" s="2531"/>
      <c r="Y16" s="2559"/>
      <c r="Z16" s="2560"/>
      <c r="AA16" s="2560"/>
      <c r="AB16" s="2560"/>
      <c r="AC16" s="2560"/>
      <c r="AD16" s="2560"/>
      <c r="AE16" s="2560"/>
      <c r="AF16" s="2561"/>
      <c r="AG16" s="2562"/>
      <c r="AH16" s="2563"/>
      <c r="AI16" s="2563"/>
      <c r="AJ16" s="2563"/>
      <c r="AK16" s="2563"/>
      <c r="AL16" s="2564"/>
      <c r="AP16" s="575"/>
      <c r="AQ16" s="681">
        <v>0.54166666666666696</v>
      </c>
      <c r="AT16" s="2558"/>
      <c r="AU16" s="2550"/>
      <c r="AV16" s="2550"/>
      <c r="AW16" s="2548"/>
      <c r="AX16" s="2548"/>
      <c r="AY16" s="2548"/>
      <c r="AZ16" s="2548"/>
      <c r="BA16" s="2548"/>
      <c r="BB16" s="2548"/>
      <c r="BC16" s="2550"/>
      <c r="BD16" s="2550"/>
      <c r="BE16" s="2550"/>
      <c r="BF16" s="2550"/>
      <c r="BG16" s="2550"/>
      <c r="BH16" s="2550"/>
      <c r="BI16" s="2550"/>
      <c r="BJ16" s="2550"/>
      <c r="BK16" s="2550"/>
      <c r="BL16" s="2542"/>
      <c r="BM16" s="2543"/>
      <c r="BN16" s="2529" t="str">
        <f>_xlfn.IFS(AND(AT15=$AP$4,BI15=$AO$4),$AS$6,AND(AT15=$AP$5,BI15=$AO$4),$AS$6,AND(AT15=$AP$6,BI15=$AO$4),$AS$9,AND(AT15=$AP$4,BI15=$AO$5),$AS$3,AND(AT15=$AP$5,BI15=$AO$5),$AS$3,AND(AT15=$AP$6,BI15=$AO$5),$AS$9,AND(AT15=$AP$7,BI15=$AO$5),$AS$7,AND(AT15=$AP$4,BI15=$AO$6),$AS$3,AND(AT15=$AP$5,BI15=$AO$6),$AS$3,AND(AT15=$AP$6,BI15=$AO$6),$AS$9,BI15="","")</f>
        <v>（ブルー）</v>
      </c>
      <c r="BO16" s="2530"/>
      <c r="BP16" s="2531"/>
      <c r="BQ16" s="2559"/>
      <c r="BR16" s="2560"/>
      <c r="BS16" s="2560"/>
      <c r="BT16" s="2560"/>
      <c r="BU16" s="2560"/>
      <c r="BV16" s="2560"/>
      <c r="BW16" s="2560"/>
      <c r="BX16" s="2561"/>
      <c r="BY16" s="2559"/>
      <c r="BZ16" s="2560"/>
      <c r="CA16" s="2560"/>
      <c r="CB16" s="2560"/>
      <c r="CC16" s="2560"/>
      <c r="CD16" s="2561"/>
    </row>
    <row r="17" spans="1:94" ht="18" customHeight="1">
      <c r="A17" s="2522"/>
      <c r="B17" s="2532"/>
      <c r="C17" s="2524"/>
      <c r="D17" s="2524"/>
      <c r="E17" s="2527"/>
      <c r="F17" s="2527"/>
      <c r="G17" s="2527"/>
      <c r="H17" s="2527"/>
      <c r="I17" s="2527"/>
      <c r="J17" s="2527"/>
      <c r="K17" s="2524"/>
      <c r="L17" s="2524"/>
      <c r="M17" s="2524"/>
      <c r="N17" s="2524"/>
      <c r="O17" s="2524"/>
      <c r="P17" s="2524"/>
      <c r="Q17" s="2524"/>
      <c r="R17" s="2524"/>
      <c r="S17" s="2524"/>
      <c r="T17" s="2535">
        <v>1</v>
      </c>
      <c r="U17" s="2536"/>
      <c r="V17" s="2544" t="str">
        <f>_xlfn.IFS(Q17=$AO$4,$AN$4,Q17=$AO$5,$AN$5,Q17=$AO$6,$AN$5,,,Q17="","")</f>
        <v/>
      </c>
      <c r="W17" s="2545"/>
      <c r="X17" s="2546"/>
      <c r="Y17" s="2559"/>
      <c r="Z17" s="2560"/>
      <c r="AA17" s="2560"/>
      <c r="AB17" s="2560"/>
      <c r="AC17" s="2560"/>
      <c r="AD17" s="2560"/>
      <c r="AE17" s="2560"/>
      <c r="AF17" s="2561"/>
      <c r="AG17" s="2562"/>
      <c r="AH17" s="2563"/>
      <c r="AI17" s="2563"/>
      <c r="AJ17" s="2563"/>
      <c r="AK17" s="2563"/>
      <c r="AL17" s="2564"/>
      <c r="AP17" s="977"/>
      <c r="AQ17" s="681">
        <v>0.5625</v>
      </c>
      <c r="AT17" s="2557" t="s">
        <v>2753</v>
      </c>
      <c r="AU17" s="2549"/>
      <c r="AV17" s="2549"/>
      <c r="AW17" s="2547">
        <v>0.41666666666666702</v>
      </c>
      <c r="AX17" s="2547"/>
      <c r="AY17" s="2547"/>
      <c r="AZ17" s="2547">
        <v>0.70833333333333304</v>
      </c>
      <c r="BA17" s="2547"/>
      <c r="BB17" s="2547"/>
      <c r="BC17" s="2549" t="s">
        <v>3092</v>
      </c>
      <c r="BD17" s="2549"/>
      <c r="BE17" s="2549"/>
      <c r="BF17" s="2549"/>
      <c r="BG17" s="2549"/>
      <c r="BH17" s="2549"/>
      <c r="BI17" s="2549" t="s">
        <v>2754</v>
      </c>
      <c r="BJ17" s="2549"/>
      <c r="BK17" s="2549"/>
      <c r="BL17" s="2535">
        <v>1</v>
      </c>
      <c r="BM17" s="2536"/>
      <c r="BN17" s="2544" t="str">
        <f>_xlfn.IFS(BI17=$AO$4,$AN$4,BI17=$AO$5,$AN$5,BI17=$AO$6,$AN$5,,,BI17="","")</f>
        <v>山の家駐車場</v>
      </c>
      <c r="BO17" s="2545"/>
      <c r="BP17" s="2546"/>
      <c r="BQ17" s="2559"/>
      <c r="BR17" s="2560"/>
      <c r="BS17" s="2560"/>
      <c r="BT17" s="2560"/>
      <c r="BU17" s="2560"/>
      <c r="BV17" s="2560"/>
      <c r="BW17" s="2560"/>
      <c r="BX17" s="2561"/>
      <c r="BY17" s="2559"/>
      <c r="BZ17" s="2560"/>
      <c r="CA17" s="2560"/>
      <c r="CB17" s="2560"/>
      <c r="CC17" s="2560"/>
      <c r="CD17" s="2561"/>
    </row>
    <row r="18" spans="1:94" ht="18" customHeight="1" thickBot="1">
      <c r="A18" s="2522"/>
      <c r="B18" s="2533"/>
      <c r="C18" s="2534"/>
      <c r="D18" s="2534"/>
      <c r="E18" s="2528"/>
      <c r="F18" s="2528"/>
      <c r="G18" s="2528"/>
      <c r="H18" s="2528"/>
      <c r="I18" s="2528"/>
      <c r="J18" s="2528"/>
      <c r="K18" s="2534"/>
      <c r="L18" s="2534"/>
      <c r="M18" s="2534"/>
      <c r="N18" s="2534"/>
      <c r="O18" s="2534"/>
      <c r="P18" s="2534"/>
      <c r="Q18" s="2534"/>
      <c r="R18" s="2534"/>
      <c r="S18" s="2534"/>
      <c r="T18" s="2537"/>
      <c r="U18" s="2538"/>
      <c r="V18" s="2569" t="str">
        <f>_xlfn.IFS(AND(B17=$AP$4,Q17=$AO$4),$AS$6,AND(B17=$AP$5,Q17=$AO$4),$AS$6,AND(B17=$AP$6,Q17=$AO$4),$AS$9,AND(B17=$AP$4,Q17=$AO$5),$AS$3,AND(B17=$AP$5,Q17=$AO$5),$AS$3,AND(B17=$AP$6,Q17=$AO$5),$AS$9,AND(B17=$AP$7,Q17=$AO$5),$AS$7,AND(B17=$AP$4,Q17=$AO$6),$AS$3,AND(B17=$AP$5,Q17=$AO$6),$AS$3,AND(B17=$AP$6,Q17=$AO$6),$AS$9,Q17="","")</f>
        <v/>
      </c>
      <c r="W18" s="2570"/>
      <c r="X18" s="2571"/>
      <c r="Y18" s="2566"/>
      <c r="Z18" s="2567"/>
      <c r="AA18" s="2567"/>
      <c r="AB18" s="2567"/>
      <c r="AC18" s="2567"/>
      <c r="AD18" s="2567"/>
      <c r="AE18" s="2567"/>
      <c r="AF18" s="2568"/>
      <c r="AG18" s="2572"/>
      <c r="AH18" s="2573"/>
      <c r="AI18" s="2573"/>
      <c r="AJ18" s="2573"/>
      <c r="AK18" s="2573"/>
      <c r="AL18" s="2574"/>
      <c r="AQ18" s="681">
        <v>0.58333333333333304</v>
      </c>
      <c r="AT18" s="2575"/>
      <c r="AU18" s="2565"/>
      <c r="AV18" s="2565"/>
      <c r="AW18" s="2576"/>
      <c r="AX18" s="2576"/>
      <c r="AY18" s="2576"/>
      <c r="AZ18" s="2576"/>
      <c r="BA18" s="2576"/>
      <c r="BB18" s="2576"/>
      <c r="BC18" s="2565"/>
      <c r="BD18" s="2565"/>
      <c r="BE18" s="2565"/>
      <c r="BF18" s="2565"/>
      <c r="BG18" s="2565"/>
      <c r="BH18" s="2565"/>
      <c r="BI18" s="2565"/>
      <c r="BJ18" s="2565"/>
      <c r="BK18" s="2565"/>
      <c r="BL18" s="2537"/>
      <c r="BM18" s="2538"/>
      <c r="BN18" s="2569" t="str">
        <f>_xlfn.IFS(AND(AT17=$AP$4,BI17=$AO$4),$AS$6,AND(AT17=$AP$5,BI17=$AO$4),$AS$6,AND(AT17=$AP$6,BI17=$AO$4),$AS$9,AND(AT17=$AP$4,BI17=$AO$5),$AS$3,AND(AT17=$AP$5,BI17=$AO$5),$AS$3,AND(AT17=$AP$6,BI17=$AO$5),$AS$9,AND(AT17=$AP$7,BI17=$AO$5),$AS$7,AND(AT17=$AP$4,BI17=$AO$6),$AS$3,AND(AT17=$AP$5,BI17=$AO$6),$AS$3,AND(AT17=$AP$6,BI17=$AO$6),$AS$9,BI17="","")</f>
        <v>（ブルー）</v>
      </c>
      <c r="BO18" s="2570"/>
      <c r="BP18" s="2571"/>
      <c r="BQ18" s="2566"/>
      <c r="BR18" s="2567"/>
      <c r="BS18" s="2567"/>
      <c r="BT18" s="2567"/>
      <c r="BU18" s="2567"/>
      <c r="BV18" s="2567"/>
      <c r="BW18" s="2567"/>
      <c r="BX18" s="2568"/>
      <c r="BY18" s="2566"/>
      <c r="BZ18" s="2567"/>
      <c r="CA18" s="2567"/>
      <c r="CB18" s="2567"/>
      <c r="CC18" s="2567"/>
      <c r="CD18" s="2568"/>
    </row>
    <row r="19" spans="1:94" ht="18" customHeight="1">
      <c r="A19" s="2577" t="s">
        <v>3183</v>
      </c>
      <c r="B19" s="2580" t="s">
        <v>3181</v>
      </c>
      <c r="C19" s="2581"/>
      <c r="D19" s="2581"/>
      <c r="E19" s="2582"/>
      <c r="F19" s="2582"/>
      <c r="G19" s="2582"/>
      <c r="H19" s="2582"/>
      <c r="I19" s="2582"/>
      <c r="J19" s="2582"/>
      <c r="K19" s="2581"/>
      <c r="L19" s="2581"/>
      <c r="M19" s="2581"/>
      <c r="N19" s="2581"/>
      <c r="O19" s="2581"/>
      <c r="P19" s="2581"/>
      <c r="Q19" s="2581"/>
      <c r="R19" s="2581"/>
      <c r="S19" s="2581"/>
      <c r="T19" s="2604" t="s">
        <v>2895</v>
      </c>
      <c r="U19" s="2605"/>
      <c r="V19" s="2544"/>
      <c r="W19" s="2545"/>
      <c r="X19" s="2546"/>
      <c r="Y19" s="2586"/>
      <c r="Z19" s="2587"/>
      <c r="AA19" s="2587"/>
      <c r="AB19" s="2587"/>
      <c r="AC19" s="2587"/>
      <c r="AD19" s="2587"/>
      <c r="AE19" s="2587"/>
      <c r="AF19" s="2588"/>
      <c r="AG19" s="2606"/>
      <c r="AH19" s="2607"/>
      <c r="AI19" s="2607"/>
      <c r="AJ19" s="2607"/>
      <c r="AK19" s="2607"/>
      <c r="AL19" s="2608"/>
      <c r="AQ19" s="681">
        <v>0.60416666666666696</v>
      </c>
      <c r="AT19" s="2609" t="s">
        <v>2753</v>
      </c>
      <c r="AU19" s="2598"/>
      <c r="AV19" s="2598"/>
      <c r="AW19" s="2597">
        <v>0.45833333333333398</v>
      </c>
      <c r="AX19" s="2597"/>
      <c r="AY19" s="2597"/>
      <c r="AZ19" s="2597">
        <v>0.66666666666666696</v>
      </c>
      <c r="BA19" s="2597"/>
      <c r="BB19" s="2597"/>
      <c r="BC19" s="2598" t="s">
        <v>3093</v>
      </c>
      <c r="BD19" s="2598"/>
      <c r="BE19" s="2598"/>
      <c r="BF19" s="2598"/>
      <c r="BG19" s="2598"/>
      <c r="BH19" s="2598"/>
      <c r="BI19" s="2598" t="s">
        <v>2754</v>
      </c>
      <c r="BJ19" s="2598"/>
      <c r="BK19" s="2598"/>
      <c r="BL19" s="2599">
        <v>1</v>
      </c>
      <c r="BM19" s="2600"/>
      <c r="BN19" s="2601" t="s">
        <v>2880</v>
      </c>
      <c r="BO19" s="2602"/>
      <c r="BP19" s="2603"/>
      <c r="BQ19" s="2586"/>
      <c r="BR19" s="2587"/>
      <c r="BS19" s="2587"/>
      <c r="BT19" s="2587"/>
      <c r="BU19" s="2587"/>
      <c r="BV19" s="2587"/>
      <c r="BW19" s="2587"/>
      <c r="BX19" s="2588"/>
      <c r="BY19" s="2586"/>
      <c r="BZ19" s="2587"/>
      <c r="CA19" s="2587"/>
      <c r="CB19" s="2587"/>
      <c r="CC19" s="2587"/>
      <c r="CD19" s="2588"/>
    </row>
    <row r="20" spans="1:94" ht="18" customHeight="1">
      <c r="A20" s="2578"/>
      <c r="B20" s="2523"/>
      <c r="C20" s="2524"/>
      <c r="D20" s="2524"/>
      <c r="E20" s="2527"/>
      <c r="F20" s="2527"/>
      <c r="G20" s="2527"/>
      <c r="H20" s="2527"/>
      <c r="I20" s="2527"/>
      <c r="J20" s="2527"/>
      <c r="K20" s="2524"/>
      <c r="L20" s="2524"/>
      <c r="M20" s="2524"/>
      <c r="N20" s="2524"/>
      <c r="O20" s="2524"/>
      <c r="P20" s="2524"/>
      <c r="Q20" s="2524"/>
      <c r="R20" s="2524"/>
      <c r="S20" s="2524"/>
      <c r="T20" s="2592"/>
      <c r="U20" s="2593"/>
      <c r="V20" s="2529"/>
      <c r="W20" s="2530"/>
      <c r="X20" s="2531"/>
      <c r="Y20" s="2539"/>
      <c r="Z20" s="2540"/>
      <c r="AA20" s="2540"/>
      <c r="AB20" s="2540"/>
      <c r="AC20" s="2540"/>
      <c r="AD20" s="2540"/>
      <c r="AE20" s="2540"/>
      <c r="AF20" s="2541"/>
      <c r="AG20" s="2551"/>
      <c r="AH20" s="2552"/>
      <c r="AI20" s="2552"/>
      <c r="AJ20" s="2552"/>
      <c r="AK20" s="2552"/>
      <c r="AL20" s="2553"/>
      <c r="AP20" s="575"/>
      <c r="AQ20" s="681">
        <v>0.625</v>
      </c>
      <c r="AT20" s="2557"/>
      <c r="AU20" s="2549"/>
      <c r="AV20" s="2549"/>
      <c r="AW20" s="2548"/>
      <c r="AX20" s="2548"/>
      <c r="AY20" s="2548"/>
      <c r="AZ20" s="2548"/>
      <c r="BA20" s="2548"/>
      <c r="BB20" s="2548"/>
      <c r="BC20" s="2549"/>
      <c r="BD20" s="2549"/>
      <c r="BE20" s="2549"/>
      <c r="BF20" s="2549"/>
      <c r="BG20" s="2549"/>
      <c r="BH20" s="2549"/>
      <c r="BI20" s="2549"/>
      <c r="BJ20" s="2549"/>
      <c r="BK20" s="2549"/>
      <c r="BL20" s="2535"/>
      <c r="BM20" s="2536"/>
      <c r="BN20" s="2589" t="s">
        <v>3094</v>
      </c>
      <c r="BO20" s="2590"/>
      <c r="BP20" s="2591"/>
      <c r="BQ20" s="2539"/>
      <c r="BR20" s="2540"/>
      <c r="BS20" s="2540"/>
      <c r="BT20" s="2540"/>
      <c r="BU20" s="2540"/>
      <c r="BV20" s="2540"/>
      <c r="BW20" s="2540"/>
      <c r="BX20" s="2541"/>
      <c r="BY20" s="2539"/>
      <c r="BZ20" s="2540"/>
      <c r="CA20" s="2540"/>
      <c r="CB20" s="2540"/>
      <c r="CC20" s="2540"/>
      <c r="CD20" s="2541"/>
    </row>
    <row r="21" spans="1:94" ht="18" customHeight="1">
      <c r="A21" s="2578"/>
      <c r="B21" s="2580"/>
      <c r="C21" s="2581"/>
      <c r="D21" s="2581"/>
      <c r="E21" s="2527"/>
      <c r="F21" s="2527"/>
      <c r="G21" s="2527"/>
      <c r="H21" s="2527"/>
      <c r="I21" s="2527"/>
      <c r="J21" s="2527"/>
      <c r="K21" s="2524"/>
      <c r="L21" s="2524"/>
      <c r="M21" s="2524"/>
      <c r="N21" s="2524"/>
      <c r="O21" s="2524"/>
      <c r="P21" s="2524"/>
      <c r="Q21" s="2524"/>
      <c r="R21" s="2524"/>
      <c r="S21" s="2524"/>
      <c r="T21" s="2592" t="s">
        <v>2895</v>
      </c>
      <c r="U21" s="2593"/>
      <c r="V21" s="2594"/>
      <c r="W21" s="2595"/>
      <c r="X21" s="2596"/>
      <c r="Y21" s="2559"/>
      <c r="Z21" s="2560"/>
      <c r="AA21" s="2560"/>
      <c r="AB21" s="2560"/>
      <c r="AC21" s="2560"/>
      <c r="AD21" s="2560"/>
      <c r="AE21" s="2560"/>
      <c r="AF21" s="2561"/>
      <c r="AG21" s="2562"/>
      <c r="AH21" s="2563"/>
      <c r="AI21" s="2563"/>
      <c r="AJ21" s="2563"/>
      <c r="AK21" s="2563"/>
      <c r="AL21" s="2564"/>
      <c r="AP21" s="575"/>
      <c r="AQ21" s="681">
        <v>0.64583333333333304</v>
      </c>
      <c r="AT21" s="2557" t="s">
        <v>3095</v>
      </c>
      <c r="AU21" s="2549"/>
      <c r="AV21" s="2549"/>
      <c r="AW21" s="2547">
        <v>0.41666666666666702</v>
      </c>
      <c r="AX21" s="2547"/>
      <c r="AY21" s="2547"/>
      <c r="AZ21" s="2547">
        <v>0.4375</v>
      </c>
      <c r="BA21" s="2547"/>
      <c r="BB21" s="2547"/>
      <c r="BC21" s="2549" t="s">
        <v>3096</v>
      </c>
      <c r="BD21" s="2549"/>
      <c r="BE21" s="2549"/>
      <c r="BF21" s="2549"/>
      <c r="BG21" s="2549"/>
      <c r="BH21" s="2549"/>
      <c r="BI21" s="2549" t="s">
        <v>2919</v>
      </c>
      <c r="BJ21" s="2549"/>
      <c r="BK21" s="2549"/>
      <c r="BL21" s="2535">
        <v>3</v>
      </c>
      <c r="BM21" s="2536"/>
      <c r="BN21" s="2594" t="s">
        <v>2880</v>
      </c>
      <c r="BO21" s="2595"/>
      <c r="BP21" s="2596"/>
      <c r="BQ21" s="2559"/>
      <c r="BR21" s="2560"/>
      <c r="BS21" s="2560"/>
      <c r="BT21" s="2560"/>
      <c r="BU21" s="2560"/>
      <c r="BV21" s="2560"/>
      <c r="BW21" s="2560"/>
      <c r="BX21" s="2561"/>
      <c r="BY21" s="2559"/>
      <c r="BZ21" s="2560"/>
      <c r="CA21" s="2560"/>
      <c r="CB21" s="2560"/>
      <c r="CC21" s="2560"/>
      <c r="CD21" s="2561"/>
    </row>
    <row r="22" spans="1:94" ht="18" customHeight="1">
      <c r="A22" s="2578"/>
      <c r="B22" s="2523"/>
      <c r="C22" s="2524"/>
      <c r="D22" s="2524"/>
      <c r="E22" s="2528"/>
      <c r="F22" s="2528"/>
      <c r="G22" s="2528"/>
      <c r="H22" s="2528"/>
      <c r="I22" s="2528"/>
      <c r="J22" s="2528"/>
      <c r="K22" s="2524"/>
      <c r="L22" s="2524"/>
      <c r="M22" s="2524"/>
      <c r="N22" s="2524"/>
      <c r="O22" s="2524"/>
      <c r="P22" s="2524"/>
      <c r="Q22" s="2524"/>
      <c r="R22" s="2524"/>
      <c r="S22" s="2524"/>
      <c r="T22" s="2592"/>
      <c r="U22" s="2593"/>
      <c r="V22" s="2589"/>
      <c r="W22" s="2590"/>
      <c r="X22" s="2591"/>
      <c r="Y22" s="2559"/>
      <c r="Z22" s="2560"/>
      <c r="AA22" s="2560"/>
      <c r="AB22" s="2560"/>
      <c r="AC22" s="2560"/>
      <c r="AD22" s="2560"/>
      <c r="AE22" s="2560"/>
      <c r="AF22" s="2561"/>
      <c r="AG22" s="2562"/>
      <c r="AH22" s="2563"/>
      <c r="AI22" s="2563"/>
      <c r="AJ22" s="2563"/>
      <c r="AK22" s="2563"/>
      <c r="AL22" s="2564"/>
      <c r="AP22" s="977"/>
      <c r="AQ22" s="681">
        <v>0.66666666666666696</v>
      </c>
      <c r="AT22" s="2557"/>
      <c r="AU22" s="2549"/>
      <c r="AV22" s="2549"/>
      <c r="AW22" s="2548"/>
      <c r="AX22" s="2548"/>
      <c r="AY22" s="2548"/>
      <c r="AZ22" s="2548"/>
      <c r="BA22" s="2548"/>
      <c r="BB22" s="2548"/>
      <c r="BC22" s="2549"/>
      <c r="BD22" s="2549"/>
      <c r="BE22" s="2549"/>
      <c r="BF22" s="2549"/>
      <c r="BG22" s="2549"/>
      <c r="BH22" s="2549"/>
      <c r="BI22" s="2549"/>
      <c r="BJ22" s="2549"/>
      <c r="BK22" s="2549"/>
      <c r="BL22" s="2535"/>
      <c r="BM22" s="2536"/>
      <c r="BN22" s="2589" t="s">
        <v>2879</v>
      </c>
      <c r="BO22" s="2590"/>
      <c r="BP22" s="2591"/>
      <c r="BQ22" s="2559"/>
      <c r="BR22" s="2560"/>
      <c r="BS22" s="2560"/>
      <c r="BT22" s="2560"/>
      <c r="BU22" s="2560"/>
      <c r="BV22" s="2560"/>
      <c r="BW22" s="2560"/>
      <c r="BX22" s="2561"/>
      <c r="BY22" s="2559"/>
      <c r="BZ22" s="2560"/>
      <c r="CA22" s="2560"/>
      <c r="CB22" s="2560"/>
      <c r="CC22" s="2560"/>
      <c r="CD22" s="2561"/>
    </row>
    <row r="23" spans="1:94" ht="18" customHeight="1">
      <c r="A23" s="2578"/>
      <c r="B23" s="2580"/>
      <c r="C23" s="2581"/>
      <c r="D23" s="2581"/>
      <c r="E23" s="2527"/>
      <c r="F23" s="2527"/>
      <c r="G23" s="2527"/>
      <c r="H23" s="2527"/>
      <c r="I23" s="2527"/>
      <c r="J23" s="2527"/>
      <c r="K23" s="2524"/>
      <c r="L23" s="2524"/>
      <c r="M23" s="2524"/>
      <c r="N23" s="2524"/>
      <c r="O23" s="2524"/>
      <c r="P23" s="2524"/>
      <c r="Q23" s="2524"/>
      <c r="R23" s="2524"/>
      <c r="S23" s="2524"/>
      <c r="T23" s="2592" t="s">
        <v>2895</v>
      </c>
      <c r="U23" s="2593"/>
      <c r="V23" s="2594"/>
      <c r="W23" s="2595"/>
      <c r="X23" s="2596"/>
      <c r="Y23" s="2559"/>
      <c r="Z23" s="2560"/>
      <c r="AA23" s="2560"/>
      <c r="AB23" s="2560"/>
      <c r="AC23" s="2560"/>
      <c r="AD23" s="2560"/>
      <c r="AE23" s="2560"/>
      <c r="AF23" s="2561"/>
      <c r="AG23" s="2562"/>
      <c r="AH23" s="2563"/>
      <c r="AI23" s="2563"/>
      <c r="AJ23" s="2563"/>
      <c r="AK23" s="2563"/>
      <c r="AL23" s="2564"/>
      <c r="AQ23" s="681">
        <v>0.6875</v>
      </c>
      <c r="AT23" s="2557" t="s">
        <v>3095</v>
      </c>
      <c r="AU23" s="2549"/>
      <c r="AV23" s="2549"/>
      <c r="AW23" s="2547">
        <v>0.4375</v>
      </c>
      <c r="AX23" s="2547"/>
      <c r="AY23" s="2547"/>
      <c r="AZ23" s="2547">
        <v>0.45833333333333398</v>
      </c>
      <c r="BA23" s="2547"/>
      <c r="BB23" s="2547"/>
      <c r="BC23" s="2549" t="s">
        <v>3097</v>
      </c>
      <c r="BD23" s="2549"/>
      <c r="BE23" s="2549"/>
      <c r="BF23" s="2549"/>
      <c r="BG23" s="2549"/>
      <c r="BH23" s="2549"/>
      <c r="BI23" s="2549" t="s">
        <v>2754</v>
      </c>
      <c r="BJ23" s="2549"/>
      <c r="BK23" s="2549"/>
      <c r="BL23" s="2535">
        <v>1</v>
      </c>
      <c r="BM23" s="2536"/>
      <c r="BN23" s="2594" t="s">
        <v>3098</v>
      </c>
      <c r="BO23" s="2595"/>
      <c r="BP23" s="2596"/>
      <c r="BQ23" s="2559"/>
      <c r="BR23" s="2560"/>
      <c r="BS23" s="2560"/>
      <c r="BT23" s="2560"/>
      <c r="BU23" s="2560"/>
      <c r="BV23" s="2560"/>
      <c r="BW23" s="2560"/>
      <c r="BX23" s="2561"/>
      <c r="BY23" s="2559"/>
      <c r="BZ23" s="2560"/>
      <c r="CA23" s="2560"/>
      <c r="CB23" s="2560"/>
      <c r="CC23" s="2560"/>
      <c r="CD23" s="2561"/>
    </row>
    <row r="24" spans="1:94" ht="18" customHeight="1">
      <c r="A24" s="2578"/>
      <c r="B24" s="2523"/>
      <c r="C24" s="2524"/>
      <c r="D24" s="2524"/>
      <c r="E24" s="2528"/>
      <c r="F24" s="2528"/>
      <c r="G24" s="2528"/>
      <c r="H24" s="2528"/>
      <c r="I24" s="2528"/>
      <c r="J24" s="2528"/>
      <c r="K24" s="2524"/>
      <c r="L24" s="2524"/>
      <c r="M24" s="2524"/>
      <c r="N24" s="2524"/>
      <c r="O24" s="2524"/>
      <c r="P24" s="2524"/>
      <c r="Q24" s="2524"/>
      <c r="R24" s="2524"/>
      <c r="S24" s="2524"/>
      <c r="T24" s="2592"/>
      <c r="U24" s="2593"/>
      <c r="V24" s="2589"/>
      <c r="W24" s="2590"/>
      <c r="X24" s="2591"/>
      <c r="Y24" s="2559"/>
      <c r="Z24" s="2560"/>
      <c r="AA24" s="2560"/>
      <c r="AB24" s="2560"/>
      <c r="AC24" s="2560"/>
      <c r="AD24" s="2560"/>
      <c r="AE24" s="2560"/>
      <c r="AF24" s="2561"/>
      <c r="AG24" s="2562"/>
      <c r="AH24" s="2563"/>
      <c r="AI24" s="2563"/>
      <c r="AJ24" s="2563"/>
      <c r="AK24" s="2563"/>
      <c r="AL24" s="2564"/>
      <c r="AQ24" s="681">
        <v>0.70833333333333304</v>
      </c>
      <c r="AT24" s="2557"/>
      <c r="AU24" s="2549"/>
      <c r="AV24" s="2549"/>
      <c r="AW24" s="2548"/>
      <c r="AX24" s="2548"/>
      <c r="AY24" s="2548"/>
      <c r="AZ24" s="2548"/>
      <c r="BA24" s="2548"/>
      <c r="BB24" s="2548"/>
      <c r="BC24" s="2549"/>
      <c r="BD24" s="2549"/>
      <c r="BE24" s="2549"/>
      <c r="BF24" s="2549"/>
      <c r="BG24" s="2549"/>
      <c r="BH24" s="2549"/>
      <c r="BI24" s="2549"/>
      <c r="BJ24" s="2549"/>
      <c r="BK24" s="2549"/>
      <c r="BL24" s="2535"/>
      <c r="BM24" s="2536"/>
      <c r="BN24" s="2589" t="s">
        <v>2879</v>
      </c>
      <c r="BO24" s="2590"/>
      <c r="BP24" s="2591"/>
      <c r="BQ24" s="2559"/>
      <c r="BR24" s="2560"/>
      <c r="BS24" s="2560"/>
      <c r="BT24" s="2560"/>
      <c r="BU24" s="2560"/>
      <c r="BV24" s="2560"/>
      <c r="BW24" s="2560"/>
      <c r="BX24" s="2561"/>
      <c r="BY24" s="2559"/>
      <c r="BZ24" s="2560"/>
      <c r="CA24" s="2560"/>
      <c r="CB24" s="2560"/>
      <c r="CC24" s="2560"/>
      <c r="CD24" s="2561"/>
    </row>
    <row r="25" spans="1:94" ht="18" customHeight="1">
      <c r="A25" s="2578"/>
      <c r="B25" s="2580"/>
      <c r="C25" s="2581"/>
      <c r="D25" s="2581"/>
      <c r="E25" s="2527"/>
      <c r="F25" s="2527"/>
      <c r="G25" s="2527"/>
      <c r="H25" s="2527"/>
      <c r="I25" s="2527"/>
      <c r="J25" s="2527"/>
      <c r="K25" s="2524"/>
      <c r="L25" s="2524"/>
      <c r="M25" s="2524"/>
      <c r="N25" s="2524"/>
      <c r="O25" s="2524"/>
      <c r="P25" s="2524"/>
      <c r="Q25" s="2524"/>
      <c r="R25" s="2524"/>
      <c r="S25" s="2524"/>
      <c r="T25" s="2592" t="s">
        <v>2895</v>
      </c>
      <c r="U25" s="2593"/>
      <c r="V25" s="2594"/>
      <c r="W25" s="2595"/>
      <c r="X25" s="2596"/>
      <c r="Y25" s="2559"/>
      <c r="Z25" s="2560"/>
      <c r="AA25" s="2560"/>
      <c r="AB25" s="2560"/>
      <c r="AC25" s="2560"/>
      <c r="AD25" s="2560"/>
      <c r="AE25" s="2560"/>
      <c r="AF25" s="2561"/>
      <c r="AG25" s="2562"/>
      <c r="AH25" s="2563"/>
      <c r="AI25" s="2563"/>
      <c r="AJ25" s="2563"/>
      <c r="AK25" s="2563"/>
      <c r="AL25" s="2564"/>
      <c r="AQ25" s="681">
        <v>0.6875</v>
      </c>
      <c r="AT25" s="2557"/>
      <c r="AU25" s="2549"/>
      <c r="AV25" s="2549"/>
      <c r="AW25" s="2547"/>
      <c r="AX25" s="2547"/>
      <c r="AY25" s="2547"/>
      <c r="AZ25" s="2547"/>
      <c r="BA25" s="2547"/>
      <c r="BB25" s="2547"/>
      <c r="BC25" s="2549"/>
      <c r="BD25" s="2549"/>
      <c r="BE25" s="2549"/>
      <c r="BF25" s="2549"/>
      <c r="BG25" s="2549"/>
      <c r="BH25" s="2549"/>
      <c r="BI25" s="2549"/>
      <c r="BJ25" s="2549"/>
      <c r="BK25" s="2549"/>
      <c r="BL25" s="2535" t="s">
        <v>2895</v>
      </c>
      <c r="BM25" s="2536"/>
      <c r="BN25" s="2594"/>
      <c r="BO25" s="2595"/>
      <c r="BP25" s="2596"/>
      <c r="BQ25" s="2559"/>
      <c r="BR25" s="2560"/>
      <c r="BS25" s="2560"/>
      <c r="BT25" s="2560"/>
      <c r="BU25" s="2560"/>
      <c r="BV25" s="2560"/>
      <c r="BW25" s="2560"/>
      <c r="BX25" s="2561"/>
      <c r="BY25" s="2559"/>
      <c r="BZ25" s="2560"/>
      <c r="CA25" s="2560"/>
      <c r="CB25" s="2560"/>
      <c r="CC25" s="2560"/>
      <c r="CD25" s="2561"/>
    </row>
    <row r="26" spans="1:94" ht="18" customHeight="1">
      <c r="A26" s="2578"/>
      <c r="B26" s="2523"/>
      <c r="C26" s="2524"/>
      <c r="D26" s="2524"/>
      <c r="E26" s="2528"/>
      <c r="F26" s="2528"/>
      <c r="G26" s="2528"/>
      <c r="H26" s="2528"/>
      <c r="I26" s="2528"/>
      <c r="J26" s="2528"/>
      <c r="K26" s="2524"/>
      <c r="L26" s="2524"/>
      <c r="M26" s="2524"/>
      <c r="N26" s="2524"/>
      <c r="O26" s="2524"/>
      <c r="P26" s="2524"/>
      <c r="Q26" s="2524"/>
      <c r="R26" s="2524"/>
      <c r="S26" s="2524"/>
      <c r="T26" s="2592"/>
      <c r="U26" s="2593"/>
      <c r="V26" s="2589"/>
      <c r="W26" s="2590"/>
      <c r="X26" s="2591"/>
      <c r="Y26" s="2559"/>
      <c r="Z26" s="2560"/>
      <c r="AA26" s="2560"/>
      <c r="AB26" s="2560"/>
      <c r="AC26" s="2560"/>
      <c r="AD26" s="2560"/>
      <c r="AE26" s="2560"/>
      <c r="AF26" s="2561"/>
      <c r="AG26" s="2562"/>
      <c r="AH26" s="2563"/>
      <c r="AI26" s="2563"/>
      <c r="AJ26" s="2563"/>
      <c r="AK26" s="2563"/>
      <c r="AL26" s="2564"/>
      <c r="AQ26" s="681">
        <v>0.70833333333333304</v>
      </c>
      <c r="AT26" s="2557"/>
      <c r="AU26" s="2549"/>
      <c r="AV26" s="2549"/>
      <c r="AW26" s="2548"/>
      <c r="AX26" s="2548"/>
      <c r="AY26" s="2548"/>
      <c r="AZ26" s="2548"/>
      <c r="BA26" s="2548"/>
      <c r="BB26" s="2548"/>
      <c r="BC26" s="2549"/>
      <c r="BD26" s="2549"/>
      <c r="BE26" s="2549"/>
      <c r="BF26" s="2549"/>
      <c r="BG26" s="2549"/>
      <c r="BH26" s="2549"/>
      <c r="BI26" s="2549"/>
      <c r="BJ26" s="2549"/>
      <c r="BK26" s="2549"/>
      <c r="BL26" s="2535"/>
      <c r="BM26" s="2536"/>
      <c r="BN26" s="2589"/>
      <c r="BO26" s="2590"/>
      <c r="BP26" s="2591"/>
      <c r="BQ26" s="2559"/>
      <c r="BR26" s="2560"/>
      <c r="BS26" s="2560"/>
      <c r="BT26" s="2560"/>
      <c r="BU26" s="2560"/>
      <c r="BV26" s="2560"/>
      <c r="BW26" s="2560"/>
      <c r="BX26" s="2561"/>
      <c r="BY26" s="2559"/>
      <c r="BZ26" s="2560"/>
      <c r="CA26" s="2560"/>
      <c r="CB26" s="2560"/>
      <c r="CC26" s="2560"/>
      <c r="CD26" s="2561"/>
    </row>
    <row r="27" spans="1:94" ht="18" customHeight="1">
      <c r="A27" s="2578"/>
      <c r="B27" s="2532"/>
      <c r="C27" s="2524"/>
      <c r="D27" s="2524"/>
      <c r="E27" s="2527"/>
      <c r="F27" s="2527"/>
      <c r="G27" s="2527"/>
      <c r="H27" s="2527"/>
      <c r="I27" s="2527"/>
      <c r="J27" s="2527"/>
      <c r="K27" s="2524"/>
      <c r="L27" s="2524"/>
      <c r="M27" s="2524"/>
      <c r="N27" s="2524"/>
      <c r="O27" s="2524"/>
      <c r="P27" s="2524"/>
      <c r="Q27" s="2524"/>
      <c r="R27" s="2524"/>
      <c r="S27" s="2524"/>
      <c r="T27" s="2592" t="s">
        <v>2895</v>
      </c>
      <c r="U27" s="2593"/>
      <c r="V27" s="2594"/>
      <c r="W27" s="2595"/>
      <c r="X27" s="2596"/>
      <c r="Y27" s="2586"/>
      <c r="Z27" s="2587"/>
      <c r="AA27" s="2587"/>
      <c r="AB27" s="2587"/>
      <c r="AC27" s="2587"/>
      <c r="AD27" s="2587"/>
      <c r="AE27" s="2587"/>
      <c r="AF27" s="2588"/>
      <c r="AG27" s="2606"/>
      <c r="AH27" s="2607"/>
      <c r="AI27" s="2607"/>
      <c r="AJ27" s="2607"/>
      <c r="AK27" s="2607"/>
      <c r="AL27" s="2608"/>
      <c r="AQ27" s="681">
        <v>0.72916666666666696</v>
      </c>
      <c r="AT27" s="2557"/>
      <c r="AU27" s="2549"/>
      <c r="AV27" s="2549"/>
      <c r="AW27" s="2547"/>
      <c r="AX27" s="2547"/>
      <c r="AY27" s="2547"/>
      <c r="AZ27" s="2547"/>
      <c r="BA27" s="2547"/>
      <c r="BB27" s="2547"/>
      <c r="BC27" s="2549"/>
      <c r="BD27" s="2549"/>
      <c r="BE27" s="2549"/>
      <c r="BF27" s="2549"/>
      <c r="BG27" s="2549"/>
      <c r="BH27" s="2549"/>
      <c r="BI27" s="2549"/>
      <c r="BJ27" s="2549"/>
      <c r="BK27" s="2549"/>
      <c r="BL27" s="2535" t="s">
        <v>2895</v>
      </c>
      <c r="BM27" s="2536"/>
      <c r="BN27" s="2594"/>
      <c r="BO27" s="2595"/>
      <c r="BP27" s="2596"/>
      <c r="BQ27" s="2586"/>
      <c r="BR27" s="2587"/>
      <c r="BS27" s="2587"/>
      <c r="BT27" s="2587"/>
      <c r="BU27" s="2587"/>
      <c r="BV27" s="2587"/>
      <c r="BW27" s="2587"/>
      <c r="BX27" s="2588"/>
      <c r="BY27" s="2586"/>
      <c r="BZ27" s="2587"/>
      <c r="CA27" s="2587"/>
      <c r="CB27" s="2587"/>
      <c r="CC27" s="2587"/>
      <c r="CD27" s="2588"/>
    </row>
    <row r="28" spans="1:94" ht="18" customHeight="1" thickBot="1">
      <c r="A28" s="2579"/>
      <c r="B28" s="2583"/>
      <c r="C28" s="2584"/>
      <c r="D28" s="2584"/>
      <c r="E28" s="2585"/>
      <c r="F28" s="2585"/>
      <c r="G28" s="2585"/>
      <c r="H28" s="2585"/>
      <c r="I28" s="2585"/>
      <c r="J28" s="2585"/>
      <c r="K28" s="2584"/>
      <c r="L28" s="2584"/>
      <c r="M28" s="2584"/>
      <c r="N28" s="2584"/>
      <c r="O28" s="2584"/>
      <c r="P28" s="2584"/>
      <c r="Q28" s="2584"/>
      <c r="R28" s="2584"/>
      <c r="S28" s="2584"/>
      <c r="T28" s="2610"/>
      <c r="U28" s="2611"/>
      <c r="V28" s="2618"/>
      <c r="W28" s="2619"/>
      <c r="X28" s="2620"/>
      <c r="Y28" s="2615"/>
      <c r="Z28" s="2616"/>
      <c r="AA28" s="2616"/>
      <c r="AB28" s="2616"/>
      <c r="AC28" s="2616"/>
      <c r="AD28" s="2616"/>
      <c r="AE28" s="2616"/>
      <c r="AF28" s="2617"/>
      <c r="AG28" s="2621"/>
      <c r="AH28" s="2622"/>
      <c r="AI28" s="2622"/>
      <c r="AJ28" s="2622"/>
      <c r="AK28" s="2622"/>
      <c r="AL28" s="2623"/>
      <c r="AQ28" s="681">
        <v>0.75</v>
      </c>
      <c r="AT28" s="2624"/>
      <c r="AU28" s="2612"/>
      <c r="AV28" s="2612"/>
      <c r="AW28" s="2625"/>
      <c r="AX28" s="2625"/>
      <c r="AY28" s="2625"/>
      <c r="AZ28" s="2625"/>
      <c r="BA28" s="2625"/>
      <c r="BB28" s="2625"/>
      <c r="BC28" s="2612"/>
      <c r="BD28" s="2612"/>
      <c r="BE28" s="2612"/>
      <c r="BF28" s="2612"/>
      <c r="BG28" s="2612"/>
      <c r="BH28" s="2612"/>
      <c r="BI28" s="2612"/>
      <c r="BJ28" s="2612"/>
      <c r="BK28" s="2612"/>
      <c r="BL28" s="2613"/>
      <c r="BM28" s="2614"/>
      <c r="BN28" s="2618"/>
      <c r="BO28" s="2619"/>
      <c r="BP28" s="2620"/>
      <c r="BQ28" s="2615"/>
      <c r="BR28" s="2616"/>
      <c r="BS28" s="2616"/>
      <c r="BT28" s="2616"/>
      <c r="BU28" s="2616"/>
      <c r="BV28" s="2616"/>
      <c r="BW28" s="2616"/>
      <c r="BX28" s="2617"/>
      <c r="BY28" s="2615"/>
      <c r="BZ28" s="2616"/>
      <c r="CA28" s="2616"/>
      <c r="CB28" s="2616"/>
      <c r="CC28" s="2616"/>
      <c r="CD28" s="2617"/>
    </row>
    <row r="29" spans="1:94" ht="12" customHeight="1" thickBot="1">
      <c r="A29" s="574"/>
      <c r="B29" s="573"/>
      <c r="C29" s="573"/>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671"/>
      <c r="AJ29" s="671"/>
      <c r="AK29" s="672"/>
      <c r="AL29" s="671"/>
      <c r="AM29" s="671"/>
      <c r="AN29" s="671"/>
      <c r="AO29" s="671"/>
      <c r="AP29" s="671"/>
      <c r="AQ29" s="681">
        <v>0.77083333333333304</v>
      </c>
      <c r="AR29" s="671"/>
      <c r="AS29" s="671"/>
      <c r="AT29" s="671"/>
      <c r="AU29" s="671"/>
      <c r="AV29" s="671"/>
      <c r="AW29" s="671"/>
      <c r="AX29" s="671"/>
      <c r="AY29" s="671"/>
      <c r="AZ29" s="671"/>
      <c r="BA29" s="671"/>
      <c r="BB29" s="671"/>
      <c r="BC29" s="671"/>
      <c r="BD29" s="671"/>
      <c r="BE29" s="671"/>
      <c r="BF29" s="671"/>
      <c r="BG29" s="671"/>
      <c r="BH29" s="671"/>
      <c r="BI29" s="671"/>
      <c r="BJ29" s="671"/>
      <c r="BK29" s="671"/>
      <c r="BL29" s="671"/>
      <c r="BM29" s="671"/>
      <c r="BN29" s="671"/>
      <c r="BO29" s="671"/>
      <c r="BP29" s="671"/>
      <c r="BQ29" s="671"/>
      <c r="BR29" s="671"/>
      <c r="BS29" s="671"/>
      <c r="BT29" s="671"/>
      <c r="BU29" s="671"/>
      <c r="BV29" s="671"/>
      <c r="BW29" s="671"/>
      <c r="BX29" s="671"/>
      <c r="BY29" s="671"/>
      <c r="BZ29" s="671"/>
      <c r="CE29" s="681"/>
      <c r="CP29" s="681"/>
    </row>
    <row r="30" spans="1:94" ht="18.75" customHeight="1">
      <c r="A30" s="2511" t="s">
        <v>2884</v>
      </c>
      <c r="B30" s="2504"/>
      <c r="C30" s="2504"/>
      <c r="D30" s="2504"/>
      <c r="E30" s="2504"/>
      <c r="F30" s="2504"/>
      <c r="G30" s="2504"/>
      <c r="H30" s="2504"/>
      <c r="I30" s="2504"/>
      <c r="J30" s="2504"/>
      <c r="K30" s="2504"/>
      <c r="L30" s="2504"/>
      <c r="M30" s="2504"/>
      <c r="N30" s="2504"/>
      <c r="O30" s="2504"/>
      <c r="P30" s="2504"/>
      <c r="Q30" s="2504"/>
      <c r="R30" s="2504"/>
      <c r="S30" s="2504"/>
      <c r="T30" s="2505"/>
      <c r="U30" s="2506" t="s">
        <v>2885</v>
      </c>
      <c r="V30" s="2490"/>
      <c r="W30" s="2490"/>
      <c r="X30" s="2489" t="s">
        <v>2869</v>
      </c>
      <c r="Y30" s="2490"/>
      <c r="Z30" s="2490"/>
      <c r="AA30" s="2490"/>
      <c r="AB30" s="2490"/>
      <c r="AC30" s="2490"/>
      <c r="AD30" s="2490"/>
      <c r="AE30" s="2490"/>
      <c r="AF30" s="2674" t="s">
        <v>2742</v>
      </c>
      <c r="AG30" s="2675"/>
      <c r="AH30" s="2675"/>
      <c r="AI30" s="2675"/>
      <c r="AJ30" s="2675"/>
      <c r="AK30" s="2676"/>
      <c r="AL30" s="675"/>
      <c r="AM30" s="675"/>
      <c r="AN30" s="675"/>
      <c r="AO30" s="675"/>
      <c r="AP30" s="675"/>
      <c r="AQ30" s="681">
        <v>0.79166666666666696</v>
      </c>
      <c r="AR30" s="675"/>
      <c r="AS30" s="675"/>
      <c r="AT30" s="2511" t="s">
        <v>2884</v>
      </c>
      <c r="AU30" s="2504"/>
      <c r="AV30" s="2504"/>
      <c r="AW30" s="2504"/>
      <c r="AX30" s="2504"/>
      <c r="AY30" s="2504"/>
      <c r="AZ30" s="2504"/>
      <c r="BA30" s="2504"/>
      <c r="BB30" s="2504"/>
      <c r="BC30" s="2504"/>
      <c r="BD30" s="2504"/>
      <c r="BE30" s="2504"/>
      <c r="BF30" s="2504"/>
      <c r="BG30" s="2504"/>
      <c r="BH30" s="2504"/>
      <c r="BI30" s="2504"/>
      <c r="BJ30" s="2504"/>
      <c r="BK30" s="2504"/>
      <c r="BL30" s="2504"/>
      <c r="BM30" s="2505"/>
      <c r="BN30" s="2506" t="s">
        <v>2885</v>
      </c>
      <c r="BO30" s="2490"/>
      <c r="BP30" s="2490"/>
      <c r="BQ30" s="2489" t="s">
        <v>2869</v>
      </c>
      <c r="BR30" s="2490"/>
      <c r="BS30" s="2490"/>
      <c r="BT30" s="2490"/>
      <c r="BU30" s="2490"/>
      <c r="BV30" s="2490"/>
      <c r="BW30" s="2490"/>
      <c r="BX30" s="2490"/>
      <c r="BY30" s="2674" t="s">
        <v>2742</v>
      </c>
      <c r="BZ30" s="2675"/>
      <c r="CA30" s="2675"/>
      <c r="CB30" s="2675"/>
      <c r="CC30" s="2675"/>
      <c r="CD30" s="2676"/>
      <c r="CE30" s="681"/>
      <c r="CP30" s="681"/>
    </row>
    <row r="31" spans="1:94" ht="18.75" customHeight="1">
      <c r="A31" s="2666" t="s">
        <v>2752</v>
      </c>
      <c r="B31" s="2667"/>
      <c r="C31" s="2667"/>
      <c r="D31" s="2667" t="s">
        <v>2867</v>
      </c>
      <c r="E31" s="2667"/>
      <c r="F31" s="2667"/>
      <c r="G31" s="2667" t="s">
        <v>2868</v>
      </c>
      <c r="H31" s="2667"/>
      <c r="I31" s="2667"/>
      <c r="J31" s="2667" t="s">
        <v>2871</v>
      </c>
      <c r="K31" s="2667"/>
      <c r="L31" s="2667"/>
      <c r="M31" s="2667"/>
      <c r="N31" s="2667"/>
      <c r="O31" s="2667"/>
      <c r="P31" s="2667" t="s">
        <v>2865</v>
      </c>
      <c r="Q31" s="2667"/>
      <c r="R31" s="2667"/>
      <c r="S31" s="2667" t="s">
        <v>2866</v>
      </c>
      <c r="T31" s="2668"/>
      <c r="U31" s="2507"/>
      <c r="V31" s="2508"/>
      <c r="W31" s="2508"/>
      <c r="X31" s="2510"/>
      <c r="Y31" s="2508"/>
      <c r="Z31" s="2508"/>
      <c r="AA31" s="2508"/>
      <c r="AB31" s="2508"/>
      <c r="AC31" s="2508"/>
      <c r="AD31" s="2508"/>
      <c r="AE31" s="2508"/>
      <c r="AF31" s="2507"/>
      <c r="AG31" s="2508"/>
      <c r="AH31" s="2508"/>
      <c r="AI31" s="2508"/>
      <c r="AJ31" s="2508"/>
      <c r="AK31" s="2677"/>
      <c r="AL31" s="675"/>
      <c r="AM31" s="675"/>
      <c r="AN31" s="675"/>
      <c r="AO31" s="675"/>
      <c r="AP31" s="675"/>
      <c r="AQ31" s="681">
        <v>0.8125</v>
      </c>
      <c r="AR31" s="675"/>
      <c r="AS31" s="675"/>
      <c r="AT31" s="2666" t="s">
        <v>2752</v>
      </c>
      <c r="AU31" s="2667"/>
      <c r="AV31" s="2667"/>
      <c r="AW31" s="2667" t="s">
        <v>2867</v>
      </c>
      <c r="AX31" s="2667"/>
      <c r="AY31" s="2667"/>
      <c r="AZ31" s="2667" t="s">
        <v>2868</v>
      </c>
      <c r="BA31" s="2667"/>
      <c r="BB31" s="2667"/>
      <c r="BC31" s="2667" t="s">
        <v>2871</v>
      </c>
      <c r="BD31" s="2667"/>
      <c r="BE31" s="2667"/>
      <c r="BF31" s="2667"/>
      <c r="BG31" s="2667"/>
      <c r="BH31" s="2667"/>
      <c r="BI31" s="2667" t="s">
        <v>2865</v>
      </c>
      <c r="BJ31" s="2667"/>
      <c r="BK31" s="2667"/>
      <c r="BL31" s="2667" t="s">
        <v>2866</v>
      </c>
      <c r="BM31" s="2668"/>
      <c r="BN31" s="2507"/>
      <c r="BO31" s="2508"/>
      <c r="BP31" s="2508"/>
      <c r="BQ31" s="2510"/>
      <c r="BR31" s="2508"/>
      <c r="BS31" s="2508"/>
      <c r="BT31" s="2508"/>
      <c r="BU31" s="2508"/>
      <c r="BV31" s="2508"/>
      <c r="BW31" s="2508"/>
      <c r="BX31" s="2508"/>
      <c r="BY31" s="2507"/>
      <c r="BZ31" s="2508"/>
      <c r="CA31" s="2508"/>
      <c r="CB31" s="2508"/>
      <c r="CC31" s="2508"/>
      <c r="CD31" s="2677"/>
      <c r="CE31" s="681"/>
      <c r="CP31" s="681"/>
    </row>
    <row r="32" spans="1:94" ht="18.75" customHeight="1">
      <c r="A32" s="2557" t="s">
        <v>2760</v>
      </c>
      <c r="B32" s="2549"/>
      <c r="C32" s="2549"/>
      <c r="D32" s="2527"/>
      <c r="E32" s="2527"/>
      <c r="F32" s="2527"/>
      <c r="G32" s="2527"/>
      <c r="H32" s="2527"/>
      <c r="I32" s="2527"/>
      <c r="J32" s="2524"/>
      <c r="K32" s="2524"/>
      <c r="L32" s="2524"/>
      <c r="M32" s="2524"/>
      <c r="N32" s="2524"/>
      <c r="O32" s="2524"/>
      <c r="P32" s="2549" t="s">
        <v>2754</v>
      </c>
      <c r="Q32" s="2549"/>
      <c r="R32" s="2549"/>
      <c r="S32" s="2670"/>
      <c r="T32" s="2671"/>
      <c r="U32" s="2680" t="s">
        <v>2882</v>
      </c>
      <c r="V32" s="2681"/>
      <c r="W32" s="2682"/>
      <c r="X32" s="2683"/>
      <c r="Y32" s="2684"/>
      <c r="Z32" s="2684"/>
      <c r="AA32" s="2684"/>
      <c r="AB32" s="2684"/>
      <c r="AC32" s="2684"/>
      <c r="AD32" s="2684"/>
      <c r="AE32" s="2685"/>
      <c r="AF32" s="2689"/>
      <c r="AG32" s="2670"/>
      <c r="AH32" s="2670"/>
      <c r="AI32" s="2670"/>
      <c r="AJ32" s="2670"/>
      <c r="AK32" s="2671"/>
      <c r="AL32" s="735"/>
      <c r="AM32" s="735"/>
      <c r="AN32" s="735"/>
      <c r="AO32" s="735"/>
      <c r="AP32" s="735"/>
      <c r="AQ32" s="681">
        <v>0.83333333333333304</v>
      </c>
      <c r="AR32" s="735"/>
      <c r="AS32" s="735"/>
      <c r="AT32" s="2557" t="s">
        <v>2760</v>
      </c>
      <c r="AU32" s="2549"/>
      <c r="AV32" s="2549"/>
      <c r="AW32" s="2527">
        <v>0.72916666666666696</v>
      </c>
      <c r="AX32" s="2527"/>
      <c r="AY32" s="2527"/>
      <c r="AZ32" s="2527">
        <v>0.85416666666666696</v>
      </c>
      <c r="BA32" s="2527"/>
      <c r="BB32" s="2527"/>
      <c r="BC32" s="2524" t="s">
        <v>2920</v>
      </c>
      <c r="BD32" s="2524"/>
      <c r="BE32" s="2524"/>
      <c r="BF32" s="2524"/>
      <c r="BG32" s="2524"/>
      <c r="BH32" s="2524"/>
      <c r="BI32" s="2549" t="s">
        <v>2754</v>
      </c>
      <c r="BJ32" s="2549"/>
      <c r="BK32" s="2549"/>
      <c r="BL32" s="2670">
        <v>4</v>
      </c>
      <c r="BM32" s="2671"/>
      <c r="BN32" s="2680" t="s">
        <v>2882</v>
      </c>
      <c r="BO32" s="2681"/>
      <c r="BP32" s="2682"/>
      <c r="BQ32" s="2683"/>
      <c r="BR32" s="2684"/>
      <c r="BS32" s="2684"/>
      <c r="BT32" s="2684"/>
      <c r="BU32" s="2684"/>
      <c r="BV32" s="2684"/>
      <c r="BW32" s="2684"/>
      <c r="BX32" s="2685"/>
      <c r="BY32" s="2689"/>
      <c r="BZ32" s="2670"/>
      <c r="CA32" s="2670"/>
      <c r="CB32" s="2670"/>
      <c r="CC32" s="2670"/>
      <c r="CD32" s="2671"/>
      <c r="CE32" s="681"/>
      <c r="CP32" s="681"/>
    </row>
    <row r="33" spans="1:94" ht="18.75" customHeight="1">
      <c r="A33" s="2557"/>
      <c r="B33" s="2549"/>
      <c r="C33" s="2549"/>
      <c r="D33" s="2527"/>
      <c r="E33" s="2527"/>
      <c r="F33" s="2527"/>
      <c r="G33" s="2527"/>
      <c r="H33" s="2527"/>
      <c r="I33" s="2527"/>
      <c r="J33" s="2524"/>
      <c r="K33" s="2524"/>
      <c r="L33" s="2524"/>
      <c r="M33" s="2524"/>
      <c r="N33" s="2524"/>
      <c r="O33" s="2524"/>
      <c r="P33" s="2549"/>
      <c r="Q33" s="2549"/>
      <c r="R33" s="2549"/>
      <c r="S33" s="2670"/>
      <c r="T33" s="2671"/>
      <c r="U33" s="2680" t="s">
        <v>2877</v>
      </c>
      <c r="V33" s="2681"/>
      <c r="W33" s="2682"/>
      <c r="X33" s="2683"/>
      <c r="Y33" s="2684"/>
      <c r="Z33" s="2684"/>
      <c r="AA33" s="2684"/>
      <c r="AB33" s="2684"/>
      <c r="AC33" s="2684"/>
      <c r="AD33" s="2684"/>
      <c r="AE33" s="2685"/>
      <c r="AF33" s="2689"/>
      <c r="AG33" s="2670"/>
      <c r="AH33" s="2670"/>
      <c r="AI33" s="2670"/>
      <c r="AJ33" s="2670"/>
      <c r="AK33" s="2671"/>
      <c r="AL33" s="735"/>
      <c r="AM33" s="735"/>
      <c r="AN33" s="735"/>
      <c r="AO33" s="735"/>
      <c r="AP33" s="735"/>
      <c r="AQ33" s="681">
        <v>0.85416666666666696</v>
      </c>
      <c r="AR33" s="735"/>
      <c r="AS33" s="735"/>
      <c r="AT33" s="2557"/>
      <c r="AU33" s="2549"/>
      <c r="AV33" s="2549"/>
      <c r="AW33" s="2527"/>
      <c r="AX33" s="2527"/>
      <c r="AY33" s="2527"/>
      <c r="AZ33" s="2527"/>
      <c r="BA33" s="2527"/>
      <c r="BB33" s="2527"/>
      <c r="BC33" s="2524"/>
      <c r="BD33" s="2524"/>
      <c r="BE33" s="2524"/>
      <c r="BF33" s="2524"/>
      <c r="BG33" s="2524"/>
      <c r="BH33" s="2524"/>
      <c r="BI33" s="2549"/>
      <c r="BJ33" s="2549"/>
      <c r="BK33" s="2549"/>
      <c r="BL33" s="2670"/>
      <c r="BM33" s="2671"/>
      <c r="BN33" s="2680" t="s">
        <v>2877</v>
      </c>
      <c r="BO33" s="2681"/>
      <c r="BP33" s="2682"/>
      <c r="BQ33" s="2683"/>
      <c r="BR33" s="2684"/>
      <c r="BS33" s="2684"/>
      <c r="BT33" s="2684"/>
      <c r="BU33" s="2684"/>
      <c r="BV33" s="2684"/>
      <c r="BW33" s="2684"/>
      <c r="BX33" s="2685"/>
      <c r="BY33" s="2689"/>
      <c r="BZ33" s="2670"/>
      <c r="CA33" s="2670"/>
      <c r="CB33" s="2670"/>
      <c r="CC33" s="2670"/>
      <c r="CD33" s="2671"/>
      <c r="CE33" s="681"/>
      <c r="CP33" s="681"/>
    </row>
    <row r="34" spans="1:94" ht="18.75" customHeight="1">
      <c r="A34" s="2669" t="s">
        <v>2886</v>
      </c>
      <c r="B34" s="2549"/>
      <c r="C34" s="2549"/>
      <c r="D34" s="2694"/>
      <c r="E34" s="2694"/>
      <c r="F34" s="2694"/>
      <c r="G34" s="2694"/>
      <c r="H34" s="2694"/>
      <c r="I34" s="2694"/>
      <c r="J34" s="2524"/>
      <c r="K34" s="2524"/>
      <c r="L34" s="2524"/>
      <c r="M34" s="2524"/>
      <c r="N34" s="2524"/>
      <c r="O34" s="2524"/>
      <c r="P34" s="2549" t="s">
        <v>2754</v>
      </c>
      <c r="Q34" s="2549"/>
      <c r="R34" s="2549"/>
      <c r="S34" s="2670"/>
      <c r="T34" s="2671"/>
      <c r="U34" s="2680" t="s">
        <v>2882</v>
      </c>
      <c r="V34" s="2681"/>
      <c r="W34" s="2682"/>
      <c r="X34" s="2683"/>
      <c r="Y34" s="2684"/>
      <c r="Z34" s="2684"/>
      <c r="AA34" s="2684"/>
      <c r="AB34" s="2684"/>
      <c r="AC34" s="2684"/>
      <c r="AD34" s="2684"/>
      <c r="AE34" s="2685"/>
      <c r="AF34" s="2689"/>
      <c r="AG34" s="2670"/>
      <c r="AH34" s="2670"/>
      <c r="AI34" s="2670"/>
      <c r="AJ34" s="2670"/>
      <c r="AK34" s="2671"/>
      <c r="AL34" s="735"/>
      <c r="AM34" s="735"/>
      <c r="AN34" s="735"/>
      <c r="AO34" s="735"/>
      <c r="AP34" s="735"/>
      <c r="AQ34" s="681">
        <v>0.86458333333333337</v>
      </c>
      <c r="AR34" s="735"/>
      <c r="AS34" s="735"/>
      <c r="AT34" s="2669" t="s">
        <v>2886</v>
      </c>
      <c r="AU34" s="2549"/>
      <c r="AV34" s="2549"/>
      <c r="AW34" s="2527">
        <v>0.72916666666666696</v>
      </c>
      <c r="AX34" s="2527"/>
      <c r="AY34" s="2527"/>
      <c r="AZ34" s="2527">
        <v>0.85416666666666696</v>
      </c>
      <c r="BA34" s="2527"/>
      <c r="BB34" s="2527"/>
      <c r="BC34" s="2524" t="s">
        <v>2921</v>
      </c>
      <c r="BD34" s="2524"/>
      <c r="BE34" s="2524"/>
      <c r="BF34" s="2524"/>
      <c r="BG34" s="2524"/>
      <c r="BH34" s="2524"/>
      <c r="BI34" s="2549" t="s">
        <v>2754</v>
      </c>
      <c r="BJ34" s="2549"/>
      <c r="BK34" s="2549"/>
      <c r="BL34" s="2670">
        <v>1</v>
      </c>
      <c r="BM34" s="2671"/>
      <c r="BN34" s="2680" t="s">
        <v>2882</v>
      </c>
      <c r="BO34" s="2681"/>
      <c r="BP34" s="2682"/>
      <c r="BQ34" s="2683"/>
      <c r="BR34" s="2684"/>
      <c r="BS34" s="2684"/>
      <c r="BT34" s="2684"/>
      <c r="BU34" s="2684"/>
      <c r="BV34" s="2684"/>
      <c r="BW34" s="2684"/>
      <c r="BX34" s="2685"/>
      <c r="BY34" s="2689"/>
      <c r="BZ34" s="2670"/>
      <c r="CA34" s="2670"/>
      <c r="CB34" s="2670"/>
      <c r="CC34" s="2670"/>
      <c r="CD34" s="2671"/>
      <c r="CE34" s="681"/>
      <c r="CP34" s="681"/>
    </row>
    <row r="35" spans="1:94" ht="18.75" customHeight="1" thickBot="1">
      <c r="A35" s="2624"/>
      <c r="B35" s="2612"/>
      <c r="C35" s="2612"/>
      <c r="D35" s="2585"/>
      <c r="E35" s="2585"/>
      <c r="F35" s="2585"/>
      <c r="G35" s="2585"/>
      <c r="H35" s="2585"/>
      <c r="I35" s="2585"/>
      <c r="J35" s="2584"/>
      <c r="K35" s="2584"/>
      <c r="L35" s="2584"/>
      <c r="M35" s="2584"/>
      <c r="N35" s="2584"/>
      <c r="O35" s="2584"/>
      <c r="P35" s="2612"/>
      <c r="Q35" s="2612"/>
      <c r="R35" s="2612"/>
      <c r="S35" s="2672"/>
      <c r="T35" s="2673"/>
      <c r="U35" s="2691" t="s">
        <v>2878</v>
      </c>
      <c r="V35" s="2692"/>
      <c r="W35" s="2693"/>
      <c r="X35" s="2686"/>
      <c r="Y35" s="2687"/>
      <c r="Z35" s="2687"/>
      <c r="AA35" s="2687"/>
      <c r="AB35" s="2687"/>
      <c r="AC35" s="2687"/>
      <c r="AD35" s="2687"/>
      <c r="AE35" s="2688"/>
      <c r="AF35" s="2690"/>
      <c r="AG35" s="2672"/>
      <c r="AH35" s="2672"/>
      <c r="AI35" s="2672"/>
      <c r="AJ35" s="2672"/>
      <c r="AK35" s="2673"/>
      <c r="AL35" s="735"/>
      <c r="AM35" s="735"/>
      <c r="AN35" s="735"/>
      <c r="AO35" s="735"/>
      <c r="AP35" s="735"/>
      <c r="AQ35" s="735"/>
      <c r="AR35" s="735"/>
      <c r="AS35" s="735"/>
      <c r="AT35" s="2624"/>
      <c r="AU35" s="2612"/>
      <c r="AV35" s="2612"/>
      <c r="AW35" s="2585"/>
      <c r="AX35" s="2585"/>
      <c r="AY35" s="2585"/>
      <c r="AZ35" s="2585"/>
      <c r="BA35" s="2585"/>
      <c r="BB35" s="2585"/>
      <c r="BC35" s="2584"/>
      <c r="BD35" s="2584"/>
      <c r="BE35" s="2584"/>
      <c r="BF35" s="2584"/>
      <c r="BG35" s="2584"/>
      <c r="BH35" s="2584"/>
      <c r="BI35" s="2612"/>
      <c r="BJ35" s="2612"/>
      <c r="BK35" s="2612"/>
      <c r="BL35" s="2672"/>
      <c r="BM35" s="2673"/>
      <c r="BN35" s="2691" t="s">
        <v>2878</v>
      </c>
      <c r="BO35" s="2692"/>
      <c r="BP35" s="2693"/>
      <c r="BQ35" s="2686"/>
      <c r="BR35" s="2687"/>
      <c r="BS35" s="2687"/>
      <c r="BT35" s="2687"/>
      <c r="BU35" s="2687"/>
      <c r="BV35" s="2687"/>
      <c r="BW35" s="2687"/>
      <c r="BX35" s="2688"/>
      <c r="BY35" s="2690"/>
      <c r="BZ35" s="2672"/>
      <c r="CA35" s="2672"/>
      <c r="CB35" s="2672"/>
      <c r="CC35" s="2672"/>
      <c r="CD35" s="2673"/>
      <c r="CE35" s="681"/>
      <c r="CP35" s="681"/>
    </row>
    <row r="36" spans="1:94" ht="9" customHeight="1">
      <c r="B36" s="735"/>
      <c r="C36" s="735"/>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978"/>
      <c r="AT36" s="979"/>
      <c r="AU36" s="573"/>
      <c r="AV36" s="573"/>
      <c r="AW36" s="573"/>
      <c r="AX36" s="573"/>
      <c r="AY36" s="573"/>
      <c r="AZ36" s="573"/>
      <c r="BA36" s="573"/>
      <c r="BB36" s="573"/>
      <c r="BC36" s="573"/>
      <c r="BD36" s="573"/>
      <c r="BE36" s="573"/>
      <c r="BF36" s="573"/>
      <c r="BG36" s="573"/>
      <c r="BH36" s="573"/>
      <c r="BI36" s="573"/>
      <c r="BJ36" s="573"/>
      <c r="BK36" s="573"/>
      <c r="BL36" s="573"/>
      <c r="BM36" s="573"/>
      <c r="BN36" s="573"/>
      <c r="BO36" s="573"/>
      <c r="BP36" s="573"/>
      <c r="BQ36" s="573"/>
      <c r="BR36" s="573"/>
      <c r="BS36" s="573"/>
      <c r="BT36" s="573"/>
      <c r="BU36" s="573"/>
      <c r="BV36" s="573"/>
      <c r="BW36" s="573"/>
      <c r="BX36" s="573"/>
      <c r="BY36" s="573"/>
      <c r="BZ36" s="573"/>
      <c r="CA36" s="573"/>
      <c r="CB36" s="573"/>
      <c r="CC36" s="573"/>
      <c r="CD36" s="980"/>
    </row>
    <row r="37" spans="1:94" ht="9" customHeight="1">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671"/>
      <c r="AK37" s="671"/>
      <c r="AL37" s="672"/>
      <c r="AT37" s="574"/>
      <c r="AU37" s="573"/>
      <c r="AV37" s="573"/>
      <c r="AW37" s="573"/>
      <c r="AX37" s="573"/>
      <c r="AY37" s="573"/>
      <c r="AZ37" s="573"/>
      <c r="BA37" s="573"/>
      <c r="BB37" s="573"/>
      <c r="BC37" s="573"/>
      <c r="BD37" s="573"/>
      <c r="BE37" s="573"/>
      <c r="BF37" s="573"/>
      <c r="BG37" s="573"/>
      <c r="BH37" s="573"/>
      <c r="BI37" s="573"/>
      <c r="BJ37" s="573"/>
      <c r="BK37" s="573"/>
      <c r="BL37" s="573"/>
      <c r="BM37" s="573"/>
      <c r="BN37" s="573"/>
      <c r="BO37" s="573"/>
      <c r="BP37" s="573"/>
      <c r="BQ37" s="573"/>
      <c r="BR37" s="573"/>
      <c r="BS37" s="573"/>
      <c r="BT37" s="573"/>
      <c r="BU37" s="573"/>
      <c r="BV37" s="573"/>
      <c r="BW37" s="573"/>
      <c r="BX37" s="573"/>
      <c r="BY37" s="573"/>
      <c r="BZ37" s="573"/>
      <c r="CA37" s="573"/>
      <c r="CB37" s="682"/>
      <c r="CC37" s="682"/>
      <c r="CD37" s="981"/>
    </row>
    <row r="38" spans="1:94" ht="21.75" customHeight="1">
      <c r="B38" s="2626" t="s">
        <v>2869</v>
      </c>
      <c r="C38" s="2483"/>
      <c r="D38" s="2483"/>
      <c r="E38" s="2483"/>
      <c r="F38" s="2483"/>
      <c r="G38" s="2483"/>
      <c r="H38" s="2483"/>
      <c r="I38" s="2483"/>
      <c r="J38" s="2487"/>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982"/>
      <c r="AK38" s="982"/>
      <c r="AL38" s="983"/>
      <c r="AT38" s="2626" t="s">
        <v>2869</v>
      </c>
      <c r="AU38" s="2483"/>
      <c r="AV38" s="2483"/>
      <c r="AW38" s="2483"/>
      <c r="AX38" s="2483"/>
      <c r="AY38" s="2483"/>
      <c r="AZ38" s="2483"/>
      <c r="BA38" s="2483"/>
      <c r="BB38" s="2487"/>
      <c r="BC38" s="573"/>
      <c r="BD38" s="573"/>
      <c r="BE38" s="573"/>
      <c r="BF38" s="573"/>
      <c r="BG38" s="573"/>
      <c r="BH38" s="573"/>
      <c r="BI38" s="573"/>
      <c r="BJ38" s="573"/>
      <c r="BK38" s="573"/>
      <c r="BL38" s="573"/>
      <c r="BM38" s="573"/>
      <c r="BN38" s="573"/>
      <c r="BO38" s="573"/>
      <c r="BP38" s="573"/>
      <c r="BQ38" s="573"/>
      <c r="BR38" s="573"/>
      <c r="BS38" s="573"/>
      <c r="BT38" s="573"/>
      <c r="BU38" s="573"/>
      <c r="BV38" s="573"/>
      <c r="BW38" s="573"/>
      <c r="BX38" s="573"/>
      <c r="BY38" s="573"/>
      <c r="BZ38" s="573"/>
      <c r="CA38" s="573"/>
      <c r="CB38" s="984"/>
      <c r="CC38" s="984"/>
      <c r="CD38" s="985"/>
    </row>
    <row r="39" spans="1:94" ht="21.75" customHeight="1">
      <c r="B39" s="2627"/>
      <c r="C39" s="2512"/>
      <c r="D39" s="2512"/>
      <c r="E39" s="2512" t="s">
        <v>2887</v>
      </c>
      <c r="F39" s="2512"/>
      <c r="G39" s="2512"/>
      <c r="H39" s="2512" t="s">
        <v>2888</v>
      </c>
      <c r="I39" s="2512"/>
      <c r="J39" s="2512"/>
      <c r="K39" s="2512" t="s">
        <v>2873</v>
      </c>
      <c r="L39" s="2512"/>
      <c r="M39" s="2512"/>
      <c r="N39" s="2512" t="s">
        <v>2889</v>
      </c>
      <c r="O39" s="2512"/>
      <c r="P39" s="2512"/>
      <c r="Q39" s="2512" t="s">
        <v>2760</v>
      </c>
      <c r="R39" s="2512"/>
      <c r="S39" s="2512"/>
      <c r="T39" s="2512" t="s">
        <v>2890</v>
      </c>
      <c r="U39" s="2512"/>
      <c r="V39" s="2512"/>
      <c r="W39" s="2512" t="s">
        <v>2891</v>
      </c>
      <c r="X39" s="2512"/>
      <c r="Y39" s="2512"/>
      <c r="Z39" s="2512" t="s">
        <v>2892</v>
      </c>
      <c r="AA39" s="2512"/>
      <c r="AB39" s="2512"/>
      <c r="AC39" s="2634" t="s">
        <v>3099</v>
      </c>
      <c r="AD39" s="2635"/>
      <c r="AE39" s="2628" t="s">
        <v>3100</v>
      </c>
      <c r="AF39" s="2629"/>
      <c r="AG39" s="2630" t="s">
        <v>2897</v>
      </c>
      <c r="AH39" s="2630"/>
      <c r="AI39" s="2630"/>
      <c r="AJ39" s="2636" t="s">
        <v>2896</v>
      </c>
      <c r="AK39" s="2636"/>
      <c r="AL39" s="2636"/>
      <c r="AT39" s="2627"/>
      <c r="AU39" s="2512"/>
      <c r="AV39" s="2512"/>
      <c r="AW39" s="2512" t="s">
        <v>2887</v>
      </c>
      <c r="AX39" s="2512"/>
      <c r="AY39" s="2512"/>
      <c r="AZ39" s="2512" t="s">
        <v>2888</v>
      </c>
      <c r="BA39" s="2512"/>
      <c r="BB39" s="2512"/>
      <c r="BC39" s="2512" t="s">
        <v>2873</v>
      </c>
      <c r="BD39" s="2512"/>
      <c r="BE39" s="2512"/>
      <c r="BF39" s="2512" t="s">
        <v>2889</v>
      </c>
      <c r="BG39" s="2512"/>
      <c r="BH39" s="2512"/>
      <c r="BI39" s="2512" t="s">
        <v>2760</v>
      </c>
      <c r="BJ39" s="2512"/>
      <c r="BK39" s="2512"/>
      <c r="BL39" s="2512" t="s">
        <v>2890</v>
      </c>
      <c r="BM39" s="2512"/>
      <c r="BN39" s="2512"/>
      <c r="BO39" s="2512" t="s">
        <v>2891</v>
      </c>
      <c r="BP39" s="2512"/>
      <c r="BQ39" s="2512"/>
      <c r="BR39" s="2512" t="s">
        <v>2892</v>
      </c>
      <c r="BS39" s="2512"/>
      <c r="BT39" s="2633"/>
      <c r="BU39" s="2634" t="s">
        <v>3099</v>
      </c>
      <c r="BV39" s="2635"/>
      <c r="BW39" s="2628" t="s">
        <v>3100</v>
      </c>
      <c r="BX39" s="2629"/>
      <c r="BY39" s="2630" t="s">
        <v>2897</v>
      </c>
      <c r="BZ39" s="2630"/>
      <c r="CA39" s="2630"/>
      <c r="CB39" s="2631" t="s">
        <v>2896</v>
      </c>
      <c r="CC39" s="2631"/>
      <c r="CD39" s="2631"/>
    </row>
    <row r="40" spans="1:94" ht="16.149999999999999" customHeight="1">
      <c r="B40" s="2632" t="s">
        <v>2893</v>
      </c>
      <c r="C40" s="2549"/>
      <c r="D40" s="2549"/>
      <c r="E40" s="2549"/>
      <c r="F40" s="2549"/>
      <c r="G40" s="2549"/>
      <c r="H40" s="2549"/>
      <c r="I40" s="2549"/>
      <c r="J40" s="2549"/>
      <c r="K40" s="2549"/>
      <c r="L40" s="2549"/>
      <c r="M40" s="2549"/>
      <c r="N40" s="2549"/>
      <c r="O40" s="2549"/>
      <c r="P40" s="2549"/>
      <c r="Q40" s="2549"/>
      <c r="R40" s="2549"/>
      <c r="S40" s="2549"/>
      <c r="T40" s="2549"/>
      <c r="U40" s="2549"/>
      <c r="V40" s="2549"/>
      <c r="W40" s="2549"/>
      <c r="X40" s="2549"/>
      <c r="Y40" s="2549"/>
      <c r="Z40" s="2549"/>
      <c r="AA40" s="2549"/>
      <c r="AB40" s="2549"/>
      <c r="AC40" s="2637"/>
      <c r="AD40" s="2638"/>
      <c r="AE40" s="2641"/>
      <c r="AF40" s="2641"/>
      <c r="AG40" s="2643"/>
      <c r="AH40" s="2643"/>
      <c r="AI40" s="2643"/>
      <c r="AJ40" s="2657"/>
      <c r="AK40" s="2657"/>
      <c r="AL40" s="2657"/>
      <c r="AT40" s="2632" t="s">
        <v>2893</v>
      </c>
      <c r="AU40" s="2549"/>
      <c r="AV40" s="2549"/>
      <c r="AW40" s="2549"/>
      <c r="AX40" s="2549"/>
      <c r="AY40" s="2549"/>
      <c r="AZ40" s="2549"/>
      <c r="BA40" s="2549"/>
      <c r="BB40" s="2549"/>
      <c r="BC40" s="2549"/>
      <c r="BD40" s="2549"/>
      <c r="BE40" s="2549"/>
      <c r="BF40" s="2549"/>
      <c r="BG40" s="2549"/>
      <c r="BH40" s="2549"/>
      <c r="BI40" s="2549"/>
      <c r="BJ40" s="2549"/>
      <c r="BK40" s="2549"/>
      <c r="BL40" s="2549"/>
      <c r="BM40" s="2549"/>
      <c r="BN40" s="2549"/>
      <c r="BO40" s="2549"/>
      <c r="BP40" s="2549"/>
      <c r="BQ40" s="2549"/>
      <c r="BR40" s="2549"/>
      <c r="BS40" s="2549"/>
      <c r="BT40" s="2656"/>
      <c r="BU40" s="2637"/>
      <c r="BV40" s="2638"/>
      <c r="BW40" s="2641"/>
      <c r="BX40" s="2641"/>
      <c r="BY40" s="2630"/>
      <c r="BZ40" s="2630"/>
      <c r="CA40" s="2630"/>
      <c r="CB40" s="2652"/>
      <c r="CC40" s="2652"/>
      <c r="CD40" s="2652"/>
    </row>
    <row r="41" spans="1:94" ht="16.149999999999999" customHeight="1">
      <c r="B41" s="2632"/>
      <c r="C41" s="2549"/>
      <c r="D41" s="2549"/>
      <c r="E41" s="2549"/>
      <c r="F41" s="2549"/>
      <c r="G41" s="2549"/>
      <c r="H41" s="2549"/>
      <c r="I41" s="2549"/>
      <c r="J41" s="2549"/>
      <c r="K41" s="2549"/>
      <c r="L41" s="2549"/>
      <c r="M41" s="2549"/>
      <c r="N41" s="2549"/>
      <c r="O41" s="2549"/>
      <c r="P41" s="2549"/>
      <c r="Q41" s="2549"/>
      <c r="R41" s="2549"/>
      <c r="S41" s="2549"/>
      <c r="T41" s="2549"/>
      <c r="U41" s="2549"/>
      <c r="V41" s="2549"/>
      <c r="W41" s="2549"/>
      <c r="X41" s="2549"/>
      <c r="Y41" s="2549"/>
      <c r="Z41" s="2549"/>
      <c r="AA41" s="2549"/>
      <c r="AB41" s="2549"/>
      <c r="AC41" s="2639"/>
      <c r="AD41" s="2640"/>
      <c r="AE41" s="2642"/>
      <c r="AF41" s="2642"/>
      <c r="AG41" s="2644"/>
      <c r="AH41" s="2644"/>
      <c r="AI41" s="2644"/>
      <c r="AJ41" s="2658"/>
      <c r="AK41" s="2658"/>
      <c r="AL41" s="2658"/>
      <c r="AT41" s="2632"/>
      <c r="AU41" s="2549"/>
      <c r="AV41" s="2549"/>
      <c r="AW41" s="2549"/>
      <c r="AX41" s="2549"/>
      <c r="AY41" s="2549"/>
      <c r="AZ41" s="2549"/>
      <c r="BA41" s="2549"/>
      <c r="BB41" s="2549"/>
      <c r="BC41" s="2549"/>
      <c r="BD41" s="2549"/>
      <c r="BE41" s="2549"/>
      <c r="BF41" s="2549"/>
      <c r="BG41" s="2549"/>
      <c r="BH41" s="2549"/>
      <c r="BI41" s="2549"/>
      <c r="BJ41" s="2549"/>
      <c r="BK41" s="2549"/>
      <c r="BL41" s="2549"/>
      <c r="BM41" s="2549"/>
      <c r="BN41" s="2549"/>
      <c r="BO41" s="2549"/>
      <c r="BP41" s="2549"/>
      <c r="BQ41" s="2549"/>
      <c r="BR41" s="2549"/>
      <c r="BS41" s="2549"/>
      <c r="BT41" s="2656"/>
      <c r="BU41" s="2639"/>
      <c r="BV41" s="2640"/>
      <c r="BW41" s="2642"/>
      <c r="BX41" s="2642"/>
      <c r="BY41" s="2650"/>
      <c r="BZ41" s="2650"/>
      <c r="CA41" s="2650"/>
      <c r="CB41" s="2653"/>
      <c r="CC41" s="2653"/>
      <c r="CD41" s="2653"/>
    </row>
    <row r="42" spans="1:94" ht="16.149999999999999" customHeight="1">
      <c r="B42" s="2632" t="s">
        <v>2894</v>
      </c>
      <c r="C42" s="2549"/>
      <c r="D42" s="2549"/>
      <c r="E42" s="2549"/>
      <c r="F42" s="2549"/>
      <c r="G42" s="2549"/>
      <c r="H42" s="2549"/>
      <c r="I42" s="2549"/>
      <c r="J42" s="2549"/>
      <c r="K42" s="2549"/>
      <c r="L42" s="2549"/>
      <c r="M42" s="2549"/>
      <c r="N42" s="2549"/>
      <c r="O42" s="2549"/>
      <c r="P42" s="2549"/>
      <c r="Q42" s="2549"/>
      <c r="R42" s="2549"/>
      <c r="S42" s="2549"/>
      <c r="T42" s="2549"/>
      <c r="U42" s="2549"/>
      <c r="V42" s="2549"/>
      <c r="W42" s="2549"/>
      <c r="X42" s="2549"/>
      <c r="Y42" s="2549"/>
      <c r="Z42" s="2549"/>
      <c r="AA42" s="2549"/>
      <c r="AB42" s="2549"/>
      <c r="AC42" s="2647"/>
      <c r="AD42" s="2648"/>
      <c r="AE42" s="2649"/>
      <c r="AF42" s="2649"/>
      <c r="AG42" s="2644"/>
      <c r="AH42" s="2644"/>
      <c r="AI42" s="2644"/>
      <c r="AJ42" s="2658"/>
      <c r="AK42" s="2658"/>
      <c r="AL42" s="2658"/>
      <c r="AT42" s="2632" t="s">
        <v>2894</v>
      </c>
      <c r="AU42" s="2549"/>
      <c r="AV42" s="2549"/>
      <c r="AW42" s="2549"/>
      <c r="AX42" s="2549"/>
      <c r="AY42" s="2549"/>
      <c r="AZ42" s="2549"/>
      <c r="BA42" s="2549"/>
      <c r="BB42" s="2549"/>
      <c r="BC42" s="2549"/>
      <c r="BD42" s="2549"/>
      <c r="BE42" s="2549"/>
      <c r="BF42" s="2549"/>
      <c r="BG42" s="2549"/>
      <c r="BH42" s="2549"/>
      <c r="BI42" s="2549"/>
      <c r="BJ42" s="2549"/>
      <c r="BK42" s="2549"/>
      <c r="BL42" s="2549"/>
      <c r="BM42" s="2549"/>
      <c r="BN42" s="2549"/>
      <c r="BO42" s="2549"/>
      <c r="BP42" s="2549"/>
      <c r="BQ42" s="2549"/>
      <c r="BR42" s="2549"/>
      <c r="BS42" s="2549"/>
      <c r="BT42" s="2656"/>
      <c r="BU42" s="2647"/>
      <c r="BV42" s="2648"/>
      <c r="BW42" s="2649"/>
      <c r="BX42" s="2649"/>
      <c r="BY42" s="2650"/>
      <c r="BZ42" s="2650"/>
      <c r="CA42" s="2650"/>
      <c r="CB42" s="2653"/>
      <c r="CC42" s="2653"/>
      <c r="CD42" s="2653"/>
    </row>
    <row r="43" spans="1:94" ht="16.149999999999999" customHeight="1">
      <c r="B43" s="2655"/>
      <c r="C43" s="2646"/>
      <c r="D43" s="2646"/>
      <c r="E43" s="2646"/>
      <c r="F43" s="2646"/>
      <c r="G43" s="2646"/>
      <c r="H43" s="2646"/>
      <c r="I43" s="2646"/>
      <c r="J43" s="2646"/>
      <c r="K43" s="2646"/>
      <c r="L43" s="2646"/>
      <c r="M43" s="2646"/>
      <c r="N43" s="2646"/>
      <c r="O43" s="2646"/>
      <c r="P43" s="2646"/>
      <c r="Q43" s="2646"/>
      <c r="R43" s="2646"/>
      <c r="S43" s="2646"/>
      <c r="T43" s="2646"/>
      <c r="U43" s="2646"/>
      <c r="V43" s="2646"/>
      <c r="W43" s="2646"/>
      <c r="X43" s="2646"/>
      <c r="Y43" s="2646"/>
      <c r="Z43" s="2646"/>
      <c r="AA43" s="2646"/>
      <c r="AB43" s="2646"/>
      <c r="AC43" s="2647"/>
      <c r="AD43" s="2648"/>
      <c r="AE43" s="2649"/>
      <c r="AF43" s="2649"/>
      <c r="AG43" s="2645"/>
      <c r="AH43" s="2645"/>
      <c r="AI43" s="2645"/>
      <c r="AJ43" s="2659"/>
      <c r="AK43" s="2659"/>
      <c r="AL43" s="2659"/>
      <c r="AT43" s="2655"/>
      <c r="AU43" s="2646"/>
      <c r="AV43" s="2646"/>
      <c r="AW43" s="2646"/>
      <c r="AX43" s="2646"/>
      <c r="AY43" s="2646"/>
      <c r="AZ43" s="2646"/>
      <c r="BA43" s="2646"/>
      <c r="BB43" s="2646"/>
      <c r="BC43" s="2646"/>
      <c r="BD43" s="2646"/>
      <c r="BE43" s="2646"/>
      <c r="BF43" s="2646"/>
      <c r="BG43" s="2646"/>
      <c r="BH43" s="2646"/>
      <c r="BI43" s="2646"/>
      <c r="BJ43" s="2646"/>
      <c r="BK43" s="2646"/>
      <c r="BL43" s="2646"/>
      <c r="BM43" s="2646"/>
      <c r="BN43" s="2646"/>
      <c r="BO43" s="2646"/>
      <c r="BP43" s="2646"/>
      <c r="BQ43" s="2646"/>
      <c r="BR43" s="2646"/>
      <c r="BS43" s="2646"/>
      <c r="BT43" s="2663"/>
      <c r="BU43" s="2647"/>
      <c r="BV43" s="2648"/>
      <c r="BW43" s="2649"/>
      <c r="BX43" s="2649"/>
      <c r="BY43" s="2651"/>
      <c r="BZ43" s="2651"/>
      <c r="CA43" s="2651"/>
      <c r="CB43" s="2654"/>
      <c r="CC43" s="2654"/>
      <c r="CD43" s="2654"/>
    </row>
    <row r="44" spans="1:94" ht="21" customHeight="1" thickBot="1">
      <c r="B44" s="2478" t="s">
        <v>2864</v>
      </c>
      <c r="C44" s="2478"/>
      <c r="D44" s="2478"/>
      <c r="E44" s="2478"/>
      <c r="F44" s="2478"/>
      <c r="G44" s="2478"/>
      <c r="H44" s="2478"/>
      <c r="I44" s="2478"/>
      <c r="J44" s="2478"/>
      <c r="K44" s="2478"/>
      <c r="L44" s="2478"/>
      <c r="M44" s="2478"/>
      <c r="AT44" s="2478"/>
      <c r="AU44" s="2478"/>
      <c r="AV44" s="2478"/>
      <c r="AW44" s="2478"/>
      <c r="AX44" s="2478"/>
      <c r="AY44" s="2478"/>
      <c r="AZ44" s="2478"/>
      <c r="BA44" s="2478"/>
      <c r="BB44" s="2478"/>
      <c r="BC44" s="2478"/>
      <c r="BD44" s="2478"/>
      <c r="BE44" s="2478"/>
    </row>
    <row r="45" spans="1:94" ht="24.75" customHeight="1" thickTop="1">
      <c r="A45" s="2660" t="s">
        <v>3135</v>
      </c>
      <c r="B45" s="2482" t="s">
        <v>2751</v>
      </c>
      <c r="C45" s="2483"/>
      <c r="D45" s="2486">
        <f>D2</f>
        <v>0</v>
      </c>
      <c r="E45" s="2483"/>
      <c r="F45" s="2483"/>
      <c r="G45" s="2483"/>
      <c r="H45" s="2483"/>
      <c r="I45" s="2483"/>
      <c r="J45" s="2483"/>
      <c r="K45" s="2483"/>
      <c r="L45" s="2487"/>
      <c r="M45" s="2489" t="s">
        <v>2870</v>
      </c>
      <c r="N45" s="2490"/>
      <c r="O45" s="2490"/>
      <c r="P45" s="2490"/>
      <c r="Q45" s="2490"/>
      <c r="R45" s="2490"/>
      <c r="S45" s="2490"/>
      <c r="T45" s="2490"/>
      <c r="U45" s="2490"/>
      <c r="V45" s="2490"/>
      <c r="W45" s="2490"/>
      <c r="X45" s="2490"/>
      <c r="Y45" s="2490"/>
      <c r="Z45" s="2490"/>
      <c r="AA45" s="2490"/>
      <c r="AB45" s="2490"/>
      <c r="AC45" s="2490"/>
      <c r="AD45" s="2490"/>
      <c r="AE45" s="2490"/>
      <c r="AF45" s="2490"/>
      <c r="AG45" s="2490"/>
      <c r="AH45" s="2490"/>
      <c r="AI45" s="2490"/>
      <c r="AJ45" s="2490"/>
      <c r="AK45" s="2490"/>
      <c r="AL45" s="2491"/>
      <c r="AT45" s="677"/>
      <c r="AU45" s="986"/>
      <c r="AV45" s="986"/>
      <c r="AW45" s="986"/>
      <c r="AX45" s="986"/>
      <c r="AY45" s="986"/>
      <c r="AZ45" s="986"/>
      <c r="BA45" s="986"/>
      <c r="BB45" s="986"/>
      <c r="BC45" s="986"/>
      <c r="BD45" s="986"/>
      <c r="BE45" s="987"/>
      <c r="BF45" s="987"/>
      <c r="BG45" s="987"/>
      <c r="BH45" s="987"/>
      <c r="BI45" s="987"/>
      <c r="BJ45" s="987"/>
      <c r="BK45" s="987"/>
      <c r="BL45" s="987"/>
      <c r="BM45" s="987"/>
      <c r="BN45" s="987"/>
      <c r="BO45" s="987"/>
      <c r="BP45" s="987"/>
      <c r="BQ45" s="987"/>
      <c r="BR45" s="987"/>
      <c r="BS45" s="987"/>
      <c r="BT45" s="987"/>
      <c r="BU45" s="987"/>
      <c r="BV45" s="987"/>
      <c r="BW45" s="987"/>
      <c r="BX45" s="987"/>
      <c r="BY45" s="987"/>
      <c r="BZ45" s="987"/>
      <c r="CA45" s="987"/>
      <c r="CB45" s="987"/>
      <c r="CC45" s="987"/>
      <c r="CD45" s="987"/>
    </row>
    <row r="46" spans="1:94" ht="30.6" customHeight="1">
      <c r="A46" s="2661"/>
      <c r="B46" s="2484"/>
      <c r="C46" s="2485"/>
      <c r="D46" s="2485"/>
      <c r="E46" s="2485"/>
      <c r="F46" s="2485"/>
      <c r="G46" s="2485"/>
      <c r="H46" s="2485"/>
      <c r="I46" s="2485"/>
      <c r="J46" s="2485"/>
      <c r="K46" s="2485"/>
      <c r="L46" s="2488"/>
      <c r="M46" s="2492" t="s">
        <v>3085</v>
      </c>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4"/>
      <c r="AM46" s="575"/>
      <c r="AN46" s="575"/>
      <c r="AO46" s="575"/>
      <c r="AP46" s="575"/>
      <c r="AQ46" s="575"/>
      <c r="AR46" s="575"/>
      <c r="AT46" s="677"/>
      <c r="AU46" s="986"/>
      <c r="AV46" s="986"/>
      <c r="AW46" s="986"/>
      <c r="AX46" s="986"/>
      <c r="AY46" s="986"/>
      <c r="AZ46" s="986"/>
      <c r="BA46" s="986"/>
      <c r="BB46" s="986"/>
      <c r="BC46" s="986"/>
      <c r="BD46" s="986"/>
      <c r="BE46" s="988"/>
      <c r="BF46" s="988"/>
      <c r="BG46" s="988"/>
      <c r="BH46" s="988"/>
      <c r="BI46" s="988"/>
      <c r="BJ46" s="988"/>
      <c r="BK46" s="988"/>
      <c r="BL46" s="988"/>
      <c r="BM46" s="988"/>
      <c r="BN46" s="988"/>
      <c r="BO46" s="988"/>
      <c r="BP46" s="988"/>
      <c r="BQ46" s="988"/>
      <c r="BR46" s="988"/>
      <c r="BS46" s="988"/>
      <c r="BT46" s="988"/>
      <c r="BU46" s="988"/>
      <c r="BV46" s="988"/>
      <c r="BW46" s="988"/>
      <c r="BX46" s="988"/>
      <c r="BY46" s="988"/>
      <c r="BZ46" s="988"/>
      <c r="CA46" s="988"/>
      <c r="CB46" s="988"/>
      <c r="CC46" s="988"/>
      <c r="CD46" s="988"/>
    </row>
    <row r="47" spans="1:94" ht="24.75" customHeight="1">
      <c r="A47" s="2661"/>
      <c r="B47" s="2484" t="s">
        <v>2898</v>
      </c>
      <c r="C47" s="2485"/>
      <c r="D47" s="2514">
        <f>'01 使用承認申請書'!O39</f>
        <v>43069</v>
      </c>
      <c r="E47" s="2514"/>
      <c r="F47" s="2514"/>
      <c r="G47" s="2514"/>
      <c r="H47" s="2514"/>
      <c r="I47" s="2514"/>
      <c r="J47" s="2514"/>
      <c r="K47" s="2514"/>
      <c r="L47" s="2488"/>
      <c r="M47" s="2492"/>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4"/>
      <c r="AM47" s="573"/>
      <c r="AN47" s="576"/>
      <c r="AO47" s="674"/>
      <c r="AQ47" s="681"/>
      <c r="AR47" s="579"/>
      <c r="AT47" s="677"/>
      <c r="AU47" s="986"/>
      <c r="AV47" s="986"/>
      <c r="AW47" s="986"/>
      <c r="AX47" s="986"/>
      <c r="AY47" s="986"/>
      <c r="AZ47" s="986"/>
      <c r="BA47" s="986"/>
      <c r="BB47" s="989"/>
      <c r="BC47" s="986"/>
      <c r="BD47" s="986"/>
      <c r="BE47" s="988"/>
      <c r="BF47" s="988"/>
      <c r="BG47" s="988"/>
      <c r="BH47" s="988"/>
      <c r="BI47" s="988"/>
      <c r="BJ47" s="988"/>
      <c r="BK47" s="988"/>
      <c r="BL47" s="988"/>
      <c r="BM47" s="988"/>
      <c r="BN47" s="988"/>
      <c r="BO47" s="988"/>
      <c r="BP47" s="988"/>
      <c r="BQ47" s="988"/>
      <c r="BR47" s="988"/>
      <c r="BS47" s="988"/>
      <c r="BT47" s="988"/>
      <c r="BU47" s="988"/>
      <c r="BV47" s="988"/>
      <c r="BW47" s="988"/>
      <c r="BX47" s="988"/>
      <c r="BY47" s="988"/>
      <c r="BZ47" s="988"/>
      <c r="CA47" s="988"/>
      <c r="CB47" s="988"/>
      <c r="CC47" s="988"/>
      <c r="CD47" s="988"/>
    </row>
    <row r="48" spans="1:94" ht="24.75" customHeight="1" thickBot="1">
      <c r="A48" s="2662"/>
      <c r="B48" s="2513"/>
      <c r="C48" s="2499"/>
      <c r="D48" s="2515"/>
      <c r="E48" s="2515"/>
      <c r="F48" s="2515"/>
      <c r="G48" s="2515"/>
      <c r="H48" s="2515"/>
      <c r="I48" s="2515"/>
      <c r="J48" s="2515"/>
      <c r="K48" s="2515"/>
      <c r="L48" s="2500"/>
      <c r="M48" s="2495"/>
      <c r="N48" s="2496"/>
      <c r="O48" s="2496"/>
      <c r="P48" s="2496"/>
      <c r="Q48" s="2496"/>
      <c r="R48" s="2496"/>
      <c r="S48" s="2496"/>
      <c r="T48" s="2496"/>
      <c r="U48" s="2496"/>
      <c r="V48" s="2496"/>
      <c r="W48" s="2496"/>
      <c r="X48" s="2496"/>
      <c r="Y48" s="2496"/>
      <c r="Z48" s="2496"/>
      <c r="AA48" s="2496"/>
      <c r="AB48" s="2496"/>
      <c r="AC48" s="2496"/>
      <c r="AD48" s="2496"/>
      <c r="AE48" s="2496"/>
      <c r="AF48" s="2496"/>
      <c r="AG48" s="2496"/>
      <c r="AH48" s="2496"/>
      <c r="AI48" s="2496"/>
      <c r="AJ48" s="2496"/>
      <c r="AK48" s="2496"/>
      <c r="AL48" s="2497"/>
      <c r="AM48" s="576"/>
      <c r="AN48" s="576"/>
      <c r="AO48" s="674"/>
      <c r="AQ48" s="681"/>
      <c r="AT48" s="677"/>
      <c r="AU48" s="986"/>
      <c r="AV48" s="986"/>
      <c r="AW48" s="986"/>
      <c r="AX48" s="986"/>
      <c r="AY48" s="986"/>
      <c r="AZ48" s="986"/>
      <c r="BA48" s="986"/>
      <c r="BB48" s="986"/>
      <c r="BC48" s="986"/>
      <c r="BD48" s="986"/>
      <c r="BE48" s="988"/>
      <c r="BF48" s="988"/>
      <c r="BG48" s="988"/>
      <c r="BH48" s="988"/>
      <c r="BI48" s="988"/>
      <c r="BJ48" s="988"/>
      <c r="BK48" s="988"/>
      <c r="BL48" s="988"/>
      <c r="BM48" s="988"/>
      <c r="BN48" s="988"/>
      <c r="BO48" s="988"/>
      <c r="BP48" s="988"/>
      <c r="BQ48" s="988"/>
      <c r="BR48" s="988"/>
      <c r="BS48" s="988"/>
      <c r="BT48" s="988"/>
      <c r="BU48" s="988"/>
      <c r="BV48" s="988"/>
      <c r="BW48" s="988"/>
      <c r="BX48" s="988"/>
      <c r="BY48" s="988"/>
      <c r="BZ48" s="988"/>
      <c r="CA48" s="988"/>
      <c r="CB48" s="988"/>
      <c r="CC48" s="988"/>
      <c r="CD48" s="988"/>
    </row>
    <row r="49" spans="1:82" ht="15" customHeight="1" thickTop="1" thickBot="1">
      <c r="B49" s="677"/>
      <c r="C49" s="674"/>
      <c r="D49" s="674"/>
      <c r="E49" s="674"/>
      <c r="F49" s="674"/>
      <c r="G49" s="674"/>
      <c r="H49" s="674"/>
      <c r="I49" s="674"/>
      <c r="J49" s="674"/>
      <c r="K49" s="674"/>
      <c r="L49" s="674"/>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976"/>
      <c r="AK49" s="679"/>
      <c r="AL49" s="680"/>
      <c r="AM49" s="576"/>
      <c r="AN49" s="576"/>
      <c r="AO49" s="674"/>
      <c r="AP49" s="682"/>
      <c r="AQ49" s="681"/>
      <c r="AT49" s="677"/>
      <c r="AU49" s="674"/>
      <c r="AV49" s="674"/>
      <c r="AW49" s="674"/>
      <c r="AX49" s="674"/>
      <c r="AY49" s="674"/>
      <c r="AZ49" s="674"/>
      <c r="BA49" s="674"/>
      <c r="BB49" s="674"/>
      <c r="BC49" s="674"/>
      <c r="BD49" s="674"/>
      <c r="BE49" s="675"/>
      <c r="BF49" s="675"/>
      <c r="BG49" s="675"/>
      <c r="BH49" s="675"/>
      <c r="BI49" s="675"/>
      <c r="BJ49" s="675"/>
      <c r="BK49" s="675"/>
      <c r="BL49" s="675"/>
      <c r="BM49" s="675"/>
      <c r="BN49" s="675"/>
      <c r="BO49" s="675"/>
      <c r="BP49" s="675"/>
      <c r="BQ49" s="675"/>
      <c r="BR49" s="675"/>
      <c r="BS49" s="675"/>
      <c r="BT49" s="675"/>
      <c r="BU49" s="675"/>
      <c r="BV49" s="675"/>
      <c r="BW49" s="675"/>
      <c r="BX49" s="675"/>
      <c r="BY49" s="675"/>
      <c r="BZ49" s="675"/>
      <c r="CA49" s="675"/>
      <c r="CB49" s="734"/>
      <c r="CC49" s="734"/>
      <c r="CD49" s="734"/>
    </row>
    <row r="50" spans="1:82" ht="18.75" customHeight="1">
      <c r="A50" s="2501" t="s">
        <v>3086</v>
      </c>
      <c r="B50" s="2503" t="s">
        <v>2883</v>
      </c>
      <c r="C50" s="2504"/>
      <c r="D50" s="2504"/>
      <c r="E50" s="2504"/>
      <c r="F50" s="2504"/>
      <c r="G50" s="2504"/>
      <c r="H50" s="2504"/>
      <c r="I50" s="2504"/>
      <c r="J50" s="2504"/>
      <c r="K50" s="2504"/>
      <c r="L50" s="2504"/>
      <c r="M50" s="2504"/>
      <c r="N50" s="2504"/>
      <c r="O50" s="2504"/>
      <c r="P50" s="2504"/>
      <c r="Q50" s="2504"/>
      <c r="R50" s="2504"/>
      <c r="S50" s="2504"/>
      <c r="T50" s="2504"/>
      <c r="U50" s="2505"/>
      <c r="V50" s="2490" t="s">
        <v>2885</v>
      </c>
      <c r="W50" s="2490"/>
      <c r="X50" s="2491"/>
      <c r="Y50" s="2489" t="s">
        <v>2869</v>
      </c>
      <c r="Z50" s="2490"/>
      <c r="AA50" s="2490"/>
      <c r="AB50" s="2490"/>
      <c r="AC50" s="2490"/>
      <c r="AD50" s="2490"/>
      <c r="AE50" s="2490"/>
      <c r="AF50" s="2491"/>
      <c r="AG50" s="2489" t="s">
        <v>2742</v>
      </c>
      <c r="AH50" s="2490"/>
      <c r="AI50" s="2490"/>
      <c r="AJ50" s="2490"/>
      <c r="AK50" s="2490"/>
      <c r="AL50" s="2491"/>
      <c r="AM50" s="576"/>
      <c r="AN50" s="576"/>
      <c r="AO50" s="674"/>
      <c r="AQ50" s="681"/>
      <c r="AT50" s="986"/>
      <c r="AU50" s="986"/>
      <c r="AV50" s="986"/>
      <c r="AW50" s="986"/>
      <c r="AX50" s="986"/>
      <c r="AY50" s="986"/>
      <c r="AZ50" s="986"/>
      <c r="BA50" s="986"/>
      <c r="BB50" s="986"/>
      <c r="BC50" s="986"/>
      <c r="BD50" s="986"/>
      <c r="BE50" s="986"/>
      <c r="BF50" s="986"/>
      <c r="BG50" s="986"/>
      <c r="BH50" s="986"/>
      <c r="BI50" s="986"/>
      <c r="BJ50" s="986"/>
      <c r="BK50" s="986"/>
      <c r="BL50" s="986"/>
      <c r="BM50" s="986"/>
      <c r="BN50" s="987"/>
      <c r="BO50" s="987"/>
      <c r="BP50" s="987"/>
      <c r="BQ50" s="987"/>
      <c r="BR50" s="987"/>
      <c r="BS50" s="987"/>
      <c r="BT50" s="987"/>
      <c r="BU50" s="987"/>
      <c r="BV50" s="987"/>
      <c r="BW50" s="987"/>
      <c r="BX50" s="987"/>
      <c r="BY50" s="987"/>
      <c r="BZ50" s="987"/>
      <c r="CA50" s="987"/>
      <c r="CB50" s="987"/>
      <c r="CC50" s="987"/>
      <c r="CD50" s="987"/>
    </row>
    <row r="51" spans="1:82" ht="18.75" customHeight="1">
      <c r="A51" s="2502"/>
      <c r="B51" s="2518" t="s">
        <v>2752</v>
      </c>
      <c r="C51" s="2512"/>
      <c r="D51" s="2512"/>
      <c r="E51" s="2512" t="s">
        <v>2867</v>
      </c>
      <c r="F51" s="2512"/>
      <c r="G51" s="2512"/>
      <c r="H51" s="2512" t="s">
        <v>2868</v>
      </c>
      <c r="I51" s="2512"/>
      <c r="J51" s="2512"/>
      <c r="K51" s="2512" t="s">
        <v>2871</v>
      </c>
      <c r="L51" s="2512"/>
      <c r="M51" s="2512"/>
      <c r="N51" s="2512"/>
      <c r="O51" s="2512"/>
      <c r="P51" s="2512"/>
      <c r="Q51" s="2512" t="s">
        <v>2865</v>
      </c>
      <c r="R51" s="2512"/>
      <c r="S51" s="2512"/>
      <c r="T51" s="2512" t="s">
        <v>2866</v>
      </c>
      <c r="U51" s="2519"/>
      <c r="V51" s="2508"/>
      <c r="W51" s="2508"/>
      <c r="X51" s="2509"/>
      <c r="Y51" s="2510"/>
      <c r="Z51" s="2508"/>
      <c r="AA51" s="2508"/>
      <c r="AB51" s="2508"/>
      <c r="AC51" s="2508"/>
      <c r="AD51" s="2508"/>
      <c r="AE51" s="2508"/>
      <c r="AF51" s="2509"/>
      <c r="AG51" s="2510"/>
      <c r="AH51" s="2508"/>
      <c r="AI51" s="2508"/>
      <c r="AJ51" s="2508"/>
      <c r="AK51" s="2508"/>
      <c r="AL51" s="2509"/>
      <c r="AM51" s="575"/>
      <c r="AN51" s="575"/>
      <c r="AO51" s="674"/>
      <c r="AQ51" s="681"/>
      <c r="AT51" s="987"/>
      <c r="AU51" s="987"/>
      <c r="AV51" s="987"/>
      <c r="AW51" s="987"/>
      <c r="AX51" s="987"/>
      <c r="AY51" s="987"/>
      <c r="AZ51" s="987"/>
      <c r="BA51" s="987"/>
      <c r="BB51" s="987"/>
      <c r="BC51" s="987"/>
      <c r="BD51" s="987"/>
      <c r="BE51" s="987"/>
      <c r="BF51" s="987"/>
      <c r="BG51" s="987"/>
      <c r="BH51" s="987"/>
      <c r="BI51" s="987"/>
      <c r="BJ51" s="987"/>
      <c r="BK51" s="987"/>
      <c r="BL51" s="987"/>
      <c r="BM51" s="987"/>
      <c r="BN51" s="987"/>
      <c r="BO51" s="987"/>
      <c r="BP51" s="987"/>
      <c r="BQ51" s="987"/>
      <c r="BR51" s="987"/>
      <c r="BS51" s="987"/>
      <c r="BT51" s="987"/>
      <c r="BU51" s="987"/>
      <c r="BV51" s="987"/>
      <c r="BW51" s="987"/>
      <c r="BX51" s="987"/>
      <c r="BY51" s="987"/>
      <c r="BZ51" s="987"/>
      <c r="CA51" s="987"/>
      <c r="CB51" s="987"/>
      <c r="CC51" s="987"/>
      <c r="CD51" s="987"/>
    </row>
    <row r="52" spans="1:82" ht="18" customHeight="1">
      <c r="A52" s="2521" t="s">
        <v>3182</v>
      </c>
      <c r="B52" s="2523"/>
      <c r="C52" s="2524"/>
      <c r="D52" s="2524"/>
      <c r="E52" s="2527"/>
      <c r="F52" s="2527"/>
      <c r="G52" s="2527"/>
      <c r="H52" s="2527"/>
      <c r="I52" s="2527"/>
      <c r="J52" s="2527"/>
      <c r="K52" s="2524"/>
      <c r="L52" s="2524"/>
      <c r="M52" s="2524"/>
      <c r="N52" s="2524"/>
      <c r="O52" s="2524"/>
      <c r="P52" s="2524"/>
      <c r="Q52" s="2524"/>
      <c r="R52" s="2524"/>
      <c r="S52" s="2524"/>
      <c r="T52" s="2535">
        <v>1</v>
      </c>
      <c r="U52" s="2536"/>
      <c r="V52" s="2545" t="str">
        <f>_xlfn.IFS(Q52=$AO$4,$AN$4,Q52=$AO$5,$AN$5,Q52=$AO$6,$AN$5,,,Q52="","")</f>
        <v/>
      </c>
      <c r="W52" s="2545"/>
      <c r="X52" s="2546"/>
      <c r="Y52" s="2539"/>
      <c r="Z52" s="2540"/>
      <c r="AA52" s="2540"/>
      <c r="AB52" s="2540"/>
      <c r="AC52" s="2540"/>
      <c r="AD52" s="2540"/>
      <c r="AE52" s="2540"/>
      <c r="AF52" s="2541"/>
      <c r="AG52" s="2551"/>
      <c r="AH52" s="2552"/>
      <c r="AI52" s="2552"/>
      <c r="AJ52" s="2552"/>
      <c r="AK52" s="2552"/>
      <c r="AL52" s="2553"/>
      <c r="AM52" s="575"/>
      <c r="AN52" s="575"/>
      <c r="AO52" s="575"/>
      <c r="AQ52" s="681"/>
      <c r="AT52" s="990"/>
      <c r="AU52" s="990"/>
      <c r="AV52" s="990"/>
      <c r="AW52" s="990"/>
      <c r="AX52" s="990"/>
      <c r="AY52" s="990"/>
      <c r="AZ52" s="990"/>
      <c r="BA52" s="990"/>
      <c r="BB52" s="990"/>
      <c r="BC52" s="990"/>
      <c r="BD52" s="990"/>
      <c r="BE52" s="990"/>
      <c r="BF52" s="990"/>
      <c r="BG52" s="990"/>
      <c r="BH52" s="990"/>
      <c r="BI52" s="990"/>
      <c r="BJ52" s="990"/>
      <c r="BK52" s="990"/>
      <c r="BL52" s="990"/>
      <c r="BM52" s="990"/>
      <c r="BN52" s="990"/>
      <c r="BO52" s="990"/>
      <c r="BP52" s="990"/>
      <c r="BQ52" s="987"/>
      <c r="BR52" s="987"/>
      <c r="BS52" s="987"/>
      <c r="BT52" s="987"/>
      <c r="BU52" s="987"/>
      <c r="BV52" s="987"/>
      <c r="BW52" s="987"/>
      <c r="BX52" s="987"/>
      <c r="BY52" s="736"/>
      <c r="BZ52" s="736"/>
      <c r="CA52" s="736"/>
      <c r="CB52" s="736"/>
      <c r="CC52" s="736"/>
      <c r="CD52" s="736"/>
    </row>
    <row r="53" spans="1:82" ht="18" customHeight="1">
      <c r="A53" s="2522"/>
      <c r="B53" s="2525"/>
      <c r="C53" s="2526"/>
      <c r="D53" s="2526"/>
      <c r="E53" s="2528"/>
      <c r="F53" s="2528"/>
      <c r="G53" s="2528"/>
      <c r="H53" s="2528"/>
      <c r="I53" s="2528"/>
      <c r="J53" s="2528"/>
      <c r="K53" s="2526"/>
      <c r="L53" s="2526"/>
      <c r="M53" s="2526"/>
      <c r="N53" s="2526"/>
      <c r="O53" s="2526"/>
      <c r="P53" s="2526"/>
      <c r="Q53" s="2526"/>
      <c r="R53" s="2526"/>
      <c r="S53" s="2526"/>
      <c r="T53" s="2542"/>
      <c r="U53" s="2543"/>
      <c r="V53" s="2530" t="str">
        <f>_xlfn.IFS(AND(B52=$AP$4,Q52=$AO$4),$AS$6,AND(B52=$AP$5,Q52=$AO$4),$AS$6,AND(B52=$AP$6,Q52=$AO$4),$AS$9,AND(B52=$AP$4,Q52=$AO$5),$AS$3,AND(B52=$AP$5,Q52=$AO$5),$AS$3,AND(B52=$AP$6,Q52=$AO$5),$AS$9,AND(B52=$AP$7,Q52=$AO$5),$AS$7,AND(B52=$AP$4,Q52=$AO$6),$AS$3,AND(B52=$AP$5,Q52=$AO$6),$AS$3,AND(B52=$AP$6,Q52=$AO$6),$AS$9,Q52="","")</f>
        <v/>
      </c>
      <c r="W53" s="2530"/>
      <c r="X53" s="2531"/>
      <c r="Y53" s="2510"/>
      <c r="Z53" s="2508"/>
      <c r="AA53" s="2508"/>
      <c r="AB53" s="2508"/>
      <c r="AC53" s="2508"/>
      <c r="AD53" s="2508"/>
      <c r="AE53" s="2508"/>
      <c r="AF53" s="2509"/>
      <c r="AG53" s="2554"/>
      <c r="AH53" s="2555"/>
      <c r="AI53" s="2555"/>
      <c r="AJ53" s="2555"/>
      <c r="AK53" s="2555"/>
      <c r="AL53" s="2556"/>
      <c r="AM53" s="575"/>
      <c r="AN53" s="575"/>
      <c r="AO53" s="575"/>
      <c r="AQ53" s="681"/>
      <c r="AT53" s="986"/>
      <c r="AU53" s="986"/>
      <c r="AV53" s="986"/>
      <c r="AW53" s="986"/>
      <c r="AX53" s="986"/>
      <c r="AY53" s="986"/>
      <c r="AZ53" s="986"/>
      <c r="BA53" s="986"/>
      <c r="BB53" s="986"/>
      <c r="BC53" s="986"/>
      <c r="BD53" s="986"/>
      <c r="BE53" s="986"/>
      <c r="BF53" s="986"/>
      <c r="BG53" s="986"/>
      <c r="BH53" s="986"/>
      <c r="BI53" s="986"/>
      <c r="BJ53" s="986"/>
      <c r="BK53" s="986"/>
      <c r="BL53" s="986"/>
      <c r="BM53" s="986"/>
      <c r="BN53" s="986"/>
      <c r="BO53" s="986"/>
      <c r="BP53" s="986"/>
      <c r="BQ53" s="987"/>
      <c r="BR53" s="987"/>
      <c r="BS53" s="987"/>
      <c r="BT53" s="987"/>
      <c r="BU53" s="987"/>
      <c r="BV53" s="987"/>
      <c r="BW53" s="987"/>
      <c r="BX53" s="987"/>
      <c r="BY53" s="736"/>
      <c r="BZ53" s="736"/>
      <c r="CA53" s="736"/>
      <c r="CB53" s="736"/>
      <c r="CC53" s="736"/>
      <c r="CD53" s="736"/>
    </row>
    <row r="54" spans="1:82" ht="18" customHeight="1">
      <c r="A54" s="2522"/>
      <c r="B54" s="2523"/>
      <c r="C54" s="2524"/>
      <c r="D54" s="2524"/>
      <c r="E54" s="2527"/>
      <c r="F54" s="2527"/>
      <c r="G54" s="2527"/>
      <c r="H54" s="2527"/>
      <c r="I54" s="2527"/>
      <c r="J54" s="2527"/>
      <c r="K54" s="2524"/>
      <c r="L54" s="2524"/>
      <c r="M54" s="2524"/>
      <c r="N54" s="2524"/>
      <c r="O54" s="2524"/>
      <c r="P54" s="2524"/>
      <c r="Q54" s="2524"/>
      <c r="R54" s="2524"/>
      <c r="S54" s="2524"/>
      <c r="T54" s="2535">
        <v>1</v>
      </c>
      <c r="U54" s="2536"/>
      <c r="V54" s="2545" t="str">
        <f>_xlfn.IFS(Q54=$AO$4,$AN$4,Q54=$AO$5,$AN$5,Q54=$AO$6,$AN$5,,,Q54="","")</f>
        <v/>
      </c>
      <c r="W54" s="2545"/>
      <c r="X54" s="2546"/>
      <c r="Y54" s="2559"/>
      <c r="Z54" s="2560"/>
      <c r="AA54" s="2560"/>
      <c r="AB54" s="2560"/>
      <c r="AC54" s="2560"/>
      <c r="AD54" s="2560"/>
      <c r="AE54" s="2560"/>
      <c r="AF54" s="2561"/>
      <c r="AG54" s="2562"/>
      <c r="AH54" s="2563"/>
      <c r="AI54" s="2563"/>
      <c r="AJ54" s="2563"/>
      <c r="AK54" s="2563"/>
      <c r="AL54" s="2564"/>
      <c r="AQ54" s="681"/>
      <c r="AT54" s="990"/>
      <c r="AU54" s="990"/>
      <c r="AV54" s="990"/>
      <c r="AW54" s="990"/>
      <c r="AX54" s="990"/>
      <c r="AY54" s="990"/>
      <c r="AZ54" s="990"/>
      <c r="BA54" s="990"/>
      <c r="BB54" s="990"/>
      <c r="BC54" s="990"/>
      <c r="BD54" s="990"/>
      <c r="BE54" s="990"/>
      <c r="BF54" s="990"/>
      <c r="BG54" s="990"/>
      <c r="BH54" s="990"/>
      <c r="BI54" s="990"/>
      <c r="BJ54" s="990"/>
      <c r="BK54" s="990"/>
      <c r="BL54" s="990"/>
      <c r="BM54" s="990"/>
      <c r="BN54" s="990"/>
      <c r="BO54" s="990"/>
      <c r="BP54" s="990"/>
      <c r="BQ54" s="987"/>
      <c r="BR54" s="987"/>
      <c r="BS54" s="987"/>
      <c r="BT54" s="987"/>
      <c r="BU54" s="987"/>
      <c r="BV54" s="987"/>
      <c r="BW54" s="987"/>
      <c r="BX54" s="987"/>
      <c r="BY54" s="736"/>
      <c r="BZ54" s="736"/>
      <c r="CA54" s="736"/>
      <c r="CB54" s="736"/>
      <c r="CC54" s="736"/>
      <c r="CD54" s="736"/>
    </row>
    <row r="55" spans="1:82" ht="18" customHeight="1">
      <c r="A55" s="2522"/>
      <c r="B55" s="2525"/>
      <c r="C55" s="2526"/>
      <c r="D55" s="2526"/>
      <c r="E55" s="2528"/>
      <c r="F55" s="2528"/>
      <c r="G55" s="2528"/>
      <c r="H55" s="2528"/>
      <c r="I55" s="2528"/>
      <c r="J55" s="2528"/>
      <c r="K55" s="2524"/>
      <c r="L55" s="2524"/>
      <c r="M55" s="2524"/>
      <c r="N55" s="2524"/>
      <c r="O55" s="2524"/>
      <c r="P55" s="2524"/>
      <c r="Q55" s="2524"/>
      <c r="R55" s="2524"/>
      <c r="S55" s="2524"/>
      <c r="T55" s="2542"/>
      <c r="U55" s="2543"/>
      <c r="V55" s="2530" t="str">
        <f>_xlfn.IFS(AND(B54=$AP$4,Q54=$AO$4),$AS$6,AND(B54=$AP$5,Q54=$AO$4),$AS$6,AND(B54=$AP$6,Q54=$AO$4),$AS$9,AND(B54=$AP$4,Q54=$AO$5),$AS$3,AND(B54=$AP$5,Q54=$AO$5),$AS$3,AND(B54=$AP$6,Q54=$AO$5),$AS$9,AND(B54=$AP$7,Q54=$AO$5),$AS$7,AND(B54=$AP$4,Q54=$AO$6),$AS$3,AND(B54=$AP$5,Q54=$AO$6),$AS$3,AND(B54=$AP$6,Q54=$AO$6),$AS$9,Q54="","")</f>
        <v/>
      </c>
      <c r="W55" s="2530"/>
      <c r="X55" s="2531"/>
      <c r="Y55" s="2559"/>
      <c r="Z55" s="2560"/>
      <c r="AA55" s="2560"/>
      <c r="AB55" s="2560"/>
      <c r="AC55" s="2560"/>
      <c r="AD55" s="2560"/>
      <c r="AE55" s="2560"/>
      <c r="AF55" s="2561"/>
      <c r="AG55" s="2562"/>
      <c r="AH55" s="2563"/>
      <c r="AI55" s="2563"/>
      <c r="AJ55" s="2563"/>
      <c r="AK55" s="2563"/>
      <c r="AL55" s="2564"/>
      <c r="AQ55" s="681"/>
      <c r="AT55" s="986"/>
      <c r="AU55" s="986"/>
      <c r="AV55" s="986"/>
      <c r="AW55" s="986"/>
      <c r="AX55" s="986"/>
      <c r="AY55" s="986"/>
      <c r="AZ55" s="986"/>
      <c r="BA55" s="986"/>
      <c r="BB55" s="986"/>
      <c r="BC55" s="986"/>
      <c r="BD55" s="986"/>
      <c r="BE55" s="986"/>
      <c r="BF55" s="986"/>
      <c r="BG55" s="986"/>
      <c r="BH55" s="986"/>
      <c r="BI55" s="986"/>
      <c r="BJ55" s="986"/>
      <c r="BK55" s="986"/>
      <c r="BL55" s="986"/>
      <c r="BM55" s="986"/>
      <c r="BN55" s="986"/>
      <c r="BO55" s="986"/>
      <c r="BP55" s="986"/>
      <c r="BQ55" s="987"/>
      <c r="BR55" s="987"/>
      <c r="BS55" s="987"/>
      <c r="BT55" s="987"/>
      <c r="BU55" s="987"/>
      <c r="BV55" s="987"/>
      <c r="BW55" s="987"/>
      <c r="BX55" s="987"/>
      <c r="BY55" s="736"/>
      <c r="BZ55" s="736"/>
      <c r="CA55" s="736"/>
      <c r="CB55" s="736"/>
      <c r="CC55" s="736"/>
      <c r="CD55" s="736"/>
    </row>
    <row r="56" spans="1:82" ht="18" customHeight="1">
      <c r="A56" s="2522"/>
      <c r="B56" s="2523"/>
      <c r="C56" s="2524"/>
      <c r="D56" s="2524"/>
      <c r="E56" s="2527"/>
      <c r="F56" s="2527"/>
      <c r="G56" s="2527"/>
      <c r="H56" s="2527"/>
      <c r="I56" s="2527"/>
      <c r="J56" s="2527"/>
      <c r="K56" s="2524"/>
      <c r="L56" s="2524"/>
      <c r="M56" s="2524"/>
      <c r="N56" s="2524"/>
      <c r="O56" s="2524"/>
      <c r="P56" s="2524"/>
      <c r="Q56" s="2524"/>
      <c r="R56" s="2524"/>
      <c r="S56" s="2524"/>
      <c r="T56" s="2535">
        <v>1</v>
      </c>
      <c r="U56" s="2536"/>
      <c r="V56" s="2545" t="str">
        <f>_xlfn.IFS(Q56=$AO$4,$AN$4,Q56=$AO$5,$AN$5,Q56=$AO$6,$AN$5,,,Q56="","")</f>
        <v/>
      </c>
      <c r="W56" s="2545"/>
      <c r="X56" s="2546"/>
      <c r="Y56" s="2559"/>
      <c r="Z56" s="2560"/>
      <c r="AA56" s="2560"/>
      <c r="AB56" s="2560"/>
      <c r="AC56" s="2560"/>
      <c r="AD56" s="2560"/>
      <c r="AE56" s="2560"/>
      <c r="AF56" s="2561"/>
      <c r="AG56" s="2562"/>
      <c r="AH56" s="2563"/>
      <c r="AI56" s="2563"/>
      <c r="AJ56" s="2563"/>
      <c r="AK56" s="2563"/>
      <c r="AL56" s="2564"/>
      <c r="AQ56" s="681"/>
      <c r="AT56" s="990"/>
      <c r="AU56" s="990"/>
      <c r="AV56" s="990"/>
      <c r="AW56" s="990"/>
      <c r="AX56" s="990"/>
      <c r="AY56" s="990"/>
      <c r="AZ56" s="990"/>
      <c r="BA56" s="990"/>
      <c r="BB56" s="990"/>
      <c r="BC56" s="990"/>
      <c r="BD56" s="990"/>
      <c r="BE56" s="990"/>
      <c r="BF56" s="990"/>
      <c r="BG56" s="990"/>
      <c r="BH56" s="990"/>
      <c r="BI56" s="990"/>
      <c r="BJ56" s="990"/>
      <c r="BK56" s="990"/>
      <c r="BL56" s="990"/>
      <c r="BM56" s="990"/>
      <c r="BN56" s="990"/>
      <c r="BO56" s="990"/>
      <c r="BP56" s="990"/>
      <c r="BQ56" s="987"/>
      <c r="BR56" s="987"/>
      <c r="BS56" s="987"/>
      <c r="BT56" s="987"/>
      <c r="BU56" s="987"/>
      <c r="BV56" s="987"/>
      <c r="BW56" s="987"/>
      <c r="BX56" s="987"/>
      <c r="BY56" s="736"/>
      <c r="BZ56" s="736"/>
      <c r="CA56" s="736"/>
      <c r="CB56" s="736"/>
      <c r="CC56" s="736"/>
      <c r="CD56" s="736"/>
    </row>
    <row r="57" spans="1:82" ht="18" customHeight="1">
      <c r="A57" s="2522"/>
      <c r="B57" s="2525"/>
      <c r="C57" s="2526"/>
      <c r="D57" s="2526"/>
      <c r="E57" s="2528"/>
      <c r="F57" s="2528"/>
      <c r="G57" s="2528"/>
      <c r="H57" s="2528"/>
      <c r="I57" s="2528"/>
      <c r="J57" s="2528"/>
      <c r="K57" s="2524"/>
      <c r="L57" s="2524"/>
      <c r="M57" s="2524"/>
      <c r="N57" s="2524"/>
      <c r="O57" s="2524"/>
      <c r="P57" s="2524"/>
      <c r="Q57" s="2524"/>
      <c r="R57" s="2524"/>
      <c r="S57" s="2524"/>
      <c r="T57" s="2542"/>
      <c r="U57" s="2543"/>
      <c r="V57" s="2530" t="str">
        <f>_xlfn.IFS(AND(B56=$AP$4,Q56=$AO$4),$AS$6,AND(B56=$AP$5,Q56=$AO$4),$AS$6,AND(B56=$AP$6,Q56=$AO$4),$AS$9,AND(B56=$AP$4,Q56=$AO$5),$AS$3,AND(B56=$AP$5,Q56=$AO$5),$AS$3,AND(B56=$AP$6,Q56=$AO$5),$AS$9,AND(B56=$AP$7,Q56=$AO$5),$AS$7,AND(B56=$AP$4,Q56=$AO$6),$AS$3,AND(B56=$AP$5,Q56=$AO$6),$AS$3,AND(B56=$AP$6,Q56=$AO$6),$AS$9,Q56="","")</f>
        <v/>
      </c>
      <c r="W57" s="2530"/>
      <c r="X57" s="2531"/>
      <c r="Y57" s="2559"/>
      <c r="Z57" s="2560"/>
      <c r="AA57" s="2560"/>
      <c r="AB57" s="2560"/>
      <c r="AC57" s="2560"/>
      <c r="AD57" s="2560"/>
      <c r="AE57" s="2560"/>
      <c r="AF57" s="2561"/>
      <c r="AG57" s="2562"/>
      <c r="AH57" s="2563"/>
      <c r="AI57" s="2563"/>
      <c r="AJ57" s="2563"/>
      <c r="AK57" s="2563"/>
      <c r="AL57" s="2564"/>
      <c r="AQ57" s="681"/>
      <c r="AT57" s="986"/>
      <c r="AU57" s="986"/>
      <c r="AV57" s="986"/>
      <c r="AW57" s="986"/>
      <c r="AX57" s="986"/>
      <c r="AY57" s="986"/>
      <c r="AZ57" s="986"/>
      <c r="BA57" s="986"/>
      <c r="BB57" s="986"/>
      <c r="BC57" s="986"/>
      <c r="BD57" s="986"/>
      <c r="BE57" s="986"/>
      <c r="BF57" s="986"/>
      <c r="BG57" s="986"/>
      <c r="BH57" s="986"/>
      <c r="BI57" s="986"/>
      <c r="BJ57" s="986"/>
      <c r="BK57" s="986"/>
      <c r="BL57" s="986"/>
      <c r="BM57" s="986"/>
      <c r="BN57" s="986"/>
      <c r="BO57" s="986"/>
      <c r="BP57" s="986"/>
      <c r="BQ57" s="987"/>
      <c r="BR57" s="987"/>
      <c r="BS57" s="987"/>
      <c r="BT57" s="987"/>
      <c r="BU57" s="987"/>
      <c r="BV57" s="987"/>
      <c r="BW57" s="987"/>
      <c r="BX57" s="987"/>
      <c r="BY57" s="736"/>
      <c r="BZ57" s="736"/>
      <c r="CA57" s="736"/>
      <c r="CB57" s="736"/>
      <c r="CC57" s="736"/>
      <c r="CD57" s="736"/>
    </row>
    <row r="58" spans="1:82" ht="18" customHeight="1">
      <c r="A58" s="2522"/>
      <c r="B58" s="2523"/>
      <c r="C58" s="2524"/>
      <c r="D58" s="2524"/>
      <c r="E58" s="2527"/>
      <c r="F58" s="2527"/>
      <c r="G58" s="2527"/>
      <c r="H58" s="2527"/>
      <c r="I58" s="2527"/>
      <c r="J58" s="2527"/>
      <c r="K58" s="2524"/>
      <c r="L58" s="2524"/>
      <c r="M58" s="2524"/>
      <c r="N58" s="2524"/>
      <c r="O58" s="2524"/>
      <c r="P58" s="2524"/>
      <c r="Q58" s="2524"/>
      <c r="R58" s="2524"/>
      <c r="S58" s="2524"/>
      <c r="T58" s="2535">
        <v>1</v>
      </c>
      <c r="U58" s="2536"/>
      <c r="V58" s="2545" t="str">
        <f>_xlfn.IFS(Q58=$AO$4,$AN$4,Q58=$AO$5,$AN$5,Q58=$AO$6,$AN$5,,,Q58="","")</f>
        <v/>
      </c>
      <c r="W58" s="2545"/>
      <c r="X58" s="2546"/>
      <c r="Y58" s="2559"/>
      <c r="Z58" s="2560"/>
      <c r="AA58" s="2560"/>
      <c r="AB58" s="2560"/>
      <c r="AC58" s="2560"/>
      <c r="AD58" s="2560"/>
      <c r="AE58" s="2560"/>
      <c r="AF58" s="2561"/>
      <c r="AG58" s="2562"/>
      <c r="AH58" s="2563"/>
      <c r="AI58" s="2563"/>
      <c r="AJ58" s="2563"/>
      <c r="AK58" s="2563"/>
      <c r="AL58" s="2564"/>
      <c r="AQ58" s="681"/>
      <c r="AT58" s="990"/>
      <c r="AU58" s="990"/>
      <c r="AV58" s="990"/>
      <c r="AW58" s="990"/>
      <c r="AX58" s="990"/>
      <c r="AY58" s="990"/>
      <c r="AZ58" s="990"/>
      <c r="BA58" s="990"/>
      <c r="BB58" s="990"/>
      <c r="BC58" s="990"/>
      <c r="BD58" s="990"/>
      <c r="BE58" s="990"/>
      <c r="BF58" s="990"/>
      <c r="BG58" s="990"/>
      <c r="BH58" s="990"/>
      <c r="BI58" s="990"/>
      <c r="BJ58" s="990"/>
      <c r="BK58" s="990"/>
      <c r="BL58" s="990"/>
      <c r="BM58" s="990"/>
      <c r="BN58" s="990"/>
      <c r="BO58" s="990"/>
      <c r="BP58" s="990"/>
      <c r="BQ58" s="987"/>
      <c r="BR58" s="987"/>
      <c r="BS58" s="987"/>
      <c r="BT58" s="987"/>
      <c r="BU58" s="987"/>
      <c r="BV58" s="987"/>
      <c r="BW58" s="987"/>
      <c r="BX58" s="987"/>
      <c r="BY58" s="736"/>
      <c r="BZ58" s="736"/>
      <c r="CA58" s="736"/>
      <c r="CB58" s="736"/>
      <c r="CC58" s="736"/>
      <c r="CD58" s="736"/>
    </row>
    <row r="59" spans="1:82" ht="18" customHeight="1">
      <c r="A59" s="2522"/>
      <c r="B59" s="2525"/>
      <c r="C59" s="2526"/>
      <c r="D59" s="2526"/>
      <c r="E59" s="2528"/>
      <c r="F59" s="2528"/>
      <c r="G59" s="2528"/>
      <c r="H59" s="2528"/>
      <c r="I59" s="2528"/>
      <c r="J59" s="2528"/>
      <c r="K59" s="2524"/>
      <c r="L59" s="2524"/>
      <c r="M59" s="2524"/>
      <c r="N59" s="2524"/>
      <c r="O59" s="2524"/>
      <c r="P59" s="2524"/>
      <c r="Q59" s="2524"/>
      <c r="R59" s="2524"/>
      <c r="S59" s="2524"/>
      <c r="T59" s="2542"/>
      <c r="U59" s="2543"/>
      <c r="V59" s="2530" t="str">
        <f>_xlfn.IFS(AND(B58=$AP$4,Q58=$AO$4),$AS$6,AND(B58=$AP$5,Q58=$AO$4),$AS$6,AND(B58=$AP$6,Q58=$AO$4),$AS$9,AND(B58=$AP$4,Q58=$AO$5),$AS$3,AND(B58=$AP$5,Q58=$AO$5),$AS$3,AND(B58=$AP$6,Q58=$AO$5),$AS$9,AND(B58=$AP$7,Q58=$AO$5),$AS$7,AND(B58=$AP$4,Q58=$AO$6),$AS$3,AND(B58=$AP$5,Q58=$AO$6),$AS$3,AND(B58=$AP$6,Q58=$AO$6),$AS$9,Q58="","")</f>
        <v/>
      </c>
      <c r="W59" s="2530"/>
      <c r="X59" s="2531"/>
      <c r="Y59" s="2559"/>
      <c r="Z59" s="2560"/>
      <c r="AA59" s="2560"/>
      <c r="AB59" s="2560"/>
      <c r="AC59" s="2560"/>
      <c r="AD59" s="2560"/>
      <c r="AE59" s="2560"/>
      <c r="AF59" s="2561"/>
      <c r="AG59" s="2562"/>
      <c r="AH59" s="2563"/>
      <c r="AI59" s="2563"/>
      <c r="AJ59" s="2563"/>
      <c r="AK59" s="2563"/>
      <c r="AL59" s="2564"/>
      <c r="AQ59" s="681"/>
      <c r="AT59" s="986"/>
      <c r="AU59" s="986"/>
      <c r="AV59" s="986"/>
      <c r="AW59" s="986"/>
      <c r="AX59" s="986"/>
      <c r="AY59" s="986"/>
      <c r="AZ59" s="986"/>
      <c r="BA59" s="986"/>
      <c r="BB59" s="986"/>
      <c r="BC59" s="986"/>
      <c r="BD59" s="986"/>
      <c r="BE59" s="986"/>
      <c r="BF59" s="986"/>
      <c r="BG59" s="986"/>
      <c r="BH59" s="986"/>
      <c r="BI59" s="986"/>
      <c r="BJ59" s="986"/>
      <c r="BK59" s="986"/>
      <c r="BL59" s="986"/>
      <c r="BM59" s="986"/>
      <c r="BN59" s="986"/>
      <c r="BO59" s="986"/>
      <c r="BP59" s="986"/>
      <c r="BQ59" s="987"/>
      <c r="BR59" s="987"/>
      <c r="BS59" s="987"/>
      <c r="BT59" s="987"/>
      <c r="BU59" s="987"/>
      <c r="BV59" s="987"/>
      <c r="BW59" s="987"/>
      <c r="BX59" s="987"/>
      <c r="BY59" s="736"/>
      <c r="BZ59" s="736"/>
      <c r="CA59" s="736"/>
      <c r="CB59" s="736"/>
      <c r="CC59" s="736"/>
      <c r="CD59" s="736"/>
    </row>
    <row r="60" spans="1:82" ht="18" customHeight="1">
      <c r="A60" s="2522"/>
      <c r="B60" s="2523"/>
      <c r="C60" s="2524"/>
      <c r="D60" s="2524"/>
      <c r="E60" s="2527"/>
      <c r="F60" s="2527"/>
      <c r="G60" s="2527"/>
      <c r="H60" s="2527"/>
      <c r="I60" s="2527"/>
      <c r="J60" s="2527"/>
      <c r="K60" s="2524"/>
      <c r="L60" s="2524"/>
      <c r="M60" s="2524"/>
      <c r="N60" s="2524"/>
      <c r="O60" s="2524"/>
      <c r="P60" s="2524"/>
      <c r="Q60" s="2524"/>
      <c r="R60" s="2524"/>
      <c r="S60" s="2524"/>
      <c r="T60" s="2535">
        <v>1</v>
      </c>
      <c r="U60" s="2536"/>
      <c r="V60" s="2545" t="str">
        <f>_xlfn.IFS(Q60=$AO$4,$AN$4,Q60=$AO$5,$AN$5,Q60=$AO$6,$AN$5,,,Q60="","")</f>
        <v/>
      </c>
      <c r="W60" s="2545"/>
      <c r="X60" s="2546"/>
      <c r="Y60" s="2559"/>
      <c r="Z60" s="2560"/>
      <c r="AA60" s="2560"/>
      <c r="AB60" s="2560"/>
      <c r="AC60" s="2560"/>
      <c r="AD60" s="2560"/>
      <c r="AE60" s="2560"/>
      <c r="AF60" s="2561"/>
      <c r="AG60" s="2562"/>
      <c r="AH60" s="2563"/>
      <c r="AI60" s="2563"/>
      <c r="AJ60" s="2563"/>
      <c r="AK60" s="2563"/>
      <c r="AL60" s="2564"/>
      <c r="AQ60" s="681"/>
      <c r="AT60" s="990"/>
      <c r="AU60" s="990"/>
      <c r="AV60" s="990"/>
      <c r="AW60" s="990"/>
      <c r="AX60" s="990"/>
      <c r="AY60" s="990"/>
      <c r="AZ60" s="990"/>
      <c r="BA60" s="990"/>
      <c r="BB60" s="990"/>
      <c r="BC60" s="990"/>
      <c r="BD60" s="990"/>
      <c r="BE60" s="990"/>
      <c r="BF60" s="990"/>
      <c r="BG60" s="990"/>
      <c r="BH60" s="990"/>
      <c r="BI60" s="990"/>
      <c r="BJ60" s="990"/>
      <c r="BK60" s="990"/>
      <c r="BL60" s="990"/>
      <c r="BM60" s="990"/>
      <c r="BN60" s="990"/>
      <c r="BO60" s="990"/>
      <c r="BP60" s="990"/>
      <c r="BQ60" s="987"/>
      <c r="BR60" s="987"/>
      <c r="BS60" s="987"/>
      <c r="BT60" s="987"/>
      <c r="BU60" s="987"/>
      <c r="BV60" s="987"/>
      <c r="BW60" s="987"/>
      <c r="BX60" s="987"/>
      <c r="BY60" s="736"/>
      <c r="BZ60" s="736"/>
      <c r="CA60" s="736"/>
      <c r="CB60" s="736"/>
      <c r="CC60" s="736"/>
      <c r="CD60" s="736"/>
    </row>
    <row r="61" spans="1:82" ht="18" customHeight="1" thickBot="1">
      <c r="A61" s="2522"/>
      <c r="B61" s="2525"/>
      <c r="C61" s="2526"/>
      <c r="D61" s="2526"/>
      <c r="E61" s="2528"/>
      <c r="F61" s="2528"/>
      <c r="G61" s="2528"/>
      <c r="H61" s="2528"/>
      <c r="I61" s="2528"/>
      <c r="J61" s="2528"/>
      <c r="K61" s="2534"/>
      <c r="L61" s="2534"/>
      <c r="M61" s="2534"/>
      <c r="N61" s="2534"/>
      <c r="O61" s="2534"/>
      <c r="P61" s="2534"/>
      <c r="Q61" s="2534"/>
      <c r="R61" s="2534"/>
      <c r="S61" s="2534"/>
      <c r="T61" s="2537"/>
      <c r="U61" s="2538"/>
      <c r="V61" s="2570" t="str">
        <f>_xlfn.IFS(AND(B60=$AP$4,Q60=$AO$4),$AS$6,AND(B60=$AP$5,Q60=$AO$4),$AS$6,AND(B60=$AP$6,Q60=$AO$4),$AS$9,AND(B60=$AP$4,Q60=$AO$5),$AS$3,AND(B60=$AP$5,Q60=$AO$5),$AS$3,AND(B60=$AP$6,Q60=$AO$5),$AS$9,AND(B60=$AP$7,Q60=$AO$5),$AS$7,AND(B60=$AP$4,Q60=$AO$6),$AS$3,AND(B60=$AP$5,Q60=$AO$6),$AS$3,AND(B60=$AP$6,Q60=$AO$6),$AS$9,Q60="","")</f>
        <v/>
      </c>
      <c r="W61" s="2570"/>
      <c r="X61" s="2571"/>
      <c r="Y61" s="2566"/>
      <c r="Z61" s="2567"/>
      <c r="AA61" s="2567"/>
      <c r="AB61" s="2567"/>
      <c r="AC61" s="2567"/>
      <c r="AD61" s="2567"/>
      <c r="AE61" s="2567"/>
      <c r="AF61" s="2568"/>
      <c r="AG61" s="2572"/>
      <c r="AH61" s="2573"/>
      <c r="AI61" s="2573"/>
      <c r="AJ61" s="2573"/>
      <c r="AK61" s="2573"/>
      <c r="AL61" s="2574"/>
      <c r="AQ61" s="681"/>
      <c r="AT61" s="986"/>
      <c r="AU61" s="986"/>
      <c r="AV61" s="986"/>
      <c r="AW61" s="986"/>
      <c r="AX61" s="986"/>
      <c r="AY61" s="986"/>
      <c r="AZ61" s="986"/>
      <c r="BA61" s="986"/>
      <c r="BB61" s="986"/>
      <c r="BC61" s="986"/>
      <c r="BD61" s="986"/>
      <c r="BE61" s="986"/>
      <c r="BF61" s="986"/>
      <c r="BG61" s="986"/>
      <c r="BH61" s="986"/>
      <c r="BI61" s="986"/>
      <c r="BJ61" s="986"/>
      <c r="BK61" s="986"/>
      <c r="BL61" s="986"/>
      <c r="BM61" s="986"/>
      <c r="BN61" s="986"/>
      <c r="BO61" s="986"/>
      <c r="BP61" s="986"/>
      <c r="BQ61" s="987"/>
      <c r="BR61" s="987"/>
      <c r="BS61" s="987"/>
      <c r="BT61" s="987"/>
      <c r="BU61" s="987"/>
      <c r="BV61" s="987"/>
      <c r="BW61" s="987"/>
      <c r="BX61" s="987"/>
      <c r="BY61" s="736"/>
      <c r="BZ61" s="736"/>
      <c r="CA61" s="736"/>
      <c r="CB61" s="736"/>
      <c r="CC61" s="736"/>
      <c r="CD61" s="736"/>
    </row>
    <row r="62" spans="1:82" ht="18" customHeight="1">
      <c r="A62" s="2577" t="s">
        <v>3183</v>
      </c>
      <c r="B62" s="2664"/>
      <c r="C62" s="2665"/>
      <c r="D62" s="2665"/>
      <c r="E62" s="2582"/>
      <c r="F62" s="2582"/>
      <c r="G62" s="2582"/>
      <c r="H62" s="2582"/>
      <c r="I62" s="2582"/>
      <c r="J62" s="2582"/>
      <c r="K62" s="2581"/>
      <c r="L62" s="2581"/>
      <c r="M62" s="2581"/>
      <c r="N62" s="2581"/>
      <c r="O62" s="2581"/>
      <c r="P62" s="2581"/>
      <c r="Q62" s="2581"/>
      <c r="R62" s="2581"/>
      <c r="S62" s="2581"/>
      <c r="T62" s="2604" t="s">
        <v>2895</v>
      </c>
      <c r="U62" s="2605"/>
      <c r="V62" s="2601"/>
      <c r="W62" s="2602"/>
      <c r="X62" s="2603"/>
      <c r="Y62" s="2586"/>
      <c r="Z62" s="2587"/>
      <c r="AA62" s="2587"/>
      <c r="AB62" s="2587"/>
      <c r="AC62" s="2587"/>
      <c r="AD62" s="2587"/>
      <c r="AE62" s="2587"/>
      <c r="AF62" s="2588"/>
      <c r="AG62" s="2606"/>
      <c r="AH62" s="2607"/>
      <c r="AI62" s="2607"/>
      <c r="AJ62" s="2607"/>
      <c r="AK62" s="2607"/>
      <c r="AL62" s="2608"/>
      <c r="AQ62" s="681"/>
      <c r="AT62" s="990"/>
      <c r="AU62" s="990"/>
      <c r="AV62" s="990"/>
      <c r="AW62" s="990"/>
      <c r="AX62" s="990"/>
      <c r="AY62" s="990"/>
      <c r="AZ62" s="990"/>
      <c r="BA62" s="990"/>
      <c r="BB62" s="990"/>
      <c r="BC62" s="990"/>
      <c r="BD62" s="990"/>
      <c r="BE62" s="990"/>
      <c r="BF62" s="990"/>
      <c r="BG62" s="990"/>
      <c r="BH62" s="990"/>
      <c r="BI62" s="990"/>
      <c r="BJ62" s="990"/>
      <c r="BK62" s="990"/>
      <c r="BL62" s="990"/>
      <c r="BM62" s="990"/>
      <c r="BN62" s="990"/>
      <c r="BO62" s="990"/>
      <c r="BP62" s="990"/>
      <c r="BQ62" s="987"/>
      <c r="BR62" s="987"/>
      <c r="BS62" s="987"/>
      <c r="BT62" s="987"/>
      <c r="BU62" s="987"/>
      <c r="BV62" s="987"/>
      <c r="BW62" s="987"/>
      <c r="BX62" s="987"/>
      <c r="BY62" s="736"/>
      <c r="BZ62" s="736"/>
      <c r="CA62" s="736"/>
      <c r="CB62" s="736"/>
      <c r="CC62" s="736"/>
      <c r="CD62" s="736"/>
    </row>
    <row r="63" spans="1:82" ht="18" customHeight="1">
      <c r="A63" s="2578"/>
      <c r="B63" s="2532"/>
      <c r="C63" s="2524"/>
      <c r="D63" s="2524"/>
      <c r="E63" s="2527"/>
      <c r="F63" s="2527"/>
      <c r="G63" s="2527"/>
      <c r="H63" s="2527"/>
      <c r="I63" s="2527"/>
      <c r="J63" s="2527"/>
      <c r="K63" s="2524"/>
      <c r="L63" s="2524"/>
      <c r="M63" s="2524"/>
      <c r="N63" s="2524"/>
      <c r="O63" s="2524"/>
      <c r="P63" s="2524"/>
      <c r="Q63" s="2524"/>
      <c r="R63" s="2524"/>
      <c r="S63" s="2524"/>
      <c r="T63" s="2592"/>
      <c r="U63" s="2593"/>
      <c r="V63" s="2589"/>
      <c r="W63" s="2590"/>
      <c r="X63" s="2591"/>
      <c r="Y63" s="2615"/>
      <c r="Z63" s="2616"/>
      <c r="AA63" s="2616"/>
      <c r="AB63" s="2616"/>
      <c r="AC63" s="2616"/>
      <c r="AD63" s="2616"/>
      <c r="AE63" s="2616"/>
      <c r="AF63" s="2617"/>
      <c r="AG63" s="2621"/>
      <c r="AH63" s="2622"/>
      <c r="AI63" s="2622"/>
      <c r="AJ63" s="2622"/>
      <c r="AK63" s="2622"/>
      <c r="AL63" s="2623"/>
      <c r="AQ63" s="681"/>
      <c r="AT63" s="986"/>
      <c r="AU63" s="986"/>
      <c r="AV63" s="986"/>
      <c r="AW63" s="986"/>
      <c r="AX63" s="986"/>
      <c r="AY63" s="986"/>
      <c r="AZ63" s="986"/>
      <c r="BA63" s="986"/>
      <c r="BB63" s="986"/>
      <c r="BC63" s="986"/>
      <c r="BD63" s="986"/>
      <c r="BE63" s="986"/>
      <c r="BF63" s="986"/>
      <c r="BG63" s="986"/>
      <c r="BH63" s="986"/>
      <c r="BI63" s="986"/>
      <c r="BJ63" s="986"/>
      <c r="BK63" s="986"/>
      <c r="BL63" s="986"/>
      <c r="BM63" s="986"/>
      <c r="BN63" s="986"/>
      <c r="BO63" s="986"/>
      <c r="BP63" s="986"/>
      <c r="BQ63" s="987"/>
      <c r="BR63" s="987"/>
      <c r="BS63" s="987"/>
      <c r="BT63" s="987"/>
      <c r="BU63" s="987"/>
      <c r="BV63" s="987"/>
      <c r="BW63" s="987"/>
      <c r="BX63" s="987"/>
      <c r="BY63" s="736"/>
      <c r="BZ63" s="736"/>
      <c r="CA63" s="736"/>
      <c r="CB63" s="736"/>
      <c r="CC63" s="736"/>
      <c r="CD63" s="736"/>
    </row>
    <row r="64" spans="1:82" ht="18" customHeight="1">
      <c r="A64" s="2578"/>
      <c r="B64" s="2580"/>
      <c r="C64" s="2581"/>
      <c r="D64" s="2581"/>
      <c r="E64" s="2527"/>
      <c r="F64" s="2527"/>
      <c r="G64" s="2527"/>
      <c r="H64" s="2527"/>
      <c r="I64" s="2527"/>
      <c r="J64" s="2527"/>
      <c r="K64" s="2524"/>
      <c r="L64" s="2524"/>
      <c r="M64" s="2524"/>
      <c r="N64" s="2524"/>
      <c r="O64" s="2524"/>
      <c r="P64" s="2524"/>
      <c r="Q64" s="2524"/>
      <c r="R64" s="2524"/>
      <c r="S64" s="2524"/>
      <c r="T64" s="2592" t="s">
        <v>2895</v>
      </c>
      <c r="U64" s="2593"/>
      <c r="V64" s="2594"/>
      <c r="W64" s="2595"/>
      <c r="X64" s="2596"/>
      <c r="Y64" s="2559"/>
      <c r="Z64" s="2560"/>
      <c r="AA64" s="2560"/>
      <c r="AB64" s="2560"/>
      <c r="AC64" s="2560"/>
      <c r="AD64" s="2560"/>
      <c r="AE64" s="2560"/>
      <c r="AF64" s="2561"/>
      <c r="AG64" s="2562"/>
      <c r="AH64" s="2563"/>
      <c r="AI64" s="2563"/>
      <c r="AJ64" s="2563"/>
      <c r="AK64" s="2563"/>
      <c r="AL64" s="2564"/>
      <c r="AQ64" s="681"/>
      <c r="AT64" s="990"/>
      <c r="AU64" s="990"/>
      <c r="AV64" s="990"/>
      <c r="AW64" s="990"/>
      <c r="AX64" s="990"/>
      <c r="AY64" s="990"/>
      <c r="AZ64" s="990"/>
      <c r="BA64" s="990"/>
      <c r="BB64" s="990"/>
      <c r="BC64" s="990"/>
      <c r="BD64" s="990"/>
      <c r="BE64" s="990"/>
      <c r="BF64" s="990"/>
      <c r="BG64" s="990"/>
      <c r="BH64" s="990"/>
      <c r="BI64" s="990"/>
      <c r="BJ64" s="990"/>
      <c r="BK64" s="990"/>
      <c r="BL64" s="990"/>
      <c r="BM64" s="990"/>
      <c r="BN64" s="990"/>
      <c r="BO64" s="990"/>
      <c r="BP64" s="990"/>
      <c r="BQ64" s="987"/>
      <c r="BR64" s="987"/>
      <c r="BS64" s="987"/>
      <c r="BT64" s="987"/>
      <c r="BU64" s="987"/>
      <c r="BV64" s="987"/>
      <c r="BW64" s="987"/>
      <c r="BX64" s="987"/>
      <c r="BY64" s="736"/>
      <c r="BZ64" s="736"/>
      <c r="CA64" s="736"/>
      <c r="CB64" s="736"/>
      <c r="CC64" s="736"/>
      <c r="CD64" s="736"/>
    </row>
    <row r="65" spans="1:82" ht="18" customHeight="1">
      <c r="A65" s="2578"/>
      <c r="B65" s="2523"/>
      <c r="C65" s="2524"/>
      <c r="D65" s="2524"/>
      <c r="E65" s="2528"/>
      <c r="F65" s="2528"/>
      <c r="G65" s="2528"/>
      <c r="H65" s="2528"/>
      <c r="I65" s="2528"/>
      <c r="J65" s="2528"/>
      <c r="K65" s="2524"/>
      <c r="L65" s="2524"/>
      <c r="M65" s="2524"/>
      <c r="N65" s="2524"/>
      <c r="O65" s="2524"/>
      <c r="P65" s="2524"/>
      <c r="Q65" s="2524"/>
      <c r="R65" s="2524"/>
      <c r="S65" s="2524"/>
      <c r="T65" s="2592"/>
      <c r="U65" s="2593"/>
      <c r="V65" s="2589"/>
      <c r="W65" s="2590"/>
      <c r="X65" s="2591"/>
      <c r="Y65" s="2615"/>
      <c r="Z65" s="2616"/>
      <c r="AA65" s="2616"/>
      <c r="AB65" s="2616"/>
      <c r="AC65" s="2616"/>
      <c r="AD65" s="2616"/>
      <c r="AE65" s="2616"/>
      <c r="AF65" s="2617"/>
      <c r="AG65" s="2621"/>
      <c r="AH65" s="2622"/>
      <c r="AI65" s="2622"/>
      <c r="AJ65" s="2622"/>
      <c r="AK65" s="2622"/>
      <c r="AL65" s="2623"/>
      <c r="AQ65" s="681"/>
      <c r="AT65" s="986"/>
      <c r="AU65" s="986"/>
      <c r="AV65" s="986"/>
      <c r="AW65" s="986"/>
      <c r="AX65" s="986"/>
      <c r="AY65" s="986"/>
      <c r="AZ65" s="986"/>
      <c r="BA65" s="986"/>
      <c r="BB65" s="986"/>
      <c r="BC65" s="986"/>
      <c r="BD65" s="986"/>
      <c r="BE65" s="986"/>
      <c r="BF65" s="986"/>
      <c r="BG65" s="986"/>
      <c r="BH65" s="986"/>
      <c r="BI65" s="986"/>
      <c r="BJ65" s="986"/>
      <c r="BK65" s="986"/>
      <c r="BL65" s="986"/>
      <c r="BM65" s="986"/>
      <c r="BN65" s="986"/>
      <c r="BO65" s="986"/>
      <c r="BP65" s="986"/>
      <c r="BQ65" s="987"/>
      <c r="BR65" s="987"/>
      <c r="BS65" s="987"/>
      <c r="BT65" s="987"/>
      <c r="BU65" s="987"/>
      <c r="BV65" s="987"/>
      <c r="BW65" s="987"/>
      <c r="BX65" s="987"/>
      <c r="BY65" s="736"/>
      <c r="BZ65" s="736"/>
      <c r="CA65" s="736"/>
      <c r="CB65" s="736"/>
      <c r="CC65" s="736"/>
      <c r="CD65" s="736"/>
    </row>
    <row r="66" spans="1:82" ht="18" customHeight="1">
      <c r="A66" s="2578"/>
      <c r="B66" s="2580"/>
      <c r="C66" s="2581"/>
      <c r="D66" s="2581"/>
      <c r="E66" s="2527"/>
      <c r="F66" s="2527"/>
      <c r="G66" s="2527"/>
      <c r="H66" s="2527"/>
      <c r="I66" s="2527"/>
      <c r="J66" s="2527"/>
      <c r="K66" s="2524"/>
      <c r="L66" s="2524"/>
      <c r="M66" s="2524"/>
      <c r="N66" s="2524"/>
      <c r="O66" s="2524"/>
      <c r="P66" s="2524"/>
      <c r="Q66" s="2524"/>
      <c r="R66" s="2524"/>
      <c r="S66" s="2524"/>
      <c r="T66" s="2592" t="s">
        <v>2895</v>
      </c>
      <c r="U66" s="2593"/>
      <c r="V66" s="2594"/>
      <c r="W66" s="2595"/>
      <c r="X66" s="2596"/>
      <c r="Y66" s="2559"/>
      <c r="Z66" s="2560"/>
      <c r="AA66" s="2560"/>
      <c r="AB66" s="2560"/>
      <c r="AC66" s="2560"/>
      <c r="AD66" s="2560"/>
      <c r="AE66" s="2560"/>
      <c r="AF66" s="2561"/>
      <c r="AG66" s="2562"/>
      <c r="AH66" s="2563"/>
      <c r="AI66" s="2563"/>
      <c r="AJ66" s="2563"/>
      <c r="AK66" s="2563"/>
      <c r="AL66" s="2564"/>
      <c r="AQ66" s="681"/>
      <c r="AT66" s="990"/>
      <c r="AU66" s="990"/>
      <c r="AV66" s="990"/>
      <c r="AW66" s="990"/>
      <c r="AX66" s="990"/>
      <c r="AY66" s="990"/>
      <c r="AZ66" s="990"/>
      <c r="BA66" s="990"/>
      <c r="BB66" s="990"/>
      <c r="BC66" s="990"/>
      <c r="BD66" s="990"/>
      <c r="BE66" s="990"/>
      <c r="BF66" s="990"/>
      <c r="BG66" s="990"/>
      <c r="BH66" s="990"/>
      <c r="BI66" s="990"/>
      <c r="BJ66" s="990"/>
      <c r="BK66" s="990"/>
      <c r="BL66" s="990"/>
      <c r="BM66" s="990"/>
      <c r="BN66" s="990"/>
      <c r="BO66" s="990"/>
      <c r="BP66" s="990"/>
      <c r="BQ66" s="987"/>
      <c r="BR66" s="987"/>
      <c r="BS66" s="987"/>
      <c r="BT66" s="987"/>
      <c r="BU66" s="987"/>
      <c r="BV66" s="987"/>
      <c r="BW66" s="987"/>
      <c r="BX66" s="987"/>
      <c r="BY66" s="736"/>
      <c r="BZ66" s="736"/>
      <c r="CA66" s="736"/>
      <c r="CB66" s="736"/>
      <c r="CC66" s="736"/>
      <c r="CD66" s="736"/>
    </row>
    <row r="67" spans="1:82" ht="18" customHeight="1">
      <c r="A67" s="2578"/>
      <c r="B67" s="2523"/>
      <c r="C67" s="2524"/>
      <c r="D67" s="2524"/>
      <c r="E67" s="2528"/>
      <c r="F67" s="2528"/>
      <c r="G67" s="2528"/>
      <c r="H67" s="2528"/>
      <c r="I67" s="2528"/>
      <c r="J67" s="2528"/>
      <c r="K67" s="2524"/>
      <c r="L67" s="2524"/>
      <c r="M67" s="2524"/>
      <c r="N67" s="2524"/>
      <c r="O67" s="2524"/>
      <c r="P67" s="2524"/>
      <c r="Q67" s="2524"/>
      <c r="R67" s="2524"/>
      <c r="S67" s="2524"/>
      <c r="T67" s="2592"/>
      <c r="U67" s="2593"/>
      <c r="V67" s="2589"/>
      <c r="W67" s="2590"/>
      <c r="X67" s="2591"/>
      <c r="Y67" s="2615"/>
      <c r="Z67" s="2616"/>
      <c r="AA67" s="2616"/>
      <c r="AB67" s="2616"/>
      <c r="AC67" s="2616"/>
      <c r="AD67" s="2616"/>
      <c r="AE67" s="2616"/>
      <c r="AF67" s="2617"/>
      <c r="AG67" s="2621"/>
      <c r="AH67" s="2622"/>
      <c r="AI67" s="2622"/>
      <c r="AJ67" s="2622"/>
      <c r="AK67" s="2622"/>
      <c r="AL67" s="2623"/>
      <c r="AQ67" s="681"/>
      <c r="AT67" s="986"/>
      <c r="AU67" s="986"/>
      <c r="AV67" s="986"/>
      <c r="AW67" s="986"/>
      <c r="AX67" s="986"/>
      <c r="AY67" s="986"/>
      <c r="AZ67" s="986"/>
      <c r="BA67" s="986"/>
      <c r="BB67" s="986"/>
      <c r="BC67" s="986"/>
      <c r="BD67" s="986"/>
      <c r="BE67" s="986"/>
      <c r="BF67" s="986"/>
      <c r="BG67" s="986"/>
      <c r="BH67" s="986"/>
      <c r="BI67" s="986"/>
      <c r="BJ67" s="986"/>
      <c r="BK67" s="986"/>
      <c r="BL67" s="986"/>
      <c r="BM67" s="986"/>
      <c r="BN67" s="986"/>
      <c r="BO67" s="986"/>
      <c r="BP67" s="986"/>
      <c r="BQ67" s="987"/>
      <c r="BR67" s="987"/>
      <c r="BS67" s="987"/>
      <c r="BT67" s="987"/>
      <c r="BU67" s="987"/>
      <c r="BV67" s="987"/>
      <c r="BW67" s="987"/>
      <c r="BX67" s="987"/>
      <c r="BY67" s="736"/>
      <c r="BZ67" s="736"/>
      <c r="CA67" s="736"/>
      <c r="CB67" s="736"/>
      <c r="CC67" s="736"/>
      <c r="CD67" s="736"/>
    </row>
    <row r="68" spans="1:82" ht="18" customHeight="1">
      <c r="A68" s="2578"/>
      <c r="B68" s="2580"/>
      <c r="C68" s="2581"/>
      <c r="D68" s="2581"/>
      <c r="E68" s="2527"/>
      <c r="F68" s="2527"/>
      <c r="G68" s="2527"/>
      <c r="H68" s="2527"/>
      <c r="I68" s="2527"/>
      <c r="J68" s="2527"/>
      <c r="K68" s="2524"/>
      <c r="L68" s="2524"/>
      <c r="M68" s="2524"/>
      <c r="N68" s="2524"/>
      <c r="O68" s="2524"/>
      <c r="P68" s="2524"/>
      <c r="Q68" s="2524"/>
      <c r="R68" s="2524"/>
      <c r="S68" s="2524"/>
      <c r="T68" s="2592" t="s">
        <v>2895</v>
      </c>
      <c r="U68" s="2593"/>
      <c r="V68" s="2594"/>
      <c r="W68" s="2595"/>
      <c r="X68" s="2596"/>
      <c r="Y68" s="2559"/>
      <c r="Z68" s="2560"/>
      <c r="AA68" s="2560"/>
      <c r="AB68" s="2560"/>
      <c r="AC68" s="2560"/>
      <c r="AD68" s="2560"/>
      <c r="AE68" s="2560"/>
      <c r="AF68" s="2561"/>
      <c r="AG68" s="2562"/>
      <c r="AH68" s="2563"/>
      <c r="AI68" s="2563"/>
      <c r="AJ68" s="2563"/>
      <c r="AK68" s="2563"/>
      <c r="AL68" s="2564"/>
      <c r="AQ68" s="681"/>
      <c r="AT68" s="990"/>
      <c r="AU68" s="990"/>
      <c r="AV68" s="990"/>
      <c r="AW68" s="990"/>
      <c r="AX68" s="990"/>
      <c r="AY68" s="990"/>
      <c r="AZ68" s="990"/>
      <c r="BA68" s="990"/>
      <c r="BB68" s="990"/>
      <c r="BC68" s="990"/>
      <c r="BD68" s="990"/>
      <c r="BE68" s="990"/>
      <c r="BF68" s="990"/>
      <c r="BG68" s="990"/>
      <c r="BH68" s="990"/>
      <c r="BI68" s="990"/>
      <c r="BJ68" s="990"/>
      <c r="BK68" s="990"/>
      <c r="BL68" s="990"/>
      <c r="BM68" s="990"/>
      <c r="BN68" s="990"/>
      <c r="BO68" s="990"/>
      <c r="BP68" s="990"/>
      <c r="BQ68" s="987"/>
      <c r="BR68" s="987"/>
      <c r="BS68" s="987"/>
      <c r="BT68" s="987"/>
      <c r="BU68" s="987"/>
      <c r="BV68" s="987"/>
      <c r="BW68" s="987"/>
      <c r="BX68" s="987"/>
      <c r="BY68" s="736"/>
      <c r="BZ68" s="736"/>
      <c r="CA68" s="736"/>
      <c r="CB68" s="736"/>
      <c r="CC68" s="736"/>
      <c r="CD68" s="736"/>
    </row>
    <row r="69" spans="1:82" ht="18" customHeight="1">
      <c r="A69" s="2578"/>
      <c r="B69" s="2523"/>
      <c r="C69" s="2524"/>
      <c r="D69" s="2524"/>
      <c r="E69" s="2528"/>
      <c r="F69" s="2528"/>
      <c r="G69" s="2528"/>
      <c r="H69" s="2528"/>
      <c r="I69" s="2528"/>
      <c r="J69" s="2528"/>
      <c r="K69" s="2524"/>
      <c r="L69" s="2524"/>
      <c r="M69" s="2524"/>
      <c r="N69" s="2524"/>
      <c r="O69" s="2524"/>
      <c r="P69" s="2524"/>
      <c r="Q69" s="2524"/>
      <c r="R69" s="2524"/>
      <c r="S69" s="2524"/>
      <c r="T69" s="2592"/>
      <c r="U69" s="2593"/>
      <c r="V69" s="2589"/>
      <c r="W69" s="2590"/>
      <c r="X69" s="2591"/>
      <c r="Y69" s="2615"/>
      <c r="Z69" s="2616"/>
      <c r="AA69" s="2616"/>
      <c r="AB69" s="2616"/>
      <c r="AC69" s="2616"/>
      <c r="AD69" s="2616"/>
      <c r="AE69" s="2616"/>
      <c r="AF69" s="2617"/>
      <c r="AG69" s="2621"/>
      <c r="AH69" s="2622"/>
      <c r="AI69" s="2622"/>
      <c r="AJ69" s="2622"/>
      <c r="AK69" s="2622"/>
      <c r="AL69" s="2623"/>
      <c r="AQ69" s="681"/>
      <c r="AT69" s="986"/>
      <c r="AU69" s="986"/>
      <c r="AV69" s="986"/>
      <c r="AW69" s="986"/>
      <c r="AX69" s="986"/>
      <c r="AY69" s="986"/>
      <c r="AZ69" s="986"/>
      <c r="BA69" s="986"/>
      <c r="BB69" s="986"/>
      <c r="BC69" s="986"/>
      <c r="BD69" s="986"/>
      <c r="BE69" s="986"/>
      <c r="BF69" s="986"/>
      <c r="BG69" s="986"/>
      <c r="BH69" s="986"/>
      <c r="BI69" s="986"/>
      <c r="BJ69" s="986"/>
      <c r="BK69" s="986"/>
      <c r="BL69" s="986"/>
      <c r="BM69" s="986"/>
      <c r="BN69" s="986"/>
      <c r="BO69" s="986"/>
      <c r="BP69" s="986"/>
      <c r="BQ69" s="987"/>
      <c r="BR69" s="987"/>
      <c r="BS69" s="987"/>
      <c r="BT69" s="987"/>
      <c r="BU69" s="987"/>
      <c r="BV69" s="987"/>
      <c r="BW69" s="987"/>
      <c r="BX69" s="987"/>
      <c r="BY69" s="736"/>
      <c r="BZ69" s="736"/>
      <c r="CA69" s="736"/>
      <c r="CB69" s="736"/>
      <c r="CC69" s="736"/>
      <c r="CD69" s="736"/>
    </row>
    <row r="70" spans="1:82" ht="18" customHeight="1">
      <c r="A70" s="2578"/>
      <c r="B70" s="2532"/>
      <c r="C70" s="2524"/>
      <c r="D70" s="2524"/>
      <c r="E70" s="2527"/>
      <c r="F70" s="2527"/>
      <c r="G70" s="2527"/>
      <c r="H70" s="2527"/>
      <c r="I70" s="2527"/>
      <c r="J70" s="2527"/>
      <c r="K70" s="2524"/>
      <c r="L70" s="2524"/>
      <c r="M70" s="2524"/>
      <c r="N70" s="2524"/>
      <c r="O70" s="2524"/>
      <c r="P70" s="2524"/>
      <c r="Q70" s="2524"/>
      <c r="R70" s="2524"/>
      <c r="S70" s="2524"/>
      <c r="T70" s="2592" t="s">
        <v>2895</v>
      </c>
      <c r="U70" s="2593"/>
      <c r="V70" s="2594"/>
      <c r="W70" s="2595"/>
      <c r="X70" s="2596"/>
      <c r="Y70" s="2559"/>
      <c r="Z70" s="2560"/>
      <c r="AA70" s="2560"/>
      <c r="AB70" s="2560"/>
      <c r="AC70" s="2560"/>
      <c r="AD70" s="2560"/>
      <c r="AE70" s="2560"/>
      <c r="AF70" s="2561"/>
      <c r="AG70" s="2562"/>
      <c r="AH70" s="2563"/>
      <c r="AI70" s="2563"/>
      <c r="AJ70" s="2563"/>
      <c r="AK70" s="2563"/>
      <c r="AL70" s="2564"/>
      <c r="AQ70" s="681"/>
      <c r="AT70" s="990"/>
      <c r="AU70" s="990"/>
      <c r="AV70" s="990"/>
      <c r="AW70" s="990"/>
      <c r="AX70" s="990"/>
      <c r="AY70" s="990"/>
      <c r="AZ70" s="990"/>
      <c r="BA70" s="990"/>
      <c r="BB70" s="990"/>
      <c r="BC70" s="990"/>
      <c r="BD70" s="990"/>
      <c r="BE70" s="990"/>
      <c r="BF70" s="990"/>
      <c r="BG70" s="990"/>
      <c r="BH70" s="990"/>
      <c r="BI70" s="990"/>
      <c r="BJ70" s="990"/>
      <c r="BK70" s="990"/>
      <c r="BL70" s="990"/>
      <c r="BM70" s="990"/>
      <c r="BN70" s="990"/>
      <c r="BO70" s="990"/>
      <c r="BP70" s="990"/>
      <c r="BQ70" s="987"/>
      <c r="BR70" s="987"/>
      <c r="BS70" s="987"/>
      <c r="BT70" s="987"/>
      <c r="BU70" s="987"/>
      <c r="BV70" s="987"/>
      <c r="BW70" s="987"/>
      <c r="BX70" s="987"/>
      <c r="BY70" s="736"/>
      <c r="BZ70" s="736"/>
      <c r="CA70" s="736"/>
      <c r="CB70" s="736"/>
      <c r="CC70" s="736"/>
      <c r="CD70" s="736"/>
    </row>
    <row r="71" spans="1:82" ht="18" customHeight="1" thickBot="1">
      <c r="A71" s="2579"/>
      <c r="B71" s="2583"/>
      <c r="C71" s="2584"/>
      <c r="D71" s="2584"/>
      <c r="E71" s="2585"/>
      <c r="F71" s="2585"/>
      <c r="G71" s="2585"/>
      <c r="H71" s="2585"/>
      <c r="I71" s="2585"/>
      <c r="J71" s="2585"/>
      <c r="K71" s="2584"/>
      <c r="L71" s="2584"/>
      <c r="M71" s="2584"/>
      <c r="N71" s="2584"/>
      <c r="O71" s="2584"/>
      <c r="P71" s="2584"/>
      <c r="Q71" s="2584"/>
      <c r="R71" s="2584"/>
      <c r="S71" s="2584"/>
      <c r="T71" s="2610"/>
      <c r="U71" s="2611"/>
      <c r="V71" s="2618"/>
      <c r="W71" s="2619"/>
      <c r="X71" s="2620"/>
      <c r="Y71" s="2615"/>
      <c r="Z71" s="2616"/>
      <c r="AA71" s="2616"/>
      <c r="AB71" s="2616"/>
      <c r="AC71" s="2616"/>
      <c r="AD71" s="2616"/>
      <c r="AE71" s="2616"/>
      <c r="AF71" s="2617"/>
      <c r="AG71" s="2621"/>
      <c r="AH71" s="2622"/>
      <c r="AI71" s="2622"/>
      <c r="AJ71" s="2622"/>
      <c r="AK71" s="2622"/>
      <c r="AL71" s="2623"/>
      <c r="AQ71" s="681"/>
      <c r="AT71" s="986"/>
      <c r="AU71" s="986"/>
      <c r="AV71" s="986"/>
      <c r="AW71" s="986"/>
      <c r="AX71" s="986"/>
      <c r="AY71" s="986"/>
      <c r="AZ71" s="986"/>
      <c r="BA71" s="986"/>
      <c r="BB71" s="986"/>
      <c r="BC71" s="986"/>
      <c r="BD71" s="986"/>
      <c r="BE71" s="986"/>
      <c r="BF71" s="986"/>
      <c r="BG71" s="986"/>
      <c r="BH71" s="986"/>
      <c r="BI71" s="986"/>
      <c r="BJ71" s="986"/>
      <c r="BK71" s="986"/>
      <c r="BL71" s="986"/>
      <c r="BM71" s="986"/>
      <c r="BN71" s="986"/>
      <c r="BO71" s="986"/>
      <c r="BP71" s="986"/>
      <c r="BQ71" s="987"/>
      <c r="BR71" s="987"/>
      <c r="BS71" s="987"/>
      <c r="BT71" s="987"/>
      <c r="BU71" s="987"/>
      <c r="BV71" s="987"/>
      <c r="BW71" s="987"/>
      <c r="BX71" s="987"/>
      <c r="BY71" s="736"/>
      <c r="BZ71" s="736"/>
      <c r="CA71" s="736"/>
      <c r="CB71" s="736"/>
      <c r="CC71" s="736"/>
      <c r="CD71" s="736"/>
    </row>
    <row r="72" spans="1:82" ht="9.6" customHeight="1">
      <c r="B72" s="674"/>
      <c r="C72" s="674"/>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674"/>
      <c r="AL72" s="831"/>
      <c r="AQ72" s="681"/>
      <c r="AT72" s="674"/>
      <c r="AU72" s="674"/>
      <c r="AV72" s="674"/>
      <c r="AW72" s="674"/>
      <c r="AX72" s="674"/>
      <c r="AY72" s="674"/>
      <c r="AZ72" s="674"/>
      <c r="BA72" s="674"/>
      <c r="BB72" s="674"/>
      <c r="BC72" s="674"/>
      <c r="BD72" s="674"/>
      <c r="BE72" s="674"/>
      <c r="BF72" s="674"/>
      <c r="BG72" s="674"/>
      <c r="BH72" s="674"/>
      <c r="BI72" s="674"/>
      <c r="BJ72" s="674"/>
      <c r="BK72" s="674"/>
      <c r="BL72" s="674"/>
      <c r="BM72" s="674"/>
      <c r="BN72" s="674"/>
      <c r="BO72" s="674"/>
      <c r="BP72" s="674"/>
      <c r="BQ72" s="674"/>
      <c r="BR72" s="674"/>
      <c r="BS72" s="674"/>
      <c r="BT72" s="674"/>
      <c r="BU72" s="674"/>
      <c r="BV72" s="674"/>
      <c r="BW72" s="674"/>
      <c r="BX72" s="674"/>
      <c r="BY72" s="674"/>
      <c r="BZ72" s="674"/>
      <c r="CA72" s="674"/>
      <c r="CB72" s="674"/>
      <c r="CC72" s="674"/>
      <c r="CD72" s="674"/>
    </row>
    <row r="73" spans="1:82" ht="9.6" customHeight="1" thickBot="1">
      <c r="A73" s="574"/>
      <c r="B73" s="573"/>
      <c r="C73" s="573"/>
      <c r="D73" s="573"/>
      <c r="E73" s="573"/>
      <c r="F73" s="573"/>
      <c r="G73" s="573"/>
      <c r="H73" s="573"/>
      <c r="I73" s="573"/>
      <c r="J73" s="573"/>
      <c r="K73" s="573"/>
      <c r="L73" s="573"/>
      <c r="M73" s="573"/>
      <c r="N73" s="573"/>
      <c r="O73" s="573"/>
      <c r="P73" s="573"/>
      <c r="Q73" s="573"/>
      <c r="R73" s="573"/>
      <c r="S73" s="573"/>
      <c r="T73" s="573"/>
      <c r="U73" s="573"/>
      <c r="V73" s="573"/>
      <c r="W73" s="573"/>
      <c r="X73" s="573"/>
      <c r="Y73" s="573"/>
      <c r="Z73" s="573"/>
      <c r="AA73" s="573"/>
      <c r="AB73" s="573"/>
      <c r="AC73" s="573"/>
      <c r="AD73" s="573"/>
      <c r="AE73" s="573"/>
      <c r="AF73" s="573"/>
      <c r="AG73" s="573"/>
      <c r="AH73" s="573"/>
      <c r="AI73" s="671"/>
      <c r="AJ73" s="671"/>
      <c r="AK73" s="672"/>
      <c r="AL73" s="671"/>
      <c r="AQ73" s="681"/>
      <c r="AT73" s="573"/>
      <c r="AU73" s="573"/>
      <c r="AV73" s="573"/>
      <c r="AW73" s="573"/>
      <c r="AX73" s="573"/>
      <c r="AY73" s="573"/>
      <c r="AZ73" s="573"/>
      <c r="BA73" s="573"/>
      <c r="BB73" s="573"/>
      <c r="BC73" s="573"/>
      <c r="BD73" s="573"/>
      <c r="BE73" s="573"/>
      <c r="BF73" s="573"/>
      <c r="BG73" s="573"/>
      <c r="BH73" s="573"/>
      <c r="BI73" s="573"/>
      <c r="BJ73" s="573"/>
      <c r="BK73" s="573"/>
      <c r="BL73" s="573"/>
      <c r="BM73" s="573"/>
      <c r="BN73" s="573"/>
      <c r="BO73" s="573"/>
      <c r="BP73" s="573"/>
      <c r="BQ73" s="573"/>
      <c r="BR73" s="573"/>
      <c r="BS73" s="573"/>
      <c r="BT73" s="573"/>
      <c r="BU73" s="573"/>
      <c r="BV73" s="573"/>
      <c r="BW73" s="573"/>
      <c r="BX73" s="573"/>
      <c r="BY73" s="573"/>
      <c r="BZ73" s="573"/>
      <c r="CA73" s="573"/>
      <c r="CB73" s="671"/>
      <c r="CC73" s="671"/>
      <c r="CD73" s="671"/>
    </row>
    <row r="74" spans="1:82" ht="21.75" customHeight="1">
      <c r="A74" s="2511" t="s">
        <v>2884</v>
      </c>
      <c r="B74" s="2504"/>
      <c r="C74" s="2504"/>
      <c r="D74" s="2504"/>
      <c r="E74" s="2504"/>
      <c r="F74" s="2504"/>
      <c r="G74" s="2504"/>
      <c r="H74" s="2504"/>
      <c r="I74" s="2504"/>
      <c r="J74" s="2504"/>
      <c r="K74" s="2504"/>
      <c r="L74" s="2504"/>
      <c r="M74" s="2504"/>
      <c r="N74" s="2504"/>
      <c r="O74" s="2504"/>
      <c r="P74" s="2504"/>
      <c r="Q74" s="2504"/>
      <c r="R74" s="2504"/>
      <c r="S74" s="2504"/>
      <c r="T74" s="2505"/>
      <c r="U74" s="2506" t="s">
        <v>2885</v>
      </c>
      <c r="V74" s="2490"/>
      <c r="W74" s="2490"/>
      <c r="X74" s="2489" t="s">
        <v>2869</v>
      </c>
      <c r="Y74" s="2490"/>
      <c r="Z74" s="2490"/>
      <c r="AA74" s="2490"/>
      <c r="AB74" s="2490"/>
      <c r="AC74" s="2490"/>
      <c r="AD74" s="2490"/>
      <c r="AE74" s="2490"/>
      <c r="AF74" s="2674" t="s">
        <v>2742</v>
      </c>
      <c r="AG74" s="2675"/>
      <c r="AH74" s="2675"/>
      <c r="AI74" s="2675"/>
      <c r="AJ74" s="2675"/>
      <c r="AK74" s="2676"/>
      <c r="AL74" s="675"/>
      <c r="AQ74" s="681"/>
      <c r="AT74" s="2485"/>
      <c r="AU74" s="2485"/>
      <c r="AV74" s="2485"/>
      <c r="AW74" s="2485"/>
      <c r="AX74" s="2485"/>
      <c r="AY74" s="2485"/>
      <c r="AZ74" s="2485"/>
      <c r="BA74" s="2485"/>
      <c r="BB74" s="2485"/>
      <c r="BC74" s="573"/>
      <c r="BD74" s="573"/>
      <c r="BE74" s="573"/>
      <c r="BF74" s="573"/>
      <c r="BG74" s="573"/>
      <c r="BH74" s="573"/>
      <c r="BI74" s="573"/>
      <c r="BJ74" s="573"/>
      <c r="BK74" s="573"/>
      <c r="BL74" s="573"/>
      <c r="BM74" s="573"/>
      <c r="BN74" s="573"/>
      <c r="BO74" s="573"/>
      <c r="BP74" s="573"/>
      <c r="BQ74" s="573"/>
      <c r="BR74" s="573"/>
      <c r="BS74" s="573"/>
      <c r="BT74" s="573"/>
      <c r="BU74" s="573"/>
      <c r="BV74" s="573"/>
      <c r="BW74" s="573"/>
      <c r="BX74" s="573"/>
      <c r="BY74" s="573"/>
      <c r="BZ74" s="573"/>
      <c r="CA74" s="573"/>
      <c r="CB74" s="671"/>
      <c r="CC74" s="671"/>
      <c r="CD74" s="671"/>
    </row>
    <row r="75" spans="1:82" ht="21.75" customHeight="1">
      <c r="A75" s="2666" t="s">
        <v>2752</v>
      </c>
      <c r="B75" s="2667"/>
      <c r="C75" s="2667"/>
      <c r="D75" s="2667" t="s">
        <v>2867</v>
      </c>
      <c r="E75" s="2667"/>
      <c r="F75" s="2667"/>
      <c r="G75" s="2667" t="s">
        <v>2868</v>
      </c>
      <c r="H75" s="2667"/>
      <c r="I75" s="2667"/>
      <c r="J75" s="2667" t="s">
        <v>2871</v>
      </c>
      <c r="K75" s="2667"/>
      <c r="L75" s="2667"/>
      <c r="M75" s="2667"/>
      <c r="N75" s="2667"/>
      <c r="O75" s="2667"/>
      <c r="P75" s="2667" t="s">
        <v>2865</v>
      </c>
      <c r="Q75" s="2667"/>
      <c r="R75" s="2667"/>
      <c r="S75" s="2667" t="s">
        <v>2866</v>
      </c>
      <c r="T75" s="2668"/>
      <c r="U75" s="2507"/>
      <c r="V75" s="2508"/>
      <c r="W75" s="2508"/>
      <c r="X75" s="2510"/>
      <c r="Y75" s="2508"/>
      <c r="Z75" s="2508"/>
      <c r="AA75" s="2508"/>
      <c r="AB75" s="2508"/>
      <c r="AC75" s="2508"/>
      <c r="AD75" s="2508"/>
      <c r="AE75" s="2508"/>
      <c r="AF75" s="2507"/>
      <c r="AG75" s="2508"/>
      <c r="AH75" s="2508"/>
      <c r="AI75" s="2508"/>
      <c r="AJ75" s="2508"/>
      <c r="AK75" s="2677"/>
      <c r="AL75" s="675"/>
      <c r="AQ75" s="681"/>
      <c r="AT75" s="2485"/>
      <c r="AU75" s="2485"/>
      <c r="AV75" s="2485"/>
      <c r="AW75" s="2485"/>
      <c r="AX75" s="2485"/>
      <c r="AY75" s="2485"/>
      <c r="AZ75" s="2485"/>
      <c r="BA75" s="2485"/>
      <c r="BB75" s="2485"/>
      <c r="BC75" s="2485"/>
      <c r="BD75" s="2485"/>
      <c r="BE75" s="2485"/>
      <c r="BF75" s="2485"/>
      <c r="BG75" s="2485"/>
      <c r="BH75" s="2485"/>
      <c r="BI75" s="2485"/>
      <c r="BJ75" s="2485"/>
      <c r="BK75" s="2485"/>
      <c r="BL75" s="2485"/>
      <c r="BM75" s="2485"/>
      <c r="BN75" s="2485"/>
      <c r="BO75" s="2485"/>
      <c r="BP75" s="2485"/>
      <c r="BQ75" s="2485"/>
      <c r="BR75" s="2485"/>
      <c r="BS75" s="2485"/>
      <c r="BT75" s="2485"/>
      <c r="BU75" s="573"/>
      <c r="BV75" s="573"/>
      <c r="BW75" s="573"/>
      <c r="BX75" s="573"/>
      <c r="BY75" s="2485"/>
      <c r="BZ75" s="2485"/>
      <c r="CA75" s="2485"/>
      <c r="CB75" s="2555"/>
      <c r="CC75" s="2555"/>
      <c r="CD75" s="2555"/>
    </row>
    <row r="76" spans="1:82" ht="18" customHeight="1">
      <c r="A76" s="2557" t="s">
        <v>2760</v>
      </c>
      <c r="B76" s="2549"/>
      <c r="C76" s="2549"/>
      <c r="D76" s="2527"/>
      <c r="E76" s="2527"/>
      <c r="F76" s="2527"/>
      <c r="G76" s="2527"/>
      <c r="H76" s="2527"/>
      <c r="I76" s="2527"/>
      <c r="J76" s="2524"/>
      <c r="K76" s="2524"/>
      <c r="L76" s="2524"/>
      <c r="M76" s="2524"/>
      <c r="N76" s="2524"/>
      <c r="O76" s="2524"/>
      <c r="P76" s="2549" t="s">
        <v>2754</v>
      </c>
      <c r="Q76" s="2549"/>
      <c r="R76" s="2549"/>
      <c r="S76" s="2670"/>
      <c r="T76" s="2671"/>
      <c r="U76" s="2680" t="s">
        <v>2882</v>
      </c>
      <c r="V76" s="2681"/>
      <c r="W76" s="2682"/>
      <c r="X76" s="2683"/>
      <c r="Y76" s="2684"/>
      <c r="Z76" s="2684"/>
      <c r="AA76" s="2684"/>
      <c r="AB76" s="2684"/>
      <c r="AC76" s="2684"/>
      <c r="AD76" s="2684"/>
      <c r="AE76" s="2685"/>
      <c r="AF76" s="2689"/>
      <c r="AG76" s="2670"/>
      <c r="AH76" s="2670"/>
      <c r="AI76" s="2670"/>
      <c r="AJ76" s="2670"/>
      <c r="AK76" s="2671"/>
      <c r="AL76" s="735"/>
      <c r="AQ76" s="681"/>
      <c r="AT76" s="2485"/>
      <c r="AU76" s="2485"/>
      <c r="AV76" s="2485"/>
      <c r="AW76" s="2485"/>
      <c r="AX76" s="2485"/>
      <c r="AY76" s="2485"/>
      <c r="AZ76" s="2485"/>
      <c r="BA76" s="2485"/>
      <c r="BB76" s="2485"/>
      <c r="BC76" s="2485"/>
      <c r="BD76" s="2485"/>
      <c r="BE76" s="2485"/>
      <c r="BF76" s="2485"/>
      <c r="BG76" s="2485"/>
      <c r="BH76" s="2485"/>
      <c r="BI76" s="2485"/>
      <c r="BJ76" s="2485"/>
      <c r="BK76" s="2485"/>
      <c r="BL76" s="2485"/>
      <c r="BM76" s="2485"/>
      <c r="BN76" s="2485"/>
      <c r="BO76" s="2485"/>
      <c r="BP76" s="2485"/>
      <c r="BQ76" s="2485"/>
      <c r="BR76" s="2485"/>
      <c r="BS76" s="2485"/>
      <c r="BT76" s="2485"/>
      <c r="BU76" s="573"/>
      <c r="BV76" s="573"/>
      <c r="BW76" s="573"/>
      <c r="BX76" s="573"/>
      <c r="BY76" s="2678"/>
      <c r="BZ76" s="2678"/>
      <c r="CA76" s="2678"/>
      <c r="CB76" s="2679"/>
      <c r="CC76" s="2679"/>
      <c r="CD76" s="2679"/>
    </row>
    <row r="77" spans="1:82" ht="18" customHeight="1">
      <c r="A77" s="2557"/>
      <c r="B77" s="2549"/>
      <c r="C77" s="2549"/>
      <c r="D77" s="2528"/>
      <c r="E77" s="2528"/>
      <c r="F77" s="2528"/>
      <c r="G77" s="2528"/>
      <c r="H77" s="2528"/>
      <c r="I77" s="2528"/>
      <c r="J77" s="2524"/>
      <c r="K77" s="2524"/>
      <c r="L77" s="2524"/>
      <c r="M77" s="2524"/>
      <c r="N77" s="2524"/>
      <c r="O77" s="2524"/>
      <c r="P77" s="2549"/>
      <c r="Q77" s="2549"/>
      <c r="R77" s="2549"/>
      <c r="S77" s="2670"/>
      <c r="T77" s="2671"/>
      <c r="U77" s="2680" t="s">
        <v>2877</v>
      </c>
      <c r="V77" s="2681"/>
      <c r="W77" s="2682"/>
      <c r="X77" s="2683"/>
      <c r="Y77" s="2684"/>
      <c r="Z77" s="2684"/>
      <c r="AA77" s="2684"/>
      <c r="AB77" s="2684"/>
      <c r="AC77" s="2684"/>
      <c r="AD77" s="2684"/>
      <c r="AE77" s="2685"/>
      <c r="AF77" s="2689"/>
      <c r="AG77" s="2670"/>
      <c r="AH77" s="2670"/>
      <c r="AI77" s="2670"/>
      <c r="AJ77" s="2670"/>
      <c r="AK77" s="2671"/>
      <c r="AL77" s="735"/>
      <c r="AQ77" s="681"/>
      <c r="AT77" s="2485"/>
      <c r="AU77" s="2485"/>
      <c r="AV77" s="2485"/>
      <c r="AW77" s="2485"/>
      <c r="AX77" s="2485"/>
      <c r="AY77" s="2485"/>
      <c r="AZ77" s="2485"/>
      <c r="BA77" s="2485"/>
      <c r="BB77" s="2485"/>
      <c r="BC77" s="2485"/>
      <c r="BD77" s="2485"/>
      <c r="BE77" s="2485"/>
      <c r="BF77" s="2485"/>
      <c r="BG77" s="2485"/>
      <c r="BH77" s="2485"/>
      <c r="BI77" s="2485"/>
      <c r="BJ77" s="2485"/>
      <c r="BK77" s="2485"/>
      <c r="BL77" s="2485"/>
      <c r="BM77" s="2485"/>
      <c r="BN77" s="2485"/>
      <c r="BO77" s="2485"/>
      <c r="BP77" s="2485"/>
      <c r="BQ77" s="2485"/>
      <c r="BR77" s="2485"/>
      <c r="BS77" s="2485"/>
      <c r="BT77" s="2485"/>
      <c r="BU77" s="573"/>
      <c r="BV77" s="573"/>
      <c r="BW77" s="573"/>
      <c r="BX77" s="573"/>
      <c r="BY77" s="2678"/>
      <c r="BZ77" s="2678"/>
      <c r="CA77" s="2678"/>
      <c r="CB77" s="2679"/>
      <c r="CC77" s="2679"/>
      <c r="CD77" s="2679"/>
    </row>
    <row r="78" spans="1:82" ht="18" customHeight="1">
      <c r="A78" s="2669" t="s">
        <v>2886</v>
      </c>
      <c r="B78" s="2549"/>
      <c r="C78" s="2549"/>
      <c r="D78" s="2527"/>
      <c r="E78" s="2527"/>
      <c r="F78" s="2527"/>
      <c r="G78" s="2527"/>
      <c r="H78" s="2527"/>
      <c r="I78" s="2527"/>
      <c r="J78" s="2524"/>
      <c r="K78" s="2524"/>
      <c r="L78" s="2524"/>
      <c r="M78" s="2524"/>
      <c r="N78" s="2524"/>
      <c r="O78" s="2524"/>
      <c r="P78" s="2549" t="s">
        <v>2754</v>
      </c>
      <c r="Q78" s="2549"/>
      <c r="R78" s="2549"/>
      <c r="S78" s="2670"/>
      <c r="T78" s="2671"/>
      <c r="U78" s="2680" t="s">
        <v>2882</v>
      </c>
      <c r="V78" s="2681"/>
      <c r="W78" s="2682"/>
      <c r="X78" s="2683"/>
      <c r="Y78" s="2684"/>
      <c r="Z78" s="2684"/>
      <c r="AA78" s="2684"/>
      <c r="AB78" s="2684"/>
      <c r="AC78" s="2684"/>
      <c r="AD78" s="2684"/>
      <c r="AE78" s="2685"/>
      <c r="AF78" s="2689"/>
      <c r="AG78" s="2670"/>
      <c r="AH78" s="2670"/>
      <c r="AI78" s="2670"/>
      <c r="AJ78" s="2670"/>
      <c r="AK78" s="2671"/>
      <c r="AL78" s="735"/>
      <c r="AT78" s="2485"/>
      <c r="AU78" s="2485"/>
      <c r="AV78" s="2485"/>
      <c r="AW78" s="2485"/>
      <c r="AX78" s="2485"/>
      <c r="AY78" s="2485"/>
      <c r="AZ78" s="2485"/>
      <c r="BA78" s="2485"/>
      <c r="BB78" s="2485"/>
      <c r="BC78" s="2485"/>
      <c r="BD78" s="2485"/>
      <c r="BE78" s="2485"/>
      <c r="BF78" s="2485"/>
      <c r="BG78" s="2485"/>
      <c r="BH78" s="2485"/>
      <c r="BI78" s="2485"/>
      <c r="BJ78" s="2485"/>
      <c r="BK78" s="2485"/>
      <c r="BL78" s="2485"/>
      <c r="BM78" s="2485"/>
      <c r="BN78" s="2485"/>
      <c r="BO78" s="2485"/>
      <c r="BP78" s="2485"/>
      <c r="BQ78" s="2485"/>
      <c r="BR78" s="2485"/>
      <c r="BS78" s="2485"/>
      <c r="BT78" s="2485"/>
      <c r="BU78" s="573"/>
      <c r="BV78" s="573"/>
      <c r="BW78" s="573"/>
      <c r="BX78" s="573"/>
      <c r="BY78" s="2678"/>
      <c r="BZ78" s="2678"/>
      <c r="CA78" s="2678"/>
      <c r="CB78" s="2679"/>
      <c r="CC78" s="2679"/>
      <c r="CD78" s="2679"/>
    </row>
    <row r="79" spans="1:82" ht="18" customHeight="1" thickBot="1">
      <c r="A79" s="2624"/>
      <c r="B79" s="2612"/>
      <c r="C79" s="2612"/>
      <c r="D79" s="2585"/>
      <c r="E79" s="2585"/>
      <c r="F79" s="2585"/>
      <c r="G79" s="2585"/>
      <c r="H79" s="2585"/>
      <c r="I79" s="2585"/>
      <c r="J79" s="2584"/>
      <c r="K79" s="2584"/>
      <c r="L79" s="2584"/>
      <c r="M79" s="2584"/>
      <c r="N79" s="2584"/>
      <c r="O79" s="2584"/>
      <c r="P79" s="2612"/>
      <c r="Q79" s="2612"/>
      <c r="R79" s="2612"/>
      <c r="S79" s="2672"/>
      <c r="T79" s="2673"/>
      <c r="U79" s="2691" t="s">
        <v>2878</v>
      </c>
      <c r="V79" s="2692"/>
      <c r="W79" s="2693"/>
      <c r="X79" s="2686"/>
      <c r="Y79" s="2687"/>
      <c r="Z79" s="2687"/>
      <c r="AA79" s="2687"/>
      <c r="AB79" s="2687"/>
      <c r="AC79" s="2687"/>
      <c r="AD79" s="2687"/>
      <c r="AE79" s="2688"/>
      <c r="AF79" s="2690"/>
      <c r="AG79" s="2672"/>
      <c r="AH79" s="2672"/>
      <c r="AI79" s="2672"/>
      <c r="AJ79" s="2672"/>
      <c r="AK79" s="2673"/>
      <c r="AL79" s="735"/>
      <c r="AT79" s="2485"/>
      <c r="AU79" s="2485"/>
      <c r="AV79" s="2485"/>
      <c r="AW79" s="2485"/>
      <c r="AX79" s="2485"/>
      <c r="AY79" s="2485"/>
      <c r="AZ79" s="2485"/>
      <c r="BA79" s="2485"/>
      <c r="BB79" s="2485"/>
      <c r="BC79" s="2485"/>
      <c r="BD79" s="2485"/>
      <c r="BE79" s="2485"/>
      <c r="BF79" s="2485"/>
      <c r="BG79" s="2485"/>
      <c r="BH79" s="2485"/>
      <c r="BI79" s="2485"/>
      <c r="BJ79" s="2485"/>
      <c r="BK79" s="2485"/>
      <c r="BL79" s="2485"/>
      <c r="BM79" s="2485"/>
      <c r="BN79" s="2485"/>
      <c r="BO79" s="2485"/>
      <c r="BP79" s="2485"/>
      <c r="BQ79" s="2485"/>
      <c r="BR79" s="2485"/>
      <c r="BS79" s="2485"/>
      <c r="BT79" s="2485"/>
      <c r="BY79" s="2678"/>
      <c r="BZ79" s="2678"/>
      <c r="CA79" s="2678"/>
      <c r="CB79" s="2679"/>
      <c r="CC79" s="2679"/>
      <c r="CD79" s="2679"/>
    </row>
    <row r="80" spans="1:82">
      <c r="B80" s="573"/>
      <c r="C80" s="573"/>
      <c r="D80" s="573"/>
      <c r="E80" s="573"/>
      <c r="F80" s="573"/>
      <c r="G80" s="573"/>
      <c r="H80" s="573"/>
      <c r="I80" s="573"/>
      <c r="J80" s="573"/>
      <c r="K80" s="573"/>
      <c r="L80" s="573"/>
      <c r="M80" s="573"/>
      <c r="N80" s="573"/>
      <c r="O80" s="573"/>
      <c r="P80" s="573"/>
      <c r="Q80" s="573"/>
      <c r="R80" s="573"/>
      <c r="S80" s="573"/>
      <c r="T80" s="573"/>
      <c r="U80" s="573"/>
      <c r="V80" s="573"/>
      <c r="W80" s="573"/>
      <c r="X80" s="573"/>
      <c r="Y80" s="573"/>
      <c r="Z80" s="573"/>
      <c r="AA80" s="573"/>
      <c r="AB80" s="573"/>
      <c r="AC80" s="573"/>
      <c r="AD80" s="573"/>
      <c r="AE80" s="573"/>
      <c r="AF80" s="573"/>
      <c r="AG80" s="573"/>
      <c r="AH80" s="573"/>
      <c r="AI80" s="573"/>
      <c r="AJ80" s="671"/>
      <c r="AK80" s="671"/>
      <c r="AL80" s="672"/>
    </row>
    <row r="81" spans="2:38">
      <c r="B81" s="2626" t="s">
        <v>2869</v>
      </c>
      <c r="C81" s="2483"/>
      <c r="D81" s="2483"/>
      <c r="E81" s="2483"/>
      <c r="F81" s="2483"/>
      <c r="G81" s="2483"/>
      <c r="H81" s="2483"/>
      <c r="I81" s="2483"/>
      <c r="J81" s="2487"/>
      <c r="K81" s="573"/>
      <c r="L81" s="573"/>
      <c r="M81" s="573"/>
      <c r="N81" s="573"/>
      <c r="O81" s="573"/>
      <c r="P81" s="573"/>
      <c r="Q81" s="573"/>
      <c r="R81" s="573"/>
      <c r="S81" s="573"/>
      <c r="T81" s="573"/>
      <c r="U81" s="573"/>
      <c r="V81" s="573"/>
      <c r="W81" s="573"/>
      <c r="X81" s="573"/>
      <c r="Y81" s="573"/>
      <c r="Z81" s="573"/>
      <c r="AA81" s="573"/>
      <c r="AB81" s="573"/>
      <c r="AC81" s="573"/>
      <c r="AD81" s="573"/>
      <c r="AE81" s="573"/>
      <c r="AF81" s="573"/>
      <c r="AG81" s="573"/>
      <c r="AH81" s="573"/>
      <c r="AI81" s="573"/>
      <c r="AJ81" s="671"/>
      <c r="AK81" s="671"/>
      <c r="AL81" s="672"/>
    </row>
    <row r="82" spans="2:38">
      <c r="B82" s="2627"/>
      <c r="C82" s="2512"/>
      <c r="D82" s="2512"/>
      <c r="E82" s="2512" t="s">
        <v>2887</v>
      </c>
      <c r="F82" s="2512"/>
      <c r="G82" s="2512"/>
      <c r="H82" s="2512" t="s">
        <v>2888</v>
      </c>
      <c r="I82" s="2512"/>
      <c r="J82" s="2512"/>
      <c r="K82" s="2512" t="s">
        <v>2873</v>
      </c>
      <c r="L82" s="2512"/>
      <c r="M82" s="2512"/>
      <c r="N82" s="2512" t="s">
        <v>2889</v>
      </c>
      <c r="O82" s="2512"/>
      <c r="P82" s="2512"/>
      <c r="Q82" s="2512" t="s">
        <v>2760</v>
      </c>
      <c r="R82" s="2512"/>
      <c r="S82" s="2512"/>
      <c r="T82" s="2512" t="s">
        <v>2890</v>
      </c>
      <c r="U82" s="2512"/>
      <c r="V82" s="2512"/>
      <c r="W82" s="2512" t="s">
        <v>2891</v>
      </c>
      <c r="X82" s="2512"/>
      <c r="Y82" s="2512"/>
      <c r="Z82" s="2512" t="s">
        <v>2892</v>
      </c>
      <c r="AA82" s="2512"/>
      <c r="AB82" s="2633"/>
      <c r="AC82" s="2634" t="s">
        <v>3099</v>
      </c>
      <c r="AD82" s="2635"/>
      <c r="AE82" s="2628" t="s">
        <v>3100</v>
      </c>
      <c r="AF82" s="2629"/>
      <c r="AG82" s="2630" t="s">
        <v>2897</v>
      </c>
      <c r="AH82" s="2630"/>
      <c r="AI82" s="2630"/>
      <c r="AJ82" s="2636" t="s">
        <v>2896</v>
      </c>
      <c r="AK82" s="2636"/>
      <c r="AL82" s="2636"/>
    </row>
    <row r="83" spans="2:38" ht="15.6" customHeight="1">
      <c r="B83" s="2632" t="s">
        <v>2893</v>
      </c>
      <c r="C83" s="2549"/>
      <c r="D83" s="2549"/>
      <c r="E83" s="2549"/>
      <c r="F83" s="2549"/>
      <c r="G83" s="2549"/>
      <c r="H83" s="2549"/>
      <c r="I83" s="2549"/>
      <c r="J83" s="2549"/>
      <c r="K83" s="2549"/>
      <c r="L83" s="2549"/>
      <c r="M83" s="2549"/>
      <c r="N83" s="2549"/>
      <c r="O83" s="2549"/>
      <c r="P83" s="2549"/>
      <c r="Q83" s="2549"/>
      <c r="R83" s="2549"/>
      <c r="S83" s="2549"/>
      <c r="T83" s="2549"/>
      <c r="U83" s="2549"/>
      <c r="V83" s="2549"/>
      <c r="W83" s="2549"/>
      <c r="X83" s="2549"/>
      <c r="Y83" s="2549"/>
      <c r="Z83" s="2549"/>
      <c r="AA83" s="2549"/>
      <c r="AB83" s="2656"/>
      <c r="AC83" s="2637"/>
      <c r="AD83" s="2638"/>
      <c r="AE83" s="2641"/>
      <c r="AF83" s="2641"/>
      <c r="AG83" s="2643"/>
      <c r="AH83" s="2643"/>
      <c r="AI83" s="2643"/>
      <c r="AJ83" s="2657"/>
      <c r="AK83" s="2657"/>
      <c r="AL83" s="2657"/>
    </row>
    <row r="84" spans="2:38" ht="15.6" customHeight="1">
      <c r="B84" s="2632"/>
      <c r="C84" s="2549"/>
      <c r="D84" s="2549"/>
      <c r="E84" s="2549"/>
      <c r="F84" s="2549"/>
      <c r="G84" s="2549"/>
      <c r="H84" s="2549"/>
      <c r="I84" s="2549"/>
      <c r="J84" s="2549"/>
      <c r="K84" s="2549"/>
      <c r="L84" s="2549"/>
      <c r="M84" s="2549"/>
      <c r="N84" s="2549"/>
      <c r="O84" s="2549"/>
      <c r="P84" s="2549"/>
      <c r="Q84" s="2549"/>
      <c r="R84" s="2549"/>
      <c r="S84" s="2549"/>
      <c r="T84" s="2549"/>
      <c r="U84" s="2549"/>
      <c r="V84" s="2549"/>
      <c r="W84" s="2549"/>
      <c r="X84" s="2549"/>
      <c r="Y84" s="2549"/>
      <c r="Z84" s="2549"/>
      <c r="AA84" s="2549"/>
      <c r="AB84" s="2656"/>
      <c r="AC84" s="2639"/>
      <c r="AD84" s="2640"/>
      <c r="AE84" s="2642"/>
      <c r="AF84" s="2642"/>
      <c r="AG84" s="2644"/>
      <c r="AH84" s="2644"/>
      <c r="AI84" s="2644"/>
      <c r="AJ84" s="2658"/>
      <c r="AK84" s="2658"/>
      <c r="AL84" s="2658"/>
    </row>
    <row r="85" spans="2:38" ht="15.6" customHeight="1">
      <c r="B85" s="2632" t="s">
        <v>2894</v>
      </c>
      <c r="C85" s="2549"/>
      <c r="D85" s="2549"/>
      <c r="E85" s="2549"/>
      <c r="F85" s="2549"/>
      <c r="G85" s="2549"/>
      <c r="H85" s="2549"/>
      <c r="I85" s="2549"/>
      <c r="J85" s="2549"/>
      <c r="K85" s="2549"/>
      <c r="L85" s="2549"/>
      <c r="M85" s="2549"/>
      <c r="N85" s="2549"/>
      <c r="O85" s="2549"/>
      <c r="P85" s="2549"/>
      <c r="Q85" s="2549"/>
      <c r="R85" s="2549"/>
      <c r="S85" s="2549"/>
      <c r="T85" s="2549"/>
      <c r="U85" s="2549"/>
      <c r="V85" s="2549"/>
      <c r="W85" s="2549"/>
      <c r="X85" s="2549"/>
      <c r="Y85" s="2549"/>
      <c r="Z85" s="2549"/>
      <c r="AA85" s="2549"/>
      <c r="AB85" s="2656"/>
      <c r="AC85" s="2647"/>
      <c r="AD85" s="2648"/>
      <c r="AE85" s="2649"/>
      <c r="AF85" s="2649"/>
      <c r="AG85" s="2644"/>
      <c r="AH85" s="2644"/>
      <c r="AI85" s="2644"/>
      <c r="AJ85" s="2658"/>
      <c r="AK85" s="2658"/>
      <c r="AL85" s="2658"/>
    </row>
    <row r="86" spans="2:38" ht="15.6" customHeight="1">
      <c r="B86" s="2655"/>
      <c r="C86" s="2646"/>
      <c r="D86" s="2646"/>
      <c r="E86" s="2646"/>
      <c r="F86" s="2646"/>
      <c r="G86" s="2646"/>
      <c r="H86" s="2646"/>
      <c r="I86" s="2646"/>
      <c r="J86" s="2646"/>
      <c r="K86" s="2646"/>
      <c r="L86" s="2646"/>
      <c r="M86" s="2646"/>
      <c r="N86" s="2646"/>
      <c r="O86" s="2646"/>
      <c r="P86" s="2646"/>
      <c r="Q86" s="2646"/>
      <c r="R86" s="2646"/>
      <c r="S86" s="2646"/>
      <c r="T86" s="2646"/>
      <c r="U86" s="2646"/>
      <c r="V86" s="2646"/>
      <c r="W86" s="2646"/>
      <c r="X86" s="2646"/>
      <c r="Y86" s="2646"/>
      <c r="Z86" s="2646"/>
      <c r="AA86" s="2646"/>
      <c r="AB86" s="2663"/>
      <c r="AC86" s="2647"/>
      <c r="AD86" s="2648"/>
      <c r="AE86" s="2649"/>
      <c r="AF86" s="2649"/>
      <c r="AG86" s="2645"/>
      <c r="AH86" s="2645"/>
      <c r="AI86" s="2645"/>
      <c r="AJ86" s="2659"/>
      <c r="AK86" s="2659"/>
      <c r="AL86" s="2659"/>
    </row>
  </sheetData>
  <sheetProtection selectLockedCells="1"/>
  <mergeCells count="605">
    <mergeCell ref="BC34:BH35"/>
    <mergeCell ref="BI34:BK35"/>
    <mergeCell ref="BL34:BM35"/>
    <mergeCell ref="BN34:BP34"/>
    <mergeCell ref="BQ34:BX35"/>
    <mergeCell ref="BY34:CD35"/>
    <mergeCell ref="BN35:BP35"/>
    <mergeCell ref="BI32:BK33"/>
    <mergeCell ref="BL32:BM33"/>
    <mergeCell ref="BN32:BP32"/>
    <mergeCell ref="BQ32:BX33"/>
    <mergeCell ref="BY32:CD33"/>
    <mergeCell ref="BN33:BP33"/>
    <mergeCell ref="BC32:BH33"/>
    <mergeCell ref="AT30:BM30"/>
    <mergeCell ref="BN30:BP31"/>
    <mergeCell ref="BQ30:BX31"/>
    <mergeCell ref="BY30:CD31"/>
    <mergeCell ref="AT31:AV31"/>
    <mergeCell ref="AW31:AY31"/>
    <mergeCell ref="AZ31:BB31"/>
    <mergeCell ref="BC31:BH31"/>
    <mergeCell ref="BI31:BK31"/>
    <mergeCell ref="BL31:BM31"/>
    <mergeCell ref="D31:F31"/>
    <mergeCell ref="A31:C31"/>
    <mergeCell ref="AF30:AK31"/>
    <mergeCell ref="X30:AE31"/>
    <mergeCell ref="U30:W31"/>
    <mergeCell ref="A30:T30"/>
    <mergeCell ref="AT34:AV35"/>
    <mergeCell ref="AW34:AY35"/>
    <mergeCell ref="AZ34:BB35"/>
    <mergeCell ref="U34:W34"/>
    <mergeCell ref="X34:AE35"/>
    <mergeCell ref="AF34:AK35"/>
    <mergeCell ref="U35:W35"/>
    <mergeCell ref="A34:C35"/>
    <mergeCell ref="D34:F35"/>
    <mergeCell ref="G34:I35"/>
    <mergeCell ref="J34:O35"/>
    <mergeCell ref="P34:R35"/>
    <mergeCell ref="S34:T35"/>
    <mergeCell ref="U33:W33"/>
    <mergeCell ref="AT32:AV33"/>
    <mergeCell ref="AW32:AY33"/>
    <mergeCell ref="AZ32:BB33"/>
    <mergeCell ref="AF32:AK33"/>
    <mergeCell ref="G32:I33"/>
    <mergeCell ref="J32:O33"/>
    <mergeCell ref="P32:R33"/>
    <mergeCell ref="S32:T33"/>
    <mergeCell ref="U32:W32"/>
    <mergeCell ref="X32:AE33"/>
    <mergeCell ref="G31:I31"/>
    <mergeCell ref="J31:O31"/>
    <mergeCell ref="P31:R31"/>
    <mergeCell ref="S31:T31"/>
    <mergeCell ref="A32:C33"/>
    <mergeCell ref="D32:F33"/>
    <mergeCell ref="BL78:BN79"/>
    <mergeCell ref="BO78:BQ79"/>
    <mergeCell ref="BR78:BT79"/>
    <mergeCell ref="AT78:AV79"/>
    <mergeCell ref="AW78:AY79"/>
    <mergeCell ref="AZ78:BB79"/>
    <mergeCell ref="BC78:BE79"/>
    <mergeCell ref="BF78:BH79"/>
    <mergeCell ref="BI78:BK79"/>
    <mergeCell ref="BR75:BT75"/>
    <mergeCell ref="T70:U71"/>
    <mergeCell ref="V70:X70"/>
    <mergeCell ref="Y70:AF71"/>
    <mergeCell ref="AG70:AL71"/>
    <mergeCell ref="V71:X71"/>
    <mergeCell ref="T66:U67"/>
    <mergeCell ref="V66:X66"/>
    <mergeCell ref="Y66:AF67"/>
    <mergeCell ref="AG66:AL67"/>
    <mergeCell ref="V67:X67"/>
    <mergeCell ref="T64:U65"/>
    <mergeCell ref="V64:X64"/>
    <mergeCell ref="Q85:S86"/>
    <mergeCell ref="T85:V86"/>
    <mergeCell ref="W85:Y86"/>
    <mergeCell ref="Z85:AB86"/>
    <mergeCell ref="AC85:AD86"/>
    <mergeCell ref="AE85:AF86"/>
    <mergeCell ref="BL76:BN77"/>
    <mergeCell ref="BO76:BQ77"/>
    <mergeCell ref="BR76:BT77"/>
    <mergeCell ref="Q82:S82"/>
    <mergeCell ref="T82:V82"/>
    <mergeCell ref="W82:Y82"/>
    <mergeCell ref="Z82:AB82"/>
    <mergeCell ref="P76:R77"/>
    <mergeCell ref="S76:T77"/>
    <mergeCell ref="U78:W78"/>
    <mergeCell ref="X78:AE79"/>
    <mergeCell ref="AF78:AK79"/>
    <mergeCell ref="U79:W79"/>
    <mergeCell ref="U76:W76"/>
    <mergeCell ref="X76:AE77"/>
    <mergeCell ref="AF76:AK77"/>
    <mergeCell ref="U77:W77"/>
    <mergeCell ref="P78:R79"/>
    <mergeCell ref="BY76:CA79"/>
    <mergeCell ref="CB76:CD79"/>
    <mergeCell ref="B85:D86"/>
    <mergeCell ref="E85:G86"/>
    <mergeCell ref="H85:J86"/>
    <mergeCell ref="K85:M86"/>
    <mergeCell ref="N85:P86"/>
    <mergeCell ref="AT76:AV77"/>
    <mergeCell ref="AW76:AY77"/>
    <mergeCell ref="AZ76:BB77"/>
    <mergeCell ref="BC76:BE77"/>
    <mergeCell ref="BF76:BH77"/>
    <mergeCell ref="BI76:BK77"/>
    <mergeCell ref="W83:Y84"/>
    <mergeCell ref="Z83:AB84"/>
    <mergeCell ref="AC83:AD84"/>
    <mergeCell ref="AE83:AF84"/>
    <mergeCell ref="AG83:AI86"/>
    <mergeCell ref="AJ83:AL86"/>
    <mergeCell ref="B82:D82"/>
    <mergeCell ref="E82:G82"/>
    <mergeCell ref="H82:J82"/>
    <mergeCell ref="K82:M82"/>
    <mergeCell ref="N82:P82"/>
    <mergeCell ref="BY75:CA75"/>
    <mergeCell ref="CB75:CD75"/>
    <mergeCell ref="B83:D84"/>
    <mergeCell ref="E83:G84"/>
    <mergeCell ref="H83:J84"/>
    <mergeCell ref="K83:M84"/>
    <mergeCell ref="N83:P84"/>
    <mergeCell ref="Q83:S84"/>
    <mergeCell ref="T83:V84"/>
    <mergeCell ref="AZ75:BB75"/>
    <mergeCell ref="BC75:BE75"/>
    <mergeCell ref="BF75:BH75"/>
    <mergeCell ref="BI75:BK75"/>
    <mergeCell ref="BL75:BN75"/>
    <mergeCell ref="BO75:BQ75"/>
    <mergeCell ref="AC82:AD82"/>
    <mergeCell ref="AE82:AF82"/>
    <mergeCell ref="AG82:AI82"/>
    <mergeCell ref="AJ82:AL82"/>
    <mergeCell ref="AT75:AV75"/>
    <mergeCell ref="AW75:AY75"/>
    <mergeCell ref="X74:AE75"/>
    <mergeCell ref="AF74:AK75"/>
    <mergeCell ref="AT74:BB74"/>
    <mergeCell ref="Y68:AF69"/>
    <mergeCell ref="AG68:AL69"/>
    <mergeCell ref="V69:X69"/>
    <mergeCell ref="B70:D71"/>
    <mergeCell ref="E70:G71"/>
    <mergeCell ref="H70:J71"/>
    <mergeCell ref="K70:P71"/>
    <mergeCell ref="Q70:S71"/>
    <mergeCell ref="B68:D69"/>
    <mergeCell ref="E68:G69"/>
    <mergeCell ref="H68:J69"/>
    <mergeCell ref="K68:P69"/>
    <mergeCell ref="Q68:S69"/>
    <mergeCell ref="H64:J65"/>
    <mergeCell ref="K64:P65"/>
    <mergeCell ref="Q64:S65"/>
    <mergeCell ref="B81:J81"/>
    <mergeCell ref="A74:T74"/>
    <mergeCell ref="U74:W75"/>
    <mergeCell ref="A75:C75"/>
    <mergeCell ref="D75:F75"/>
    <mergeCell ref="T68:U69"/>
    <mergeCell ref="V68:X68"/>
    <mergeCell ref="G75:I75"/>
    <mergeCell ref="J75:O75"/>
    <mergeCell ref="P75:R75"/>
    <mergeCell ref="S75:T75"/>
    <mergeCell ref="A76:C77"/>
    <mergeCell ref="D76:F77"/>
    <mergeCell ref="G76:I77"/>
    <mergeCell ref="J76:O77"/>
    <mergeCell ref="A78:C79"/>
    <mergeCell ref="D78:F79"/>
    <mergeCell ref="G78:I79"/>
    <mergeCell ref="J78:O79"/>
    <mergeCell ref="S78:T79"/>
    <mergeCell ref="Y60:AF61"/>
    <mergeCell ref="AG60:AL61"/>
    <mergeCell ref="V61:X61"/>
    <mergeCell ref="A62:A71"/>
    <mergeCell ref="B62:D63"/>
    <mergeCell ref="E62:G63"/>
    <mergeCell ref="H62:J63"/>
    <mergeCell ref="K62:P63"/>
    <mergeCell ref="Q62:S63"/>
    <mergeCell ref="Y64:AF65"/>
    <mergeCell ref="AG64:AL65"/>
    <mergeCell ref="V65:X65"/>
    <mergeCell ref="B66:D67"/>
    <mergeCell ref="E66:G67"/>
    <mergeCell ref="H66:J67"/>
    <mergeCell ref="K66:P67"/>
    <mergeCell ref="Q66:S67"/>
    <mergeCell ref="T62:U63"/>
    <mergeCell ref="V62:X62"/>
    <mergeCell ref="Y62:AF63"/>
    <mergeCell ref="AG62:AL63"/>
    <mergeCell ref="V63:X63"/>
    <mergeCell ref="B64:D65"/>
    <mergeCell ref="E64:G65"/>
    <mergeCell ref="AG56:AL57"/>
    <mergeCell ref="V57:X57"/>
    <mergeCell ref="B58:D59"/>
    <mergeCell ref="E58:G59"/>
    <mergeCell ref="H58:J59"/>
    <mergeCell ref="K58:P59"/>
    <mergeCell ref="Q58:S59"/>
    <mergeCell ref="T58:U59"/>
    <mergeCell ref="V58:X58"/>
    <mergeCell ref="Y58:AF59"/>
    <mergeCell ref="AG58:AL59"/>
    <mergeCell ref="V59:X59"/>
    <mergeCell ref="AG52:AL53"/>
    <mergeCell ref="V53:X53"/>
    <mergeCell ref="B54:D55"/>
    <mergeCell ref="E54:G55"/>
    <mergeCell ref="H54:J55"/>
    <mergeCell ref="K54:P55"/>
    <mergeCell ref="Q54:S55"/>
    <mergeCell ref="T54:U55"/>
    <mergeCell ref="V54:X54"/>
    <mergeCell ref="Y54:AF55"/>
    <mergeCell ref="AG54:AL55"/>
    <mergeCell ref="V55:X55"/>
    <mergeCell ref="A52:A61"/>
    <mergeCell ref="B52:D53"/>
    <mergeCell ref="E52:G53"/>
    <mergeCell ref="H52:J53"/>
    <mergeCell ref="K52:P53"/>
    <mergeCell ref="Q52:S53"/>
    <mergeCell ref="T52:U53"/>
    <mergeCell ref="V52:X52"/>
    <mergeCell ref="Y52:AF53"/>
    <mergeCell ref="B56:D57"/>
    <mergeCell ref="E56:G57"/>
    <mergeCell ref="H56:J57"/>
    <mergeCell ref="K56:P57"/>
    <mergeCell ref="Q56:S57"/>
    <mergeCell ref="T56:U57"/>
    <mergeCell ref="V56:X56"/>
    <mergeCell ref="Y56:AF57"/>
    <mergeCell ref="B60:D61"/>
    <mergeCell ref="E60:G61"/>
    <mergeCell ref="H60:J61"/>
    <mergeCell ref="K60:P61"/>
    <mergeCell ref="Q60:S61"/>
    <mergeCell ref="T60:U61"/>
    <mergeCell ref="V60:X60"/>
    <mergeCell ref="A50:A51"/>
    <mergeCell ref="B50:U50"/>
    <mergeCell ref="V50:X51"/>
    <mergeCell ref="Y50:AF51"/>
    <mergeCell ref="AG50:AL51"/>
    <mergeCell ref="B51:D51"/>
    <mergeCell ref="E51:G51"/>
    <mergeCell ref="H51:J51"/>
    <mergeCell ref="K51:P51"/>
    <mergeCell ref="Q51:S51"/>
    <mergeCell ref="T51:U51"/>
    <mergeCell ref="BW42:BX43"/>
    <mergeCell ref="B44:M44"/>
    <mergeCell ref="AT44:BE44"/>
    <mergeCell ref="A45:A48"/>
    <mergeCell ref="B45:C46"/>
    <mergeCell ref="D45:L46"/>
    <mergeCell ref="M45:AL45"/>
    <mergeCell ref="M46:AL48"/>
    <mergeCell ref="B47:C48"/>
    <mergeCell ref="D47:K48"/>
    <mergeCell ref="BF42:BH43"/>
    <mergeCell ref="BI42:BK43"/>
    <mergeCell ref="BL42:BN43"/>
    <mergeCell ref="BO42:BQ43"/>
    <mergeCell ref="BR42:BT43"/>
    <mergeCell ref="BU42:BV43"/>
    <mergeCell ref="AZ42:BB43"/>
    <mergeCell ref="BC42:BE43"/>
    <mergeCell ref="L47:L48"/>
    <mergeCell ref="BY40:CA43"/>
    <mergeCell ref="CB40:CD43"/>
    <mergeCell ref="B42:D43"/>
    <mergeCell ref="E42:G43"/>
    <mergeCell ref="H42:J43"/>
    <mergeCell ref="K42:M43"/>
    <mergeCell ref="N42:P43"/>
    <mergeCell ref="Q42:S43"/>
    <mergeCell ref="T42:V43"/>
    <mergeCell ref="W42:Y43"/>
    <mergeCell ref="BI40:BK41"/>
    <mergeCell ref="BL40:BN41"/>
    <mergeCell ref="BO40:BQ41"/>
    <mergeCell ref="BR40:BT41"/>
    <mergeCell ref="BU40:BV41"/>
    <mergeCell ref="BW40:BX41"/>
    <mergeCell ref="AJ40:AL43"/>
    <mergeCell ref="AT40:AV41"/>
    <mergeCell ref="AW40:AY41"/>
    <mergeCell ref="AZ40:BB41"/>
    <mergeCell ref="BC40:BE41"/>
    <mergeCell ref="BF40:BH41"/>
    <mergeCell ref="AT42:AV43"/>
    <mergeCell ref="AW42:AY43"/>
    <mergeCell ref="B40:D41"/>
    <mergeCell ref="E40:G41"/>
    <mergeCell ref="H40:J41"/>
    <mergeCell ref="K40:M41"/>
    <mergeCell ref="N40:P41"/>
    <mergeCell ref="Q40:S41"/>
    <mergeCell ref="BO39:BQ39"/>
    <mergeCell ref="BR39:BT39"/>
    <mergeCell ref="BU39:BV39"/>
    <mergeCell ref="Z39:AB39"/>
    <mergeCell ref="AC39:AD39"/>
    <mergeCell ref="AE39:AF39"/>
    <mergeCell ref="AG39:AI39"/>
    <mergeCell ref="AJ39:AL39"/>
    <mergeCell ref="AT39:AV39"/>
    <mergeCell ref="T40:V41"/>
    <mergeCell ref="W40:Y41"/>
    <mergeCell ref="Z40:AB41"/>
    <mergeCell ref="AC40:AD41"/>
    <mergeCell ref="AE40:AF41"/>
    <mergeCell ref="AG40:AI43"/>
    <mergeCell ref="Z42:AB43"/>
    <mergeCell ref="AC42:AD43"/>
    <mergeCell ref="AE42:AF43"/>
    <mergeCell ref="BW39:BX39"/>
    <mergeCell ref="BY39:CA39"/>
    <mergeCell ref="CB39:CD39"/>
    <mergeCell ref="AW39:AY39"/>
    <mergeCell ref="AZ39:BB39"/>
    <mergeCell ref="BC39:BE39"/>
    <mergeCell ref="BF39:BH39"/>
    <mergeCell ref="BI39:BK39"/>
    <mergeCell ref="BL39:BN39"/>
    <mergeCell ref="B38:J38"/>
    <mergeCell ref="AT38:BB38"/>
    <mergeCell ref="B39:D39"/>
    <mergeCell ref="E39:G39"/>
    <mergeCell ref="H39:J39"/>
    <mergeCell ref="K39:M39"/>
    <mergeCell ref="N39:P39"/>
    <mergeCell ref="Q39:S39"/>
    <mergeCell ref="T39:V39"/>
    <mergeCell ref="W39:Y39"/>
    <mergeCell ref="BY27:CD28"/>
    <mergeCell ref="BN28:BP28"/>
    <mergeCell ref="V27:X27"/>
    <mergeCell ref="Y27:AF28"/>
    <mergeCell ref="AG27:AL28"/>
    <mergeCell ref="AT27:AV28"/>
    <mergeCell ref="AW27:AY28"/>
    <mergeCell ref="AZ27:BB28"/>
    <mergeCell ref="V28:X28"/>
    <mergeCell ref="T27:U28"/>
    <mergeCell ref="BC25:BH26"/>
    <mergeCell ref="BI25:BK26"/>
    <mergeCell ref="BL25:BM26"/>
    <mergeCell ref="BC27:BH28"/>
    <mergeCell ref="BI27:BK28"/>
    <mergeCell ref="BL27:BM28"/>
    <mergeCell ref="BN27:BP27"/>
    <mergeCell ref="BQ27:BX28"/>
    <mergeCell ref="BY25:CD26"/>
    <mergeCell ref="BN26:BP26"/>
    <mergeCell ref="V25:X25"/>
    <mergeCell ref="Y25:AF26"/>
    <mergeCell ref="AG25:AL26"/>
    <mergeCell ref="AT25:AV26"/>
    <mergeCell ref="AW25:AY26"/>
    <mergeCell ref="AZ25:BB26"/>
    <mergeCell ref="V26:X26"/>
    <mergeCell ref="BQ23:BX24"/>
    <mergeCell ref="BY23:CD24"/>
    <mergeCell ref="V24:X24"/>
    <mergeCell ref="BN24:BP24"/>
    <mergeCell ref="B25:D26"/>
    <mergeCell ref="E25:G26"/>
    <mergeCell ref="H25:J26"/>
    <mergeCell ref="K25:P26"/>
    <mergeCell ref="Q25:S26"/>
    <mergeCell ref="T25:U26"/>
    <mergeCell ref="AW23:AY24"/>
    <mergeCell ref="AZ23:BB24"/>
    <mergeCell ref="BC23:BH24"/>
    <mergeCell ref="BI23:BK24"/>
    <mergeCell ref="BL23:BM24"/>
    <mergeCell ref="BN23:BP23"/>
    <mergeCell ref="Q23:S24"/>
    <mergeCell ref="T23:U24"/>
    <mergeCell ref="V23:X23"/>
    <mergeCell ref="Y23:AF24"/>
    <mergeCell ref="AG23:AL24"/>
    <mergeCell ref="AT23:AV24"/>
    <mergeCell ref="BN25:BP25"/>
    <mergeCell ref="BQ25:BX26"/>
    <mergeCell ref="BN21:BP21"/>
    <mergeCell ref="BQ21:BX22"/>
    <mergeCell ref="BY21:CD22"/>
    <mergeCell ref="V22:X22"/>
    <mergeCell ref="BN22:BP22"/>
    <mergeCell ref="Y21:AF22"/>
    <mergeCell ref="AG21:AL22"/>
    <mergeCell ref="AT21:AV22"/>
    <mergeCell ref="AW21:AY22"/>
    <mergeCell ref="AZ21:BB22"/>
    <mergeCell ref="BC21:BH22"/>
    <mergeCell ref="BY19:CD20"/>
    <mergeCell ref="V20:X20"/>
    <mergeCell ref="BN20:BP20"/>
    <mergeCell ref="B21:D22"/>
    <mergeCell ref="E21:G22"/>
    <mergeCell ref="H21:J22"/>
    <mergeCell ref="K21:P22"/>
    <mergeCell ref="Q21:S22"/>
    <mergeCell ref="T21:U22"/>
    <mergeCell ref="V21:X21"/>
    <mergeCell ref="AZ19:BB20"/>
    <mergeCell ref="BC19:BH20"/>
    <mergeCell ref="BI19:BK20"/>
    <mergeCell ref="BL19:BM20"/>
    <mergeCell ref="BN19:BP19"/>
    <mergeCell ref="BQ19:BX20"/>
    <mergeCell ref="T19:U20"/>
    <mergeCell ref="V19:X19"/>
    <mergeCell ref="Y19:AF20"/>
    <mergeCell ref="AG19:AL20"/>
    <mergeCell ref="AT19:AV20"/>
    <mergeCell ref="AW19:AY20"/>
    <mergeCell ref="BI21:BK22"/>
    <mergeCell ref="BL21:BM22"/>
    <mergeCell ref="A19:A28"/>
    <mergeCell ref="B19:D20"/>
    <mergeCell ref="E19:G20"/>
    <mergeCell ref="H19:J20"/>
    <mergeCell ref="K19:P20"/>
    <mergeCell ref="Q19:S20"/>
    <mergeCell ref="B23:D24"/>
    <mergeCell ref="E23:G24"/>
    <mergeCell ref="H23:J24"/>
    <mergeCell ref="K23:P24"/>
    <mergeCell ref="B27:D28"/>
    <mergeCell ref="E27:G28"/>
    <mergeCell ref="H27:J28"/>
    <mergeCell ref="K27:P28"/>
    <mergeCell ref="Q27:S28"/>
    <mergeCell ref="Q15:S16"/>
    <mergeCell ref="T15:U16"/>
    <mergeCell ref="BC17:BH18"/>
    <mergeCell ref="BI17:BK18"/>
    <mergeCell ref="BL17:BM18"/>
    <mergeCell ref="BN17:BP17"/>
    <mergeCell ref="BQ17:BX18"/>
    <mergeCell ref="BY17:CD18"/>
    <mergeCell ref="BN18:BP18"/>
    <mergeCell ref="V17:X17"/>
    <mergeCell ref="Y17:AF18"/>
    <mergeCell ref="AG17:AL18"/>
    <mergeCell ref="AT17:AV18"/>
    <mergeCell ref="AW17:AY18"/>
    <mergeCell ref="AZ17:BB18"/>
    <mergeCell ref="V18:X18"/>
    <mergeCell ref="BN15:BP15"/>
    <mergeCell ref="BQ15:BX16"/>
    <mergeCell ref="BY15:CD16"/>
    <mergeCell ref="BN16:BP16"/>
    <mergeCell ref="V15:X15"/>
    <mergeCell ref="Y15:AF16"/>
    <mergeCell ref="AG15:AL16"/>
    <mergeCell ref="AT15:AV16"/>
    <mergeCell ref="AW15:AY16"/>
    <mergeCell ref="AZ15:BB16"/>
    <mergeCell ref="V16:X16"/>
    <mergeCell ref="BC15:BH16"/>
    <mergeCell ref="BI15:BK16"/>
    <mergeCell ref="BL15:BM16"/>
    <mergeCell ref="BQ13:BX14"/>
    <mergeCell ref="BY13:CD14"/>
    <mergeCell ref="BN14:BP14"/>
    <mergeCell ref="V13:X13"/>
    <mergeCell ref="Y13:AF14"/>
    <mergeCell ref="AG13:AL14"/>
    <mergeCell ref="AT13:AV14"/>
    <mergeCell ref="AW13:AY14"/>
    <mergeCell ref="AZ13:BB14"/>
    <mergeCell ref="V14:X14"/>
    <mergeCell ref="BN12:BP12"/>
    <mergeCell ref="Y11:AF12"/>
    <mergeCell ref="AG11:AL12"/>
    <mergeCell ref="AT11:AV12"/>
    <mergeCell ref="AW11:AY12"/>
    <mergeCell ref="AZ11:BB12"/>
    <mergeCell ref="BC11:BH12"/>
    <mergeCell ref="B13:D14"/>
    <mergeCell ref="E13:G14"/>
    <mergeCell ref="H13:J14"/>
    <mergeCell ref="K13:P14"/>
    <mergeCell ref="Q13:S14"/>
    <mergeCell ref="T13:U14"/>
    <mergeCell ref="BI11:BK12"/>
    <mergeCell ref="BL11:BM12"/>
    <mergeCell ref="BN11:BP11"/>
    <mergeCell ref="BC13:BH14"/>
    <mergeCell ref="BI13:BK14"/>
    <mergeCell ref="BL13:BM14"/>
    <mergeCell ref="BN13:BP13"/>
    <mergeCell ref="BY9:CD10"/>
    <mergeCell ref="V10:X10"/>
    <mergeCell ref="BN10:BP10"/>
    <mergeCell ref="B11:D12"/>
    <mergeCell ref="E11:G12"/>
    <mergeCell ref="H11:J12"/>
    <mergeCell ref="K11:P12"/>
    <mergeCell ref="Q11:S12"/>
    <mergeCell ref="T11:U12"/>
    <mergeCell ref="V11:X11"/>
    <mergeCell ref="AZ9:BB10"/>
    <mergeCell ref="BC9:BH10"/>
    <mergeCell ref="BI9:BK10"/>
    <mergeCell ref="BL9:BM10"/>
    <mergeCell ref="BN9:BP9"/>
    <mergeCell ref="BQ9:BX10"/>
    <mergeCell ref="T9:U10"/>
    <mergeCell ref="V9:X9"/>
    <mergeCell ref="Y9:AF10"/>
    <mergeCell ref="AG9:AL10"/>
    <mergeCell ref="AT9:AV10"/>
    <mergeCell ref="AW9:AY10"/>
    <mergeCell ref="BQ11:BX12"/>
    <mergeCell ref="BY11:CD12"/>
    <mergeCell ref="Q8:S8"/>
    <mergeCell ref="T8:U8"/>
    <mergeCell ref="AT8:AV8"/>
    <mergeCell ref="AZ8:BB8"/>
    <mergeCell ref="BC8:BH8"/>
    <mergeCell ref="BI8:BK8"/>
    <mergeCell ref="BL8:BM8"/>
    <mergeCell ref="A9:A18"/>
    <mergeCell ref="B9:D10"/>
    <mergeCell ref="E9:G10"/>
    <mergeCell ref="H9:J10"/>
    <mergeCell ref="K9:P10"/>
    <mergeCell ref="Q9:S10"/>
    <mergeCell ref="V12:X12"/>
    <mergeCell ref="B17:D18"/>
    <mergeCell ref="E17:G18"/>
    <mergeCell ref="H17:J18"/>
    <mergeCell ref="K17:P18"/>
    <mergeCell ref="Q17:S18"/>
    <mergeCell ref="T17:U18"/>
    <mergeCell ref="B15:D16"/>
    <mergeCell ref="E15:G16"/>
    <mergeCell ref="H15:J16"/>
    <mergeCell ref="K15:P16"/>
    <mergeCell ref="A7:A8"/>
    <mergeCell ref="B7:U7"/>
    <mergeCell ref="V7:X8"/>
    <mergeCell ref="Y7:AF8"/>
    <mergeCell ref="AG7:AL8"/>
    <mergeCell ref="AT7:BM7"/>
    <mergeCell ref="AW8:AY8"/>
    <mergeCell ref="BE3:CD5"/>
    <mergeCell ref="B4:C5"/>
    <mergeCell ref="D4:K5"/>
    <mergeCell ref="L4:L5"/>
    <mergeCell ref="AU4:AV5"/>
    <mergeCell ref="AW4:AW5"/>
    <mergeCell ref="AX4:AX5"/>
    <mergeCell ref="AY4:AY5"/>
    <mergeCell ref="AZ4:AZ5"/>
    <mergeCell ref="BA4:BA5"/>
    <mergeCell ref="BN7:BP8"/>
    <mergeCell ref="BQ7:BX8"/>
    <mergeCell ref="BY7:CD8"/>
    <mergeCell ref="B8:D8"/>
    <mergeCell ref="E8:G8"/>
    <mergeCell ref="H8:J8"/>
    <mergeCell ref="K8:P8"/>
    <mergeCell ref="B1:M1"/>
    <mergeCell ref="AT1:BE1"/>
    <mergeCell ref="A2:A5"/>
    <mergeCell ref="B2:C3"/>
    <mergeCell ref="D2:L3"/>
    <mergeCell ref="M2:AL2"/>
    <mergeCell ref="AU2:AV3"/>
    <mergeCell ref="AW2:BD3"/>
    <mergeCell ref="BE2:CD2"/>
    <mergeCell ref="M3:AL5"/>
    <mergeCell ref="BB4:BB5"/>
    <mergeCell ref="BC4:BC5"/>
    <mergeCell ref="BD4:BD5"/>
  </mergeCells>
  <phoneticPr fontId="142"/>
  <conditionalFormatting sqref="A31">
    <cfRule type="cellIs" dxfId="38" priority="33" operator="equal">
      <formula>""</formula>
    </cfRule>
  </conditionalFormatting>
  <conditionalFormatting sqref="A75">
    <cfRule type="cellIs" dxfId="37" priority="24" operator="equal">
      <formula>""</formula>
    </cfRule>
  </conditionalFormatting>
  <conditionalFormatting sqref="B8">
    <cfRule type="cellIs" dxfId="36" priority="53" operator="equal">
      <formula>""</formula>
    </cfRule>
  </conditionalFormatting>
  <conditionalFormatting sqref="B51">
    <cfRule type="cellIs" dxfId="35" priority="48" operator="equal">
      <formula>""</formula>
    </cfRule>
  </conditionalFormatting>
  <conditionalFormatting sqref="B9:D10">
    <cfRule type="containsBlanks" dxfId="34" priority="50">
      <formula>LEN(TRIM(B9))=0</formula>
    </cfRule>
  </conditionalFormatting>
  <conditionalFormatting sqref="B9:U28">
    <cfRule type="containsBlanks" dxfId="33" priority="49">
      <formula>LEN(TRIM(B9))=0</formula>
    </cfRule>
  </conditionalFormatting>
  <conditionalFormatting sqref="B52:U71">
    <cfRule type="containsBlanks" dxfId="32" priority="9">
      <formula>LEN(TRIM(B52))=0</formula>
    </cfRule>
  </conditionalFormatting>
  <conditionalFormatting sqref="D32:O35">
    <cfRule type="containsBlanks" dxfId="31" priority="5">
      <formula>LEN(TRIM(D32))=0</formula>
    </cfRule>
  </conditionalFormatting>
  <conditionalFormatting sqref="D76:O79">
    <cfRule type="containsBlanks" dxfId="30" priority="1">
      <formula>LEN(TRIM(D76))=0</formula>
    </cfRule>
  </conditionalFormatting>
  <conditionalFormatting sqref="J31">
    <cfRule type="cellIs" dxfId="29" priority="32" operator="equal">
      <formula>""</formula>
    </cfRule>
  </conditionalFormatting>
  <conditionalFormatting sqref="J75">
    <cfRule type="cellIs" dxfId="28" priority="23" operator="equal">
      <formula>""</formula>
    </cfRule>
  </conditionalFormatting>
  <conditionalFormatting sqref="K8">
    <cfRule type="cellIs" dxfId="27" priority="52" operator="equal">
      <formula>""</formula>
    </cfRule>
  </conditionalFormatting>
  <conditionalFormatting sqref="K51">
    <cfRule type="cellIs" dxfId="26" priority="47" operator="equal">
      <formula>""</formula>
    </cfRule>
  </conditionalFormatting>
  <conditionalFormatting sqref="P31">
    <cfRule type="cellIs" dxfId="25" priority="31" operator="equal">
      <formula>""</formula>
    </cfRule>
  </conditionalFormatting>
  <conditionalFormatting sqref="P75">
    <cfRule type="cellIs" dxfId="24" priority="22" operator="equal">
      <formula>""</formula>
    </cfRule>
  </conditionalFormatting>
  <conditionalFormatting sqref="Q8">
    <cfRule type="cellIs" dxfId="23" priority="51" operator="equal">
      <formula>""</formula>
    </cfRule>
  </conditionalFormatting>
  <conditionalFormatting sqref="Q51">
    <cfRule type="cellIs" dxfId="22" priority="46" operator="equal">
      <formula>""</formula>
    </cfRule>
  </conditionalFormatting>
  <conditionalFormatting sqref="S32:T35">
    <cfRule type="containsBlanks" dxfId="21" priority="29">
      <formula>LEN(TRIM(S32))=0</formula>
    </cfRule>
  </conditionalFormatting>
  <conditionalFormatting sqref="S76:T79">
    <cfRule type="containsBlanks" dxfId="20" priority="16">
      <formula>LEN(TRIM(S76))=0</formula>
    </cfRule>
  </conditionalFormatting>
  <conditionalFormatting sqref="AT8">
    <cfRule type="cellIs" dxfId="19" priority="43" operator="equal">
      <formula>""</formula>
    </cfRule>
  </conditionalFormatting>
  <conditionalFormatting sqref="AT31">
    <cfRule type="cellIs" dxfId="18" priority="28" operator="equal">
      <formula>""</formula>
    </cfRule>
  </conditionalFormatting>
  <conditionalFormatting sqref="AT9:AV10">
    <cfRule type="containsBlanks" dxfId="17" priority="40">
      <formula>LEN(TRIM(AT9))=0</formula>
    </cfRule>
  </conditionalFormatting>
  <conditionalFormatting sqref="AT9:BM28">
    <cfRule type="containsBlanks" dxfId="16" priority="39">
      <formula>LEN(TRIM(AT9))=0</formula>
    </cfRule>
  </conditionalFormatting>
  <conditionalFormatting sqref="AW32:BH35">
    <cfRule type="containsBlanks" dxfId="15" priority="25">
      <formula>LEN(TRIM(AW32))=0</formula>
    </cfRule>
  </conditionalFormatting>
  <conditionalFormatting sqref="BC8">
    <cfRule type="cellIs" dxfId="14" priority="42" operator="equal">
      <formula>""</formula>
    </cfRule>
  </conditionalFormatting>
  <conditionalFormatting sqref="BC31">
    <cfRule type="cellIs" dxfId="13" priority="27" operator="equal">
      <formula>""</formula>
    </cfRule>
  </conditionalFormatting>
  <conditionalFormatting sqref="BI8">
    <cfRule type="cellIs" dxfId="12" priority="41" operator="equal">
      <formula>""</formula>
    </cfRule>
  </conditionalFormatting>
  <conditionalFormatting sqref="BI31">
    <cfRule type="cellIs" dxfId="11" priority="26" operator="equal">
      <formula>""</formula>
    </cfRule>
  </conditionalFormatting>
  <dataValidations count="8">
    <dataValidation type="list" allowBlank="1" showInputMessage="1" showErrorMessage="1" sqref="AT9:AV28 B9:D18 B52:D61" xr:uid="{B5759F02-3E84-476F-B853-55B04A50CA66}">
      <formula1>$AP$3:$AP$7</formula1>
    </dataValidation>
    <dataValidation type="list" allowBlank="1" showInputMessage="1" showErrorMessage="1" sqref="BI9:BK28 Q52:S71 Q9:S28" xr:uid="{DD3F3399-4F23-4372-959C-99091F4B5A9B}">
      <formula1>$AO$3:$AO$7</formula1>
    </dataValidation>
    <dataValidation type="list" allowBlank="1" showInputMessage="1" showErrorMessage="1" sqref="BL32:BM33" xr:uid="{9C15957C-D7B5-4EB7-99C0-2BDFB4154CE3}">
      <formula1>$CA$3:$CA$7</formula1>
    </dataValidation>
    <dataValidation type="list" allowBlank="1" showInputMessage="1" showErrorMessage="1" sqref="AW32:BB35" xr:uid="{BE79C9C7-4320-4724-B617-9BF7FA08AF9A}">
      <formula1>$CE$3:$CE$31</formula1>
    </dataValidation>
    <dataValidation type="list" allowBlank="1" showInputMessage="1" showErrorMessage="1" sqref="B19:D28 B62:D71" xr:uid="{5D76B720-EB6E-4CA7-B807-0D6D6F256414}">
      <formula1>$AP$9:$AP$12</formula1>
    </dataValidation>
    <dataValidation type="list" allowBlank="1" showInputMessage="1" showErrorMessage="1" sqref="AW9:BB28" xr:uid="{70E4ED96-AD01-4657-A977-00E8F48347A3}">
      <formula1>$AQ$3:$AQ$29</formula1>
    </dataValidation>
    <dataValidation type="list" allowBlank="1" showInputMessage="1" showErrorMessage="1" sqref="E9:G28 E52:G71 D32:F35 D76:F79" xr:uid="{A600CD3F-C1B7-4C8E-ABAE-DEA3E25C5FBB}">
      <formula1>$AQ$4:$AQ$33</formula1>
    </dataValidation>
    <dataValidation type="list" allowBlank="1" showInputMessage="1" showErrorMessage="1" sqref="H9:J28 H52:J71 G32:I35 G76:I79" xr:uid="{DDAF0CBA-A16C-4E58-9964-C5CE4F183DED}">
      <formula1>$AQ$4:$AQ$34</formula1>
    </dataValidation>
  </dataValidations>
  <printOptions horizontalCentered="1"/>
  <pageMargins left="0.39370078740157483" right="0.39370078740157483" top="0.39370078740157483" bottom="0.39370078740157483" header="0" footer="0"/>
  <pageSetup paperSize="9" scale="72" orientation="landscape" r:id="rId1"/>
  <headerFooter>
    <oddHeader>&amp;L&amp;D &amp;T&amp;R&amp;"ＭＳ 明朝,標準"&amp;8&amp;D 　&amp;T</oddHeader>
  </headerFooter>
  <rowBreaks count="1" manualBreakCount="1">
    <brk id="43" max="16383" man="1"/>
  </rowBreaks>
  <colBreaks count="1" manualBreakCount="1">
    <brk id="3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※必ずはじめにお読みください</vt:lpstr>
      <vt:lpstr>01 使用承認申請書</vt:lpstr>
      <vt:lpstr>02 利用計画書</vt:lpstr>
      <vt:lpstr>03 食事申込書</vt:lpstr>
      <vt:lpstr>04 利用者名簿</vt:lpstr>
      <vt:lpstr>05 人数報告用紙</vt:lpstr>
      <vt:lpstr>06 使用料減免申請書</vt:lpstr>
      <vt:lpstr>07 補助的指導者</vt:lpstr>
      <vt:lpstr>08 車両動向報告書</vt:lpstr>
      <vt:lpstr>09利用日変更（取消）報告書</vt:lpstr>
      <vt:lpstr>10　歩くスキー事前調査票</vt:lpstr>
      <vt:lpstr>'03 食事申込書'!▼炊事食▼</vt:lpstr>
      <vt:lpstr>※必ずはじめにお読みください!Print_Area</vt:lpstr>
      <vt:lpstr>'01 使用承認申請書'!Print_Area</vt:lpstr>
      <vt:lpstr>'02 利用計画書'!Print_Area</vt:lpstr>
      <vt:lpstr>'03 食事申込書'!Print_Area</vt:lpstr>
      <vt:lpstr>'04 利用者名簿'!Print_Area</vt:lpstr>
      <vt:lpstr>'05 人数報告用紙'!Print_Area</vt:lpstr>
      <vt:lpstr>'06 使用料減免申請書'!Print_Area</vt:lpstr>
      <vt:lpstr>'07 補助的指導者'!Print_Area</vt:lpstr>
      <vt:lpstr>'09利用日変更（取消）報告書'!Print_Area</vt:lpstr>
      <vt:lpstr>'10　歩くスキー事前調査票'!Print_Area</vt:lpstr>
      <vt:lpstr>一</vt:lpstr>
      <vt:lpstr>引</vt:lpstr>
      <vt:lpstr>携帯食</vt:lpstr>
      <vt:lpstr>時機</vt:lpstr>
      <vt:lpstr>小</vt:lpstr>
      <vt:lpstr>食事時機</vt:lpstr>
      <vt:lpstr>食堂</vt:lpstr>
      <vt:lpstr>炊事</vt:lpstr>
      <vt:lpstr>中</vt:lpstr>
      <vt:lpstr>通常食</vt:lpstr>
      <vt:lpstr>料金区分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00はじめにお読みください</dc:title>
  <dc:creator>公財）さっぽろ青少年女性活動協会;臼井平</dc:creator>
  <cp:lastModifiedBy>家 山の</cp:lastModifiedBy>
  <cp:lastPrinted>2026-04-13T08:43:34Z</cp:lastPrinted>
  <dcterms:created xsi:type="dcterms:W3CDTF">2011-11-13T05:32:05Z</dcterms:created>
  <dcterms:modified xsi:type="dcterms:W3CDTF">2026-05-06T08:39:07Z</dcterms:modified>
</cp:coreProperties>
</file>